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C:\Users\dleei\ICON SM Dropbox\Daniel Lee\Budget and Interim Reports\School Year 24-25\01 Adopted Budget\Encore\For HUSD\"/>
    </mc:Choice>
  </mc:AlternateContent>
  <xr:revisionPtr revIDLastSave="0" documentId="13_ncr:1_{E3F885DD-00AF-41B2-918B-DD746CF1F511}" xr6:coauthVersionLast="47" xr6:coauthVersionMax="47" xr10:uidLastSave="{00000000-0000-0000-0000-000000000000}"/>
  <bookViews>
    <workbookView xWindow="28690" yWindow="-110" windowWidth="19420" windowHeight="10300" tabRatio="947" firstSheet="4" activeTab="7" xr2:uid="{00000000-000D-0000-FFFF-FFFF00000000}"/>
  </bookViews>
  <sheets>
    <sheet name="Instructions" sheetId="20" r:id="rId1"/>
    <sheet name="BUDGET-CHECKLIST" sheetId="47" r:id="rId2"/>
    <sheet name="BUDGET-CERTIFICATION" sheetId="48" r:id="rId3"/>
    <sheet name="Budget-ADA" sheetId="28" r:id="rId4"/>
    <sheet name="Budget-Assumptions" sheetId="29" r:id="rId5"/>
    <sheet name="Budget-Unrestricted MYP" sheetId="30" r:id="rId6"/>
    <sheet name="Budget-Restricted MYP" sheetId="31" r:id="rId7"/>
    <sheet name="Budget-Summary MYP" sheetId="32" r:id="rId8"/>
    <sheet name="Budget-DEBT" sheetId="36" r:id="rId9"/>
    <sheet name="Budget-Cash Flow Year 1" sheetId="34" r:id="rId10"/>
    <sheet name="Budget-Cash Flow Year 2" sheetId="35" r:id="rId11"/>
    <sheet name="Budget Data" sheetId="49" r:id="rId12"/>
    <sheet name="INTERIM-CHECKLIST" sheetId="9" r:id="rId13"/>
    <sheet name="INTERIM-CERTIFICATION" sheetId="10" r:id="rId14"/>
    <sheet name="1st Interim-ADA" sheetId="14" r:id="rId15"/>
    <sheet name="1st Interim-Assumptions" sheetId="21" r:id="rId16"/>
    <sheet name="1st Interim-Unrestricted MYP" sheetId="17" r:id="rId17"/>
    <sheet name="1st Interim-Restricted MYP" sheetId="16" r:id="rId18"/>
    <sheet name="1st Interim-Summary MYP" sheetId="2" r:id="rId19"/>
    <sheet name="1st Interim-DEBT" sheetId="15" r:id="rId20"/>
    <sheet name="1st Interim-Cash Flow Year 1" sheetId="37" r:id="rId21"/>
    <sheet name="1st Interim-Cash Flow Year 2" sheetId="38" r:id="rId22"/>
    <sheet name="1st Interim Data" sheetId="50" r:id="rId23"/>
    <sheet name="2nd Interim-ADA" sheetId="39" r:id="rId24"/>
    <sheet name="2nd Interim-Assumptions" sheetId="40" r:id="rId25"/>
    <sheet name="2nd Interim-Unrestricted MYP" sheetId="41" r:id="rId26"/>
    <sheet name="2nd Interim-Restricted MYP" sheetId="42" r:id="rId27"/>
    <sheet name="2nd Interim-Summary MYP" sheetId="43" r:id="rId28"/>
    <sheet name="2nd Interim-DEBT" sheetId="44" r:id="rId29"/>
    <sheet name="2nd Interim-Cash Flow Year 1" sheetId="45" r:id="rId30"/>
    <sheet name="2nd Interim-Cash Flow Year 2" sheetId="46" r:id="rId31"/>
    <sheet name="2nd Interim Data" sheetId="51" r:id="rId32"/>
  </sheets>
  <definedNames>
    <definedName name="_xlnm.Print_Area" localSheetId="14">'1st Interim-ADA'!$A$1:$V$78</definedName>
    <definedName name="_xlnm.Print_Area" localSheetId="15">'1st Interim-Assumptions'!$A$7:$K$94</definedName>
    <definedName name="_xlnm.Print_Area" localSheetId="20">'1st Interim-Cash Flow Year 1'!$A$1:$AF$69</definedName>
    <definedName name="_xlnm.Print_Area" localSheetId="21">'1st Interim-Cash Flow Year 2'!$A$1:$AF$69</definedName>
    <definedName name="_xlnm.Print_Area" localSheetId="17">'1st Interim-Restricted MYP'!$A$11:$L$156</definedName>
    <definedName name="_xlnm.Print_Area" localSheetId="18">'1st Interim-Summary MYP'!$A$11:$L$86</definedName>
    <definedName name="_xlnm.Print_Area" localSheetId="16">'1st Interim-Unrestricted MYP'!$A$1:$L$118</definedName>
    <definedName name="_xlnm.Print_Area" localSheetId="23">'2nd Interim-ADA'!$A$1:$V$79</definedName>
    <definedName name="_xlnm.Print_Area" localSheetId="24">'2nd Interim-Assumptions'!$A$7:$K$94</definedName>
    <definedName name="_xlnm.Print_Area" localSheetId="29">'2nd Interim-Cash Flow Year 1'!$A$1:$AF$69</definedName>
    <definedName name="_xlnm.Print_Area" localSheetId="30">'2nd Interim-Cash Flow Year 2'!$A$1:$AF$69</definedName>
    <definedName name="_xlnm.Print_Area" localSheetId="28">'2nd Interim-DEBT'!$A$1:$K$33</definedName>
    <definedName name="_xlnm.Print_Area" localSheetId="26">'2nd Interim-Restricted MYP'!$A$11:$M$156</definedName>
    <definedName name="_xlnm.Print_Area" localSheetId="27">'2nd Interim-Summary MYP'!$A$11:$M$86</definedName>
    <definedName name="_xlnm.Print_Area" localSheetId="25">'2nd Interim-Unrestricted MYP'!$A$11:$M$118</definedName>
    <definedName name="_xlnm.Print_Area" localSheetId="3">'Budget-ADA'!$A$7:$S$78</definedName>
    <definedName name="_xlnm.Print_Area" localSheetId="4">'Budget-Assumptions'!$A$7:$K$94</definedName>
    <definedName name="_xlnm.Print_Area" localSheetId="9">'Budget-Cash Flow Year 1'!$A$1:$AF$69</definedName>
    <definedName name="_xlnm.Print_Area" localSheetId="10">'Budget-Cash Flow Year 2'!$A$1:$AF$69</definedName>
    <definedName name="_xlnm.Print_Area" localSheetId="2">'BUDGET-CERTIFICATION'!$A$1:$M$57</definedName>
    <definedName name="_xlnm.Print_Area" localSheetId="1">'BUDGET-CHECKLIST'!$A$1:$B$29</definedName>
    <definedName name="_xlnm.Print_Area" localSheetId="6">'Budget-Restricted MYP'!$A$11:$K$156</definedName>
    <definedName name="_xlnm.Print_Area" localSheetId="7">'Budget-Summary MYP'!$A$11:$K$86</definedName>
    <definedName name="_xlnm.Print_Area" localSheetId="5">'Budget-Unrestricted MYP'!$A$11:$K$118</definedName>
    <definedName name="_xlnm.Print_Area" localSheetId="0">Instructions!$A$1:$J$88</definedName>
    <definedName name="_xlnm.Print_Area" localSheetId="12">'INTERIM-CHECKLIST'!$A$1:$B$29</definedName>
    <definedName name="_xlnm.Print_Titles" localSheetId="14">'1st Interim-ADA'!$1:$9</definedName>
    <definedName name="_xlnm.Print_Titles" localSheetId="15">'1st Interim-Assumptions'!$1:$6</definedName>
    <definedName name="_xlnm.Print_Titles" localSheetId="20">'1st Interim-Cash Flow Year 1'!$A:$C,'1st Interim-Cash Flow Year 1'!$1:$6</definedName>
    <definedName name="_xlnm.Print_Titles" localSheetId="21">'1st Interim-Cash Flow Year 2'!$A:$C</definedName>
    <definedName name="_xlnm.Print_Titles" localSheetId="17">'1st Interim-Restricted MYP'!$A:$D,'1st Interim-Restricted MYP'!$1:$10</definedName>
    <definedName name="_xlnm.Print_Titles" localSheetId="18">'1st Interim-Summary MYP'!$1:$10</definedName>
    <definedName name="_xlnm.Print_Titles" localSheetId="16">'1st Interim-Unrestricted MYP'!$1:$10</definedName>
    <definedName name="_xlnm.Print_Titles" localSheetId="23">'2nd Interim-ADA'!$1:$9</definedName>
    <definedName name="_xlnm.Print_Titles" localSheetId="24">'2nd Interim-Assumptions'!$1:$6</definedName>
    <definedName name="_xlnm.Print_Titles" localSheetId="29">'2nd Interim-Cash Flow Year 1'!$A:$C</definedName>
    <definedName name="_xlnm.Print_Titles" localSheetId="30">'2nd Interim-Cash Flow Year 2'!$A:$C</definedName>
    <definedName name="_xlnm.Print_Titles" localSheetId="26">'2nd Interim-Restricted MYP'!$1:$10</definedName>
    <definedName name="_xlnm.Print_Titles" localSheetId="27">'2nd Interim-Summary MYP'!$1:$10</definedName>
    <definedName name="_xlnm.Print_Titles" localSheetId="25">'2nd Interim-Unrestricted MYP'!$1:$10</definedName>
    <definedName name="_xlnm.Print_Titles" localSheetId="3">'Budget-ADA'!$1:$9</definedName>
    <definedName name="_xlnm.Print_Titles" localSheetId="4">'Budget-Assumptions'!$1:$6</definedName>
    <definedName name="_xlnm.Print_Titles" localSheetId="9">'Budget-Cash Flow Year 1'!$A:$C</definedName>
    <definedName name="_xlnm.Print_Titles" localSheetId="10">'Budget-Cash Flow Year 2'!$A:$C,'Budget-Cash Flow Year 2'!$1:$6</definedName>
    <definedName name="_xlnm.Print_Titles" localSheetId="6">'Budget-Restricted MYP'!$1:$10</definedName>
    <definedName name="_xlnm.Print_Titles" localSheetId="7">'Budget-Summary MYP'!$1:$10</definedName>
    <definedName name="_xlnm.Print_Titles" localSheetId="5">'Budget-Unrestricted MYP'!$1:$10</definedName>
    <definedName name="validbudgets">'Budget-Assumptions'!$B$67:$C$67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31" l="1"/>
  <c r="AD51" i="46" l="1"/>
  <c r="AD50" i="46"/>
  <c r="AD49" i="46"/>
  <c r="AD48" i="46"/>
  <c r="AD47" i="46"/>
  <c r="AD46" i="46"/>
  <c r="AD45" i="46"/>
  <c r="AD51" i="45"/>
  <c r="AE51" i="45" s="1"/>
  <c r="AD50" i="45"/>
  <c r="AG50" i="45" s="1"/>
  <c r="AD49" i="45"/>
  <c r="AH49" i="45" s="1"/>
  <c r="AD48" i="45"/>
  <c r="AH48" i="45" s="1"/>
  <c r="AD47" i="45"/>
  <c r="AE47" i="45" s="1"/>
  <c r="AD46" i="45"/>
  <c r="AH46" i="45" s="1"/>
  <c r="AD45" i="45"/>
  <c r="AH45" i="45" s="1"/>
  <c r="AD51" i="38"/>
  <c r="AD50" i="38"/>
  <c r="AD49" i="38"/>
  <c r="AD48" i="38"/>
  <c r="AD47" i="38"/>
  <c r="AD46" i="38"/>
  <c r="AD45" i="38"/>
  <c r="AD51" i="37"/>
  <c r="AE51" i="37" s="1"/>
  <c r="AD50" i="37"/>
  <c r="AG50" i="37" s="1"/>
  <c r="AD49" i="37"/>
  <c r="AG49" i="37" s="1"/>
  <c r="AD48" i="37"/>
  <c r="AH48" i="37" s="1"/>
  <c r="AD47" i="37"/>
  <c r="AE47" i="37" s="1"/>
  <c r="AD46" i="37"/>
  <c r="AH46" i="37" s="1"/>
  <c r="AD45" i="37"/>
  <c r="AH45" i="37" s="1"/>
  <c r="AD51" i="35"/>
  <c r="AD50" i="35"/>
  <c r="AD49" i="35"/>
  <c r="AD48" i="35"/>
  <c r="AD47" i="35"/>
  <c r="AD46" i="35"/>
  <c r="AD45" i="35"/>
  <c r="AD51" i="34"/>
  <c r="AG51" i="34" s="1"/>
  <c r="AD50" i="34"/>
  <c r="AH50" i="34" s="1"/>
  <c r="AD49" i="34"/>
  <c r="AD48" i="34"/>
  <c r="AH48" i="34" s="1"/>
  <c r="AD47" i="34"/>
  <c r="AD46" i="34"/>
  <c r="AD45" i="34"/>
  <c r="AH45" i="34" s="1"/>
  <c r="AH46" i="34"/>
  <c r="AH49" i="34"/>
  <c r="AG51" i="37" l="1"/>
  <c r="AH50" i="37"/>
  <c r="AE50" i="37"/>
  <c r="AH50" i="45"/>
  <c r="AE48" i="45"/>
  <c r="AG48" i="45"/>
  <c r="AE49" i="45"/>
  <c r="AE45" i="45"/>
  <c r="AG45" i="45"/>
  <c r="AG49" i="45"/>
  <c r="AE46" i="45"/>
  <c r="AG46" i="45"/>
  <c r="AE50" i="45"/>
  <c r="AE48" i="37"/>
  <c r="D48" i="38" s="1"/>
  <c r="AG48" i="37"/>
  <c r="AE45" i="37"/>
  <c r="D45" i="38" s="1"/>
  <c r="AH45" i="38" s="1"/>
  <c r="AG45" i="37"/>
  <c r="AE49" i="37"/>
  <c r="AE46" i="37"/>
  <c r="AH49" i="37"/>
  <c r="AG46" i="37"/>
  <c r="E54" i="32"/>
  <c r="AH48" i="38" l="1"/>
  <c r="AE48" i="38"/>
  <c r="AG48" i="38"/>
  <c r="AE45" i="38"/>
  <c r="AG45" i="38"/>
  <c r="AC72" i="45"/>
  <c r="D48" i="46"/>
  <c r="D45" i="46"/>
  <c r="D51" i="46"/>
  <c r="AE51" i="46" s="1"/>
  <c r="D50" i="46"/>
  <c r="D49" i="46"/>
  <c r="D47" i="46"/>
  <c r="AE47" i="46" s="1"/>
  <c r="D46" i="46"/>
  <c r="D51" i="38"/>
  <c r="AE51" i="38" s="1"/>
  <c r="D50" i="38"/>
  <c r="D49" i="38"/>
  <c r="D47" i="38"/>
  <c r="AE47" i="38" s="1"/>
  <c r="D46" i="38"/>
  <c r="AE46" i="46" l="1"/>
  <c r="AH46" i="46"/>
  <c r="AG46" i="46"/>
  <c r="AE45" i="46"/>
  <c r="AG45" i="46"/>
  <c r="AH45" i="46"/>
  <c r="AG48" i="46"/>
  <c r="AE48" i="46"/>
  <c r="AH48" i="46"/>
  <c r="AH49" i="46"/>
  <c r="AE49" i="46"/>
  <c r="AG49" i="46"/>
  <c r="AH50" i="46"/>
  <c r="AG50" i="46"/>
  <c r="AE50" i="46"/>
  <c r="AE50" i="38"/>
  <c r="AG50" i="38"/>
  <c r="AH50" i="38"/>
  <c r="AH49" i="38"/>
  <c r="AE49" i="38"/>
  <c r="AG49" i="38"/>
  <c r="AE46" i="38"/>
  <c r="AH46" i="38"/>
  <c r="AG46" i="38"/>
  <c r="AD62" i="45" l="1"/>
  <c r="AD61" i="45"/>
  <c r="AE61" i="45" s="1"/>
  <c r="AD60" i="45"/>
  <c r="AE60" i="45" s="1"/>
  <c r="AD59" i="45"/>
  <c r="AE59" i="45" s="1"/>
  <c r="AE58" i="45"/>
  <c r="AD58" i="45"/>
  <c r="AD57" i="45"/>
  <c r="AE57" i="45" s="1"/>
  <c r="AD56" i="45"/>
  <c r="AE56" i="45" s="1"/>
  <c r="AD55" i="45"/>
  <c r="AE55" i="45" s="1"/>
  <c r="AD62" i="46"/>
  <c r="AD61" i="46"/>
  <c r="AE61" i="46" s="1"/>
  <c r="AD60" i="46"/>
  <c r="AE60" i="46" s="1"/>
  <c r="AD59" i="46"/>
  <c r="AE59" i="46" s="1"/>
  <c r="AD58" i="46"/>
  <c r="AE58" i="46" s="1"/>
  <c r="AD57" i="46"/>
  <c r="AE57" i="46" s="1"/>
  <c r="AD56" i="46"/>
  <c r="AE56" i="46" s="1"/>
  <c r="AD55" i="46"/>
  <c r="AE55" i="46" s="1"/>
  <c r="AD62" i="38"/>
  <c r="AE61" i="38"/>
  <c r="AD61" i="38"/>
  <c r="AD60" i="38"/>
  <c r="AE60" i="38" s="1"/>
  <c r="AD59" i="38"/>
  <c r="AE59" i="38" s="1"/>
  <c r="AE58" i="38"/>
  <c r="AD58" i="38"/>
  <c r="AD57" i="38"/>
  <c r="AE57" i="38" s="1"/>
  <c r="AD56" i="38"/>
  <c r="AE56" i="38" s="1"/>
  <c r="AE55" i="38"/>
  <c r="AE62" i="38" s="1"/>
  <c r="AD55" i="38"/>
  <c r="AD62" i="37"/>
  <c r="AE61" i="37"/>
  <c r="AD61" i="37"/>
  <c r="AD60" i="37"/>
  <c r="AE60" i="37" s="1"/>
  <c r="AD59" i="37"/>
  <c r="AE59" i="37" s="1"/>
  <c r="AE58" i="37"/>
  <c r="AD58" i="37"/>
  <c r="AE57" i="37"/>
  <c r="AD57" i="37"/>
  <c r="AD56" i="37"/>
  <c r="AE56" i="37" s="1"/>
  <c r="AE55" i="37"/>
  <c r="AD55" i="37"/>
  <c r="AD61" i="34"/>
  <c r="AE61" i="34" s="1"/>
  <c r="AD60" i="34"/>
  <c r="AE60" i="34" s="1"/>
  <c r="AD59" i="34"/>
  <c r="AE59" i="34" s="1"/>
  <c r="AD58" i="34"/>
  <c r="AE58" i="34" s="1"/>
  <c r="AE57" i="34"/>
  <c r="AD57" i="34"/>
  <c r="AD56" i="34"/>
  <c r="AE56" i="34" s="1"/>
  <c r="AD55" i="34"/>
  <c r="AE55" i="34" s="1"/>
  <c r="AD62" i="35"/>
  <c r="AE62" i="34" l="1"/>
  <c r="AE62" i="45"/>
  <c r="AE62" i="46"/>
  <c r="AE62" i="37"/>
  <c r="AE61" i="35" l="1"/>
  <c r="AD61" i="35"/>
  <c r="AD60" i="35"/>
  <c r="AE60" i="35" s="1"/>
  <c r="AD59" i="35"/>
  <c r="AE59" i="35" s="1"/>
  <c r="AE58" i="35"/>
  <c r="AD58" i="35"/>
  <c r="AD57" i="35"/>
  <c r="AE57" i="35" s="1"/>
  <c r="AD56" i="35"/>
  <c r="AE56" i="35" s="1"/>
  <c r="AD55" i="35"/>
  <c r="AE55" i="35" s="1"/>
  <c r="AE62" i="35" l="1"/>
  <c r="K47" i="2"/>
  <c r="I47" i="2"/>
  <c r="G47" i="2"/>
  <c r="F47" i="2"/>
  <c r="K40" i="2"/>
  <c r="I40" i="2"/>
  <c r="F40" i="2"/>
  <c r="G38" i="2"/>
  <c r="F38" i="2"/>
  <c r="K38" i="2"/>
  <c r="I38" i="2"/>
  <c r="G40" i="2"/>
  <c r="AA62" i="46"/>
  <c r="Y62" i="46"/>
  <c r="W62" i="46"/>
  <c r="U62" i="46"/>
  <c r="S62" i="46"/>
  <c r="Q62" i="46"/>
  <c r="O62" i="46"/>
  <c r="M62" i="46"/>
  <c r="K62" i="46"/>
  <c r="I62" i="46"/>
  <c r="G62" i="46"/>
  <c r="E62" i="46"/>
  <c r="D62" i="46"/>
  <c r="AB61" i="46"/>
  <c r="Z61" i="46"/>
  <c r="X61" i="46"/>
  <c r="V61" i="46"/>
  <c r="T61" i="46"/>
  <c r="R61" i="46"/>
  <c r="P61" i="46"/>
  <c r="N61" i="46"/>
  <c r="L61" i="46"/>
  <c r="J61" i="46"/>
  <c r="H61" i="46"/>
  <c r="F61" i="46"/>
  <c r="AB60" i="46"/>
  <c r="Z60" i="46"/>
  <c r="X60" i="46"/>
  <c r="V60" i="46"/>
  <c r="T60" i="46"/>
  <c r="R60" i="46"/>
  <c r="P60" i="46"/>
  <c r="N60" i="46"/>
  <c r="L60" i="46"/>
  <c r="J60" i="46"/>
  <c r="H60" i="46"/>
  <c r="F60" i="46"/>
  <c r="AB59" i="46"/>
  <c r="Z59" i="46"/>
  <c r="X59" i="46"/>
  <c r="V59" i="46"/>
  <c r="T59" i="46"/>
  <c r="R59" i="46"/>
  <c r="P59" i="46"/>
  <c r="N59" i="46"/>
  <c r="L59" i="46"/>
  <c r="J59" i="46"/>
  <c r="H59" i="46"/>
  <c r="F59" i="46"/>
  <c r="AB58" i="46"/>
  <c r="Z58" i="46"/>
  <c r="X58" i="46"/>
  <c r="V58" i="46"/>
  <c r="T58" i="46"/>
  <c r="R58" i="46"/>
  <c r="P58" i="46"/>
  <c r="N58" i="46"/>
  <c r="L58" i="46"/>
  <c r="J58" i="46"/>
  <c r="H58" i="46"/>
  <c r="F58" i="46"/>
  <c r="AB57" i="46"/>
  <c r="Z57" i="46"/>
  <c r="X57" i="46"/>
  <c r="V57" i="46"/>
  <c r="T57" i="46"/>
  <c r="R57" i="46"/>
  <c r="P57" i="46"/>
  <c r="N57" i="46"/>
  <c r="L57" i="46"/>
  <c r="J57" i="46"/>
  <c r="H57" i="46"/>
  <c r="F57" i="46"/>
  <c r="AB56" i="46"/>
  <c r="Z56" i="46"/>
  <c r="X56" i="46"/>
  <c r="V56" i="46"/>
  <c r="T56" i="46"/>
  <c r="R56" i="46"/>
  <c r="P56" i="46"/>
  <c r="N56" i="46"/>
  <c r="L56" i="46"/>
  <c r="J56" i="46"/>
  <c r="H56" i="46"/>
  <c r="F56" i="46"/>
  <c r="AB55" i="46"/>
  <c r="Z55" i="46"/>
  <c r="X55" i="46"/>
  <c r="V55" i="46"/>
  <c r="T55" i="46"/>
  <c r="R55" i="46"/>
  <c r="P55" i="46"/>
  <c r="N55" i="46"/>
  <c r="L55" i="46"/>
  <c r="J55" i="46"/>
  <c r="H55" i="46"/>
  <c r="F55" i="46"/>
  <c r="AC52" i="46"/>
  <c r="AA52" i="46"/>
  <c r="Y52" i="46"/>
  <c r="W52" i="46"/>
  <c r="U52" i="46"/>
  <c r="S52" i="46"/>
  <c r="Q52" i="46"/>
  <c r="O52" i="46"/>
  <c r="M52" i="46"/>
  <c r="K52" i="46"/>
  <c r="I52" i="46"/>
  <c r="G52" i="46"/>
  <c r="E52" i="46"/>
  <c r="AD44" i="46"/>
  <c r="AA62" i="45"/>
  <c r="Y62" i="45"/>
  <c r="W62" i="45"/>
  <c r="U62" i="45"/>
  <c r="S62" i="45"/>
  <c r="Q62" i="45"/>
  <c r="O62" i="45"/>
  <c r="M62" i="45"/>
  <c r="K62" i="45"/>
  <c r="I62" i="45"/>
  <c r="G62" i="45"/>
  <c r="E62" i="45"/>
  <c r="D62" i="45"/>
  <c r="AB61" i="45"/>
  <c r="Z61" i="45"/>
  <c r="X61" i="45"/>
  <c r="V61" i="45"/>
  <c r="T61" i="45"/>
  <c r="R61" i="45"/>
  <c r="P61" i="45"/>
  <c r="N61" i="45"/>
  <c r="L61" i="45"/>
  <c r="J61" i="45"/>
  <c r="H61" i="45"/>
  <c r="F61" i="45"/>
  <c r="AB60" i="45"/>
  <c r="Z60" i="45"/>
  <c r="X60" i="45"/>
  <c r="V60" i="45"/>
  <c r="T60" i="45"/>
  <c r="R60" i="45"/>
  <c r="P60" i="45"/>
  <c r="N60" i="45"/>
  <c r="L60" i="45"/>
  <c r="J60" i="45"/>
  <c r="H60" i="45"/>
  <c r="F60" i="45"/>
  <c r="AB59" i="45"/>
  <c r="Z59" i="45"/>
  <c r="X59" i="45"/>
  <c r="V59" i="45"/>
  <c r="T59" i="45"/>
  <c r="R59" i="45"/>
  <c r="P59" i="45"/>
  <c r="N59" i="45"/>
  <c r="L59" i="45"/>
  <c r="J59" i="45"/>
  <c r="H59" i="45"/>
  <c r="F59" i="45"/>
  <c r="AB58" i="45"/>
  <c r="Z58" i="45"/>
  <c r="X58" i="45"/>
  <c r="V58" i="45"/>
  <c r="T58" i="45"/>
  <c r="R58" i="45"/>
  <c r="P58" i="45"/>
  <c r="N58" i="45"/>
  <c r="L58" i="45"/>
  <c r="J58" i="45"/>
  <c r="H58" i="45"/>
  <c r="F58" i="45"/>
  <c r="AB57" i="45"/>
  <c r="Z57" i="45"/>
  <c r="X57" i="45"/>
  <c r="V57" i="45"/>
  <c r="T57" i="45"/>
  <c r="R57" i="45"/>
  <c r="P57" i="45"/>
  <c r="N57" i="45"/>
  <c r="L57" i="45"/>
  <c r="J57" i="45"/>
  <c r="H57" i="45"/>
  <c r="F57" i="45"/>
  <c r="AB56" i="45"/>
  <c r="Z56" i="45"/>
  <c r="X56" i="45"/>
  <c r="V56" i="45"/>
  <c r="T56" i="45"/>
  <c r="R56" i="45"/>
  <c r="P56" i="45"/>
  <c r="N56" i="45"/>
  <c r="L56" i="45"/>
  <c r="J56" i="45"/>
  <c r="H56" i="45"/>
  <c r="F56" i="45"/>
  <c r="AB55" i="45"/>
  <c r="Z55" i="45"/>
  <c r="X55" i="45"/>
  <c r="V55" i="45"/>
  <c r="T55" i="45"/>
  <c r="R55" i="45"/>
  <c r="P55" i="45"/>
  <c r="N55" i="45"/>
  <c r="L55" i="45"/>
  <c r="J55" i="45"/>
  <c r="H55" i="45"/>
  <c r="F55" i="45"/>
  <c r="AC52" i="45"/>
  <c r="AA52" i="45"/>
  <c r="Y52" i="45"/>
  <c r="W52" i="45"/>
  <c r="U52" i="45"/>
  <c r="S52" i="45"/>
  <c r="Q52" i="45"/>
  <c r="O52" i="45"/>
  <c r="M52" i="45"/>
  <c r="K52" i="45"/>
  <c r="I52" i="45"/>
  <c r="G52" i="45"/>
  <c r="E52" i="45"/>
  <c r="D52" i="45"/>
  <c r="AB51" i="45"/>
  <c r="Z51" i="45"/>
  <c r="X51" i="45"/>
  <c r="V51" i="45"/>
  <c r="T51" i="45"/>
  <c r="R51" i="45"/>
  <c r="P51" i="45"/>
  <c r="N51" i="45"/>
  <c r="L51" i="45"/>
  <c r="J51" i="45"/>
  <c r="H51" i="45"/>
  <c r="F51" i="45"/>
  <c r="AB50" i="45"/>
  <c r="Z50" i="45"/>
  <c r="X50" i="45"/>
  <c r="V50" i="45"/>
  <c r="T50" i="45"/>
  <c r="R50" i="45"/>
  <c r="P50" i="45"/>
  <c r="N50" i="45"/>
  <c r="L50" i="45"/>
  <c r="J50" i="45"/>
  <c r="H50" i="45"/>
  <c r="F50" i="45"/>
  <c r="AB49" i="45"/>
  <c r="Z49" i="45"/>
  <c r="X49" i="45"/>
  <c r="V49" i="45"/>
  <c r="T49" i="45"/>
  <c r="R49" i="45"/>
  <c r="P49" i="45"/>
  <c r="N49" i="45"/>
  <c r="L49" i="45"/>
  <c r="J49" i="45"/>
  <c r="H49" i="45"/>
  <c r="F49" i="45"/>
  <c r="AB48" i="45"/>
  <c r="Z48" i="45"/>
  <c r="X48" i="45"/>
  <c r="V48" i="45"/>
  <c r="T48" i="45"/>
  <c r="R48" i="45"/>
  <c r="P48" i="45"/>
  <c r="N48" i="45"/>
  <c r="L48" i="45"/>
  <c r="J48" i="45"/>
  <c r="H48" i="45"/>
  <c r="F48" i="45"/>
  <c r="AB47" i="45"/>
  <c r="Z47" i="45"/>
  <c r="X47" i="45"/>
  <c r="V47" i="45"/>
  <c r="T47" i="45"/>
  <c r="R47" i="45"/>
  <c r="P47" i="45"/>
  <c r="N47" i="45"/>
  <c r="L47" i="45"/>
  <c r="J47" i="45"/>
  <c r="H47" i="45"/>
  <c r="F47" i="45"/>
  <c r="AB46" i="45"/>
  <c r="Z46" i="45"/>
  <c r="X46" i="45"/>
  <c r="V46" i="45"/>
  <c r="T46" i="45"/>
  <c r="R46" i="45"/>
  <c r="P46" i="45"/>
  <c r="N46" i="45"/>
  <c r="L46" i="45"/>
  <c r="J46" i="45"/>
  <c r="H46" i="45"/>
  <c r="F46" i="45"/>
  <c r="AB45" i="45"/>
  <c r="Z45" i="45"/>
  <c r="X45" i="45"/>
  <c r="V45" i="45"/>
  <c r="T45" i="45"/>
  <c r="R45" i="45"/>
  <c r="P45" i="45"/>
  <c r="N45" i="45"/>
  <c r="L45" i="45"/>
  <c r="J45" i="45"/>
  <c r="H45" i="45"/>
  <c r="F45" i="45"/>
  <c r="AD44" i="45"/>
  <c r="AB44" i="45"/>
  <c r="Z44" i="45"/>
  <c r="X44" i="45"/>
  <c r="V44" i="45"/>
  <c r="T44" i="45"/>
  <c r="R44" i="45"/>
  <c r="P44" i="45"/>
  <c r="N44" i="45"/>
  <c r="L44" i="45"/>
  <c r="J44" i="45"/>
  <c r="H44" i="45"/>
  <c r="F44" i="45"/>
  <c r="AD52" i="45" l="1"/>
  <c r="AH52" i="45"/>
  <c r="AE52" i="45"/>
  <c r="AD64" i="45"/>
  <c r="X46" i="46"/>
  <c r="Z46" i="46"/>
  <c r="AB46" i="46"/>
  <c r="F50" i="46"/>
  <c r="L50" i="46"/>
  <c r="J50" i="46"/>
  <c r="H50" i="46"/>
  <c r="Z50" i="46"/>
  <c r="X50" i="46"/>
  <c r="V50" i="46"/>
  <c r="T50" i="46"/>
  <c r="P50" i="46"/>
  <c r="N50" i="46"/>
  <c r="L45" i="46"/>
  <c r="F45" i="46"/>
  <c r="AB45" i="46"/>
  <c r="Z45" i="46"/>
  <c r="X45" i="46"/>
  <c r="V45" i="46"/>
  <c r="R45" i="46"/>
  <c r="P45" i="46"/>
  <c r="N45" i="46"/>
  <c r="J45" i="46"/>
  <c r="H45" i="46"/>
  <c r="T45" i="46"/>
  <c r="R50" i="46"/>
  <c r="AB50" i="46"/>
  <c r="J49" i="46"/>
  <c r="J46" i="46"/>
  <c r="L46" i="46"/>
  <c r="N46" i="46"/>
  <c r="P46" i="46"/>
  <c r="H46" i="46"/>
  <c r="R46" i="46"/>
  <c r="V46" i="46"/>
  <c r="F46" i="46"/>
  <c r="T46" i="46"/>
  <c r="AD52" i="46"/>
  <c r="AD64" i="46" s="1"/>
  <c r="AE44" i="45"/>
  <c r="D44" i="46" s="1"/>
  <c r="AA62" i="38"/>
  <c r="Y62" i="38"/>
  <c r="W62" i="38"/>
  <c r="U62" i="38"/>
  <c r="S62" i="38"/>
  <c r="Q62" i="38"/>
  <c r="O62" i="38"/>
  <c r="M62" i="38"/>
  <c r="K62" i="38"/>
  <c r="I62" i="38"/>
  <c r="G62" i="38"/>
  <c r="E62" i="38"/>
  <c r="D62" i="38"/>
  <c r="AB61" i="38"/>
  <c r="Z61" i="38"/>
  <c r="X61" i="38"/>
  <c r="V61" i="38"/>
  <c r="T61" i="38"/>
  <c r="R61" i="38"/>
  <c r="P61" i="38"/>
  <c r="N61" i="38"/>
  <c r="L61" i="38"/>
  <c r="J61" i="38"/>
  <c r="H61" i="38"/>
  <c r="F61" i="38"/>
  <c r="AB60" i="38"/>
  <c r="Z60" i="38"/>
  <c r="X60" i="38"/>
  <c r="V60" i="38"/>
  <c r="T60" i="38"/>
  <c r="R60" i="38"/>
  <c r="P60" i="38"/>
  <c r="N60" i="38"/>
  <c r="L60" i="38"/>
  <c r="J60" i="38"/>
  <c r="H60" i="38"/>
  <c r="F60" i="38"/>
  <c r="AB59" i="38"/>
  <c r="Z59" i="38"/>
  <c r="X59" i="38"/>
  <c r="V59" i="38"/>
  <c r="T59" i="38"/>
  <c r="R59" i="38"/>
  <c r="P59" i="38"/>
  <c r="N59" i="38"/>
  <c r="L59" i="38"/>
  <c r="J59" i="38"/>
  <c r="H59" i="38"/>
  <c r="F59" i="38"/>
  <c r="AB58" i="38"/>
  <c r="Z58" i="38"/>
  <c r="X58" i="38"/>
  <c r="V58" i="38"/>
  <c r="T58" i="38"/>
  <c r="R58" i="38"/>
  <c r="P58" i="38"/>
  <c r="N58" i="38"/>
  <c r="L58" i="38"/>
  <c r="J58" i="38"/>
  <c r="H58" i="38"/>
  <c r="F58" i="38"/>
  <c r="AB57" i="38"/>
  <c r="Z57" i="38"/>
  <c r="X57" i="38"/>
  <c r="V57" i="38"/>
  <c r="T57" i="38"/>
  <c r="R57" i="38"/>
  <c r="P57" i="38"/>
  <c r="N57" i="38"/>
  <c r="L57" i="38"/>
  <c r="J57" i="38"/>
  <c r="H57" i="38"/>
  <c r="F57" i="38"/>
  <c r="AB56" i="38"/>
  <c r="Z56" i="38"/>
  <c r="X56" i="38"/>
  <c r="V56" i="38"/>
  <c r="T56" i="38"/>
  <c r="R56" i="38"/>
  <c r="P56" i="38"/>
  <c r="N56" i="38"/>
  <c r="L56" i="38"/>
  <c r="J56" i="38"/>
  <c r="H56" i="38"/>
  <c r="F56" i="38"/>
  <c r="AB55" i="38"/>
  <c r="Z55" i="38"/>
  <c r="X55" i="38"/>
  <c r="V55" i="38"/>
  <c r="T55" i="38"/>
  <c r="R55" i="38"/>
  <c r="P55" i="38"/>
  <c r="N55" i="38"/>
  <c r="L55" i="38"/>
  <c r="J55" i="38"/>
  <c r="H55" i="38"/>
  <c r="F55" i="38"/>
  <c r="AC52" i="38"/>
  <c r="AA52" i="38"/>
  <c r="Y52" i="38"/>
  <c r="W52" i="38"/>
  <c r="U52" i="38"/>
  <c r="S52" i="38"/>
  <c r="Q52" i="38"/>
  <c r="O52" i="38"/>
  <c r="M52" i="38"/>
  <c r="K52" i="38"/>
  <c r="I52" i="38"/>
  <c r="G52" i="38"/>
  <c r="E52" i="38"/>
  <c r="AD44" i="38"/>
  <c r="AA62" i="37"/>
  <c r="Y62" i="37"/>
  <c r="W62" i="37"/>
  <c r="U62" i="37"/>
  <c r="S62" i="37"/>
  <c r="Q62" i="37"/>
  <c r="O62" i="37"/>
  <c r="M62" i="37"/>
  <c r="K62" i="37"/>
  <c r="I62" i="37"/>
  <c r="G62" i="37"/>
  <c r="E62" i="37"/>
  <c r="D62" i="37"/>
  <c r="AB61" i="37"/>
  <c r="Z61" i="37"/>
  <c r="X61" i="37"/>
  <c r="V61" i="37"/>
  <c r="T61" i="37"/>
  <c r="R61" i="37"/>
  <c r="P61" i="37"/>
  <c r="N61" i="37"/>
  <c r="L61" i="37"/>
  <c r="J61" i="37"/>
  <c r="H61" i="37"/>
  <c r="F61" i="37"/>
  <c r="AB60" i="37"/>
  <c r="Z60" i="37"/>
  <c r="X60" i="37"/>
  <c r="V60" i="37"/>
  <c r="T60" i="37"/>
  <c r="R60" i="37"/>
  <c r="AB59" i="37"/>
  <c r="Z59" i="37"/>
  <c r="X59" i="37"/>
  <c r="V59" i="37"/>
  <c r="T59" i="37"/>
  <c r="R59" i="37"/>
  <c r="P59" i="37"/>
  <c r="N59" i="37"/>
  <c r="L59" i="37"/>
  <c r="J59" i="37"/>
  <c r="H59" i="37"/>
  <c r="F59" i="37"/>
  <c r="AB58" i="37"/>
  <c r="Z58" i="37"/>
  <c r="X58" i="37"/>
  <c r="V58" i="37"/>
  <c r="T58" i="37"/>
  <c r="R58" i="37"/>
  <c r="P58" i="37"/>
  <c r="N58" i="37"/>
  <c r="L58" i="37"/>
  <c r="J58" i="37"/>
  <c r="H58" i="37"/>
  <c r="F58" i="37"/>
  <c r="AB57" i="37"/>
  <c r="Z57" i="37"/>
  <c r="X57" i="37"/>
  <c r="V57" i="37"/>
  <c r="T57" i="37"/>
  <c r="R57" i="37"/>
  <c r="P57" i="37"/>
  <c r="N57" i="37"/>
  <c r="L57" i="37"/>
  <c r="J57" i="37"/>
  <c r="H57" i="37"/>
  <c r="F57" i="37"/>
  <c r="AB56" i="37"/>
  <c r="Z56" i="37"/>
  <c r="X56" i="37"/>
  <c r="V56" i="37"/>
  <c r="T56" i="37"/>
  <c r="R56" i="37"/>
  <c r="P56" i="37"/>
  <c r="N56" i="37"/>
  <c r="L56" i="37"/>
  <c r="J56" i="37"/>
  <c r="H56" i="37"/>
  <c r="F56" i="37"/>
  <c r="AB55" i="37"/>
  <c r="Z55" i="37"/>
  <c r="X55" i="37"/>
  <c r="V55" i="37"/>
  <c r="T55" i="37"/>
  <c r="R55" i="37"/>
  <c r="P55" i="37"/>
  <c r="N55" i="37"/>
  <c r="L55" i="37"/>
  <c r="J55" i="37"/>
  <c r="H55" i="37"/>
  <c r="F55" i="37"/>
  <c r="AC52" i="37"/>
  <c r="AA52" i="37"/>
  <c r="Y52" i="37"/>
  <c r="W52" i="37"/>
  <c r="U52" i="37"/>
  <c r="S52" i="37"/>
  <c r="Q52" i="37"/>
  <c r="O52" i="37"/>
  <c r="M52" i="37"/>
  <c r="K52" i="37"/>
  <c r="I52" i="37"/>
  <c r="G52" i="37"/>
  <c r="E52" i="37"/>
  <c r="D52" i="37"/>
  <c r="AC72" i="37" s="1"/>
  <c r="AB51" i="38"/>
  <c r="AB51" i="37"/>
  <c r="Z51" i="37"/>
  <c r="X51" i="37"/>
  <c r="V51" i="37"/>
  <c r="T51" i="37"/>
  <c r="R51" i="37"/>
  <c r="P51" i="37"/>
  <c r="N51" i="37"/>
  <c r="L51" i="37"/>
  <c r="J51" i="37"/>
  <c r="H51" i="37"/>
  <c r="F51" i="37"/>
  <c r="AB50" i="37"/>
  <c r="Z50" i="37"/>
  <c r="X50" i="37"/>
  <c r="V50" i="37"/>
  <c r="T50" i="37"/>
  <c r="R50" i="37"/>
  <c r="P50" i="37"/>
  <c r="N50" i="37"/>
  <c r="L50" i="37"/>
  <c r="J50" i="37"/>
  <c r="H50" i="37"/>
  <c r="F50" i="37"/>
  <c r="Z49" i="38"/>
  <c r="AB49" i="37"/>
  <c r="Z49" i="37"/>
  <c r="X49" i="37"/>
  <c r="V49" i="37"/>
  <c r="T49" i="37"/>
  <c r="R49" i="37"/>
  <c r="P49" i="37"/>
  <c r="N49" i="37"/>
  <c r="L49" i="37"/>
  <c r="J49" i="37"/>
  <c r="H49" i="37"/>
  <c r="F49" i="37"/>
  <c r="AB48" i="37"/>
  <c r="Z48" i="37"/>
  <c r="X48" i="37"/>
  <c r="V48" i="37"/>
  <c r="T48" i="37"/>
  <c r="R48" i="37"/>
  <c r="P48" i="37"/>
  <c r="N48" i="37"/>
  <c r="L48" i="37"/>
  <c r="J48" i="37"/>
  <c r="H48" i="37"/>
  <c r="F48" i="37"/>
  <c r="AB47" i="37"/>
  <c r="Z47" i="37"/>
  <c r="X47" i="37"/>
  <c r="V47" i="37"/>
  <c r="T47" i="37"/>
  <c r="R47" i="37"/>
  <c r="P47" i="37"/>
  <c r="N47" i="37"/>
  <c r="L47" i="37"/>
  <c r="J47" i="37"/>
  <c r="H47" i="37"/>
  <c r="F47" i="37"/>
  <c r="AB46" i="37"/>
  <c r="Z46" i="37"/>
  <c r="X46" i="37"/>
  <c r="V46" i="37"/>
  <c r="T46" i="37"/>
  <c r="R46" i="37"/>
  <c r="P46" i="37"/>
  <c r="N46" i="37"/>
  <c r="L46" i="37"/>
  <c r="J46" i="37"/>
  <c r="H46" i="37"/>
  <c r="F46" i="37"/>
  <c r="AB45" i="37"/>
  <c r="Z45" i="37"/>
  <c r="X45" i="37"/>
  <c r="V45" i="37"/>
  <c r="T45" i="37"/>
  <c r="R45" i="37"/>
  <c r="P45" i="37"/>
  <c r="N45" i="37"/>
  <c r="L45" i="37"/>
  <c r="J45" i="37"/>
  <c r="H45" i="37"/>
  <c r="F45" i="37"/>
  <c r="AD44" i="37"/>
  <c r="AG44" i="37" s="1"/>
  <c r="AB44" i="37"/>
  <c r="Z44" i="37"/>
  <c r="X44" i="37"/>
  <c r="V44" i="37"/>
  <c r="T44" i="37"/>
  <c r="R44" i="37"/>
  <c r="P44" i="37"/>
  <c r="N44" i="37"/>
  <c r="L44" i="37"/>
  <c r="J44" i="37"/>
  <c r="H44" i="37"/>
  <c r="F44" i="37"/>
  <c r="AE32" i="38"/>
  <c r="X32" i="38" s="1"/>
  <c r="AB55" i="35"/>
  <c r="Z55" i="35"/>
  <c r="X55" i="35"/>
  <c r="V55" i="35"/>
  <c r="T55" i="35"/>
  <c r="R55" i="35"/>
  <c r="P55" i="35"/>
  <c r="N55" i="35"/>
  <c r="L55" i="35"/>
  <c r="J55" i="35"/>
  <c r="H55" i="35"/>
  <c r="F55" i="35"/>
  <c r="AB55" i="34"/>
  <c r="Z55" i="34"/>
  <c r="X55" i="34"/>
  <c r="V55" i="34"/>
  <c r="T55" i="34"/>
  <c r="R55" i="34"/>
  <c r="P55" i="34"/>
  <c r="N55" i="34"/>
  <c r="L55" i="34"/>
  <c r="J55" i="34"/>
  <c r="H55" i="34"/>
  <c r="F55" i="34"/>
  <c r="AD44" i="35"/>
  <c r="AD52" i="35" s="1"/>
  <c r="M62" i="35"/>
  <c r="K62" i="35"/>
  <c r="I62" i="35"/>
  <c r="D62" i="35"/>
  <c r="AB61" i="35"/>
  <c r="Z61" i="35"/>
  <c r="X61" i="35"/>
  <c r="V61" i="35"/>
  <c r="T61" i="35"/>
  <c r="R61" i="35"/>
  <c r="P61" i="35"/>
  <c r="N61" i="35"/>
  <c r="L61" i="35"/>
  <c r="J61" i="35"/>
  <c r="H61" i="35"/>
  <c r="F61" i="35"/>
  <c r="AB60" i="35"/>
  <c r="Z60" i="35"/>
  <c r="X60" i="35"/>
  <c r="V60" i="35"/>
  <c r="T60" i="35"/>
  <c r="R60" i="35"/>
  <c r="P60" i="35"/>
  <c r="N60" i="35"/>
  <c r="L60" i="35"/>
  <c r="J60" i="35"/>
  <c r="H60" i="35"/>
  <c r="F60" i="35"/>
  <c r="AB59" i="35"/>
  <c r="Z59" i="35"/>
  <c r="X59" i="35"/>
  <c r="V59" i="35"/>
  <c r="T59" i="35"/>
  <c r="R59" i="35"/>
  <c r="P59" i="35"/>
  <c r="N59" i="35"/>
  <c r="L59" i="35"/>
  <c r="J59" i="35"/>
  <c r="H59" i="35"/>
  <c r="F59" i="35"/>
  <c r="AB58" i="35"/>
  <c r="Z58" i="35"/>
  <c r="X58" i="35"/>
  <c r="V58" i="35"/>
  <c r="T58" i="35"/>
  <c r="R58" i="35"/>
  <c r="P58" i="35"/>
  <c r="N58" i="35"/>
  <c r="L58" i="35"/>
  <c r="J58" i="35"/>
  <c r="H58" i="35"/>
  <c r="F58" i="35"/>
  <c r="AB57" i="35"/>
  <c r="Z57" i="35"/>
  <c r="X57" i="35"/>
  <c r="V57" i="35"/>
  <c r="T57" i="35"/>
  <c r="R57" i="35"/>
  <c r="P57" i="35"/>
  <c r="N57" i="35"/>
  <c r="L57" i="35"/>
  <c r="J57" i="35"/>
  <c r="H57" i="35"/>
  <c r="F57" i="35"/>
  <c r="AB56" i="35"/>
  <c r="Z56" i="35"/>
  <c r="X56" i="35"/>
  <c r="V56" i="35"/>
  <c r="T56" i="35"/>
  <c r="R56" i="35"/>
  <c r="P56" i="35"/>
  <c r="N56" i="35"/>
  <c r="L56" i="35"/>
  <c r="J56" i="35"/>
  <c r="H56" i="35"/>
  <c r="F56" i="35"/>
  <c r="AA62" i="35"/>
  <c r="Y62" i="35"/>
  <c r="W62" i="35"/>
  <c r="U62" i="35"/>
  <c r="S62" i="35"/>
  <c r="Q62" i="35"/>
  <c r="O62" i="35"/>
  <c r="G62" i="35"/>
  <c r="E62" i="35"/>
  <c r="AC52" i="35"/>
  <c r="AA52" i="35"/>
  <c r="Y52" i="35"/>
  <c r="W52" i="35"/>
  <c r="U52" i="35"/>
  <c r="S52" i="35"/>
  <c r="Q52" i="35"/>
  <c r="O52" i="35"/>
  <c r="M52" i="35"/>
  <c r="K52" i="35"/>
  <c r="I52" i="35"/>
  <c r="G52" i="35"/>
  <c r="E52" i="35"/>
  <c r="E52" i="34"/>
  <c r="S52" i="34"/>
  <c r="AA52" i="34"/>
  <c r="AC52" i="34"/>
  <c r="AE51" i="34"/>
  <c r="D51" i="35" s="1"/>
  <c r="AE51" i="35" s="1"/>
  <c r="AE47" i="34"/>
  <c r="AD44" i="34"/>
  <c r="J36" i="32"/>
  <c r="AB51" i="34"/>
  <c r="Z51" i="34"/>
  <c r="X51" i="34"/>
  <c r="V51" i="34"/>
  <c r="T51" i="34"/>
  <c r="R51" i="34"/>
  <c r="P51" i="34"/>
  <c r="N51" i="34"/>
  <c r="L51" i="34"/>
  <c r="J51" i="34"/>
  <c r="H51" i="34"/>
  <c r="F51" i="34"/>
  <c r="AB47" i="34"/>
  <c r="Z47" i="34"/>
  <c r="X47" i="34"/>
  <c r="V47" i="34"/>
  <c r="T47" i="34"/>
  <c r="R47" i="34"/>
  <c r="P47" i="34"/>
  <c r="N47" i="34"/>
  <c r="L47" i="34"/>
  <c r="J47" i="34"/>
  <c r="H47" i="34"/>
  <c r="F47" i="34"/>
  <c r="Y52" i="34"/>
  <c r="W52" i="34"/>
  <c r="U52" i="34"/>
  <c r="Q52" i="34"/>
  <c r="O52" i="34"/>
  <c r="M52" i="34"/>
  <c r="K52" i="34"/>
  <c r="I52" i="34"/>
  <c r="G52" i="34"/>
  <c r="D52" i="34"/>
  <c r="AE44" i="37" l="1"/>
  <c r="D44" i="38" s="1"/>
  <c r="AG44" i="38"/>
  <c r="AC72" i="34"/>
  <c r="T51" i="35"/>
  <c r="H51" i="35"/>
  <c r="L51" i="35"/>
  <c r="P51" i="35"/>
  <c r="R51" i="35"/>
  <c r="V51" i="35"/>
  <c r="N51" i="35"/>
  <c r="X51" i="35"/>
  <c r="Z51" i="35"/>
  <c r="J51" i="35"/>
  <c r="AB51" i="35"/>
  <c r="F51" i="35"/>
  <c r="D47" i="35"/>
  <c r="AE47" i="35" s="1"/>
  <c r="R51" i="46"/>
  <c r="T49" i="46"/>
  <c r="H48" i="46"/>
  <c r="X47" i="46"/>
  <c r="X48" i="46"/>
  <c r="J51" i="46"/>
  <c r="X51" i="46"/>
  <c r="D52" i="46"/>
  <c r="AB49" i="46"/>
  <c r="Z51" i="46"/>
  <c r="J47" i="46"/>
  <c r="N49" i="46"/>
  <c r="H47" i="46"/>
  <c r="F51" i="46"/>
  <c r="F49" i="46"/>
  <c r="AB51" i="46"/>
  <c r="J48" i="46"/>
  <c r="Z49" i="46"/>
  <c r="T51" i="46"/>
  <c r="L47" i="46"/>
  <c r="AB47" i="46"/>
  <c r="Z47" i="46"/>
  <c r="V47" i="46"/>
  <c r="T47" i="46"/>
  <c r="R47" i="46"/>
  <c r="P47" i="46"/>
  <c r="N47" i="46"/>
  <c r="F47" i="46"/>
  <c r="V49" i="46"/>
  <c r="R49" i="46"/>
  <c r="X49" i="46"/>
  <c r="L51" i="46"/>
  <c r="V51" i="46"/>
  <c r="P51" i="46"/>
  <c r="N51" i="46"/>
  <c r="H49" i="46"/>
  <c r="L48" i="46"/>
  <c r="F48" i="46"/>
  <c r="AB48" i="46"/>
  <c r="Z48" i="46"/>
  <c r="N48" i="46"/>
  <c r="V48" i="46"/>
  <c r="T48" i="46"/>
  <c r="R48" i="46"/>
  <c r="P48" i="46"/>
  <c r="P49" i="46"/>
  <c r="L44" i="46"/>
  <c r="J44" i="46"/>
  <c r="N44" i="46"/>
  <c r="AE44" i="46"/>
  <c r="H44" i="46"/>
  <c r="F44" i="46"/>
  <c r="AB44" i="46"/>
  <c r="Z44" i="46"/>
  <c r="X44" i="46"/>
  <c r="V44" i="46"/>
  <c r="T44" i="46"/>
  <c r="R44" i="46"/>
  <c r="P44" i="46"/>
  <c r="L49" i="46"/>
  <c r="H51" i="46"/>
  <c r="F60" i="37"/>
  <c r="H60" i="37"/>
  <c r="J60" i="37"/>
  <c r="L60" i="37"/>
  <c r="N60" i="37"/>
  <c r="P60" i="37"/>
  <c r="N47" i="38"/>
  <c r="L47" i="38"/>
  <c r="J47" i="38"/>
  <c r="X51" i="38"/>
  <c r="H51" i="38"/>
  <c r="F51" i="38"/>
  <c r="J51" i="38"/>
  <c r="L51" i="38"/>
  <c r="N51" i="38"/>
  <c r="P51" i="38"/>
  <c r="R51" i="38"/>
  <c r="T51" i="38"/>
  <c r="X50" i="38"/>
  <c r="V50" i="38"/>
  <c r="T50" i="38"/>
  <c r="P50" i="38"/>
  <c r="R50" i="38"/>
  <c r="N50" i="38"/>
  <c r="L50" i="38"/>
  <c r="F50" i="38"/>
  <c r="J50" i="38"/>
  <c r="Z50" i="38"/>
  <c r="H50" i="38"/>
  <c r="AB50" i="38"/>
  <c r="J49" i="38"/>
  <c r="L49" i="38"/>
  <c r="N49" i="38"/>
  <c r="P49" i="38"/>
  <c r="R49" i="38"/>
  <c r="T49" i="38"/>
  <c r="AB49" i="38"/>
  <c r="V49" i="38"/>
  <c r="F49" i="38"/>
  <c r="X49" i="38"/>
  <c r="H49" i="38"/>
  <c r="P48" i="38"/>
  <c r="X48" i="38"/>
  <c r="J48" i="38"/>
  <c r="R48" i="38"/>
  <c r="P47" i="38"/>
  <c r="R47" i="38"/>
  <c r="T47" i="38"/>
  <c r="V47" i="38"/>
  <c r="X47" i="38"/>
  <c r="Z47" i="38"/>
  <c r="AB47" i="38"/>
  <c r="F47" i="38"/>
  <c r="H47" i="38"/>
  <c r="X45" i="38"/>
  <c r="V45" i="38"/>
  <c r="T45" i="38"/>
  <c r="R45" i="38"/>
  <c r="P45" i="38"/>
  <c r="N45" i="38"/>
  <c r="Z45" i="38"/>
  <c r="L45" i="38"/>
  <c r="J45" i="38"/>
  <c r="F45" i="38"/>
  <c r="H45" i="38"/>
  <c r="AB45" i="38"/>
  <c r="T48" i="38"/>
  <c r="V48" i="38"/>
  <c r="Z48" i="38"/>
  <c r="AB48" i="38"/>
  <c r="F48" i="38"/>
  <c r="H48" i="38"/>
  <c r="L48" i="38"/>
  <c r="N48" i="38"/>
  <c r="V51" i="38"/>
  <c r="Z51" i="38"/>
  <c r="AD52" i="38"/>
  <c r="AD64" i="38" s="1"/>
  <c r="J32" i="38"/>
  <c r="N32" i="38"/>
  <c r="P32" i="38"/>
  <c r="AD52" i="37"/>
  <c r="AD64" i="37" s="1"/>
  <c r="R32" i="38"/>
  <c r="T32" i="38"/>
  <c r="V32" i="38"/>
  <c r="Z32" i="38"/>
  <c r="AB32" i="38"/>
  <c r="F32" i="38"/>
  <c r="AC32" i="38"/>
  <c r="AD32" i="38" s="1"/>
  <c r="AF32" i="38" s="1"/>
  <c r="H32" i="38"/>
  <c r="L32" i="38"/>
  <c r="AB44" i="34"/>
  <c r="Z44" i="34"/>
  <c r="X44" i="34"/>
  <c r="V44" i="34"/>
  <c r="T44" i="34"/>
  <c r="R44" i="34"/>
  <c r="P44" i="34"/>
  <c r="N44" i="34"/>
  <c r="L44" i="34"/>
  <c r="J44" i="34"/>
  <c r="H44" i="34"/>
  <c r="F44" i="34"/>
  <c r="AB61" i="34"/>
  <c r="Z61" i="34"/>
  <c r="X61" i="34"/>
  <c r="V61" i="34"/>
  <c r="T61" i="34"/>
  <c r="R61" i="34"/>
  <c r="P61" i="34"/>
  <c r="N61" i="34"/>
  <c r="L61" i="34"/>
  <c r="J61" i="34"/>
  <c r="H61" i="34"/>
  <c r="F61" i="34"/>
  <c r="AB60" i="34"/>
  <c r="Z60" i="34"/>
  <c r="X60" i="34"/>
  <c r="V60" i="34"/>
  <c r="T60" i="34"/>
  <c r="R60" i="34"/>
  <c r="P60" i="34"/>
  <c r="N60" i="34"/>
  <c r="L60" i="34"/>
  <c r="J60" i="34"/>
  <c r="H60" i="34"/>
  <c r="F60" i="34"/>
  <c r="AB59" i="34"/>
  <c r="Z59" i="34"/>
  <c r="X59" i="34"/>
  <c r="V59" i="34"/>
  <c r="T59" i="34"/>
  <c r="R59" i="34"/>
  <c r="P59" i="34"/>
  <c r="N59" i="34"/>
  <c r="L59" i="34"/>
  <c r="J59" i="34"/>
  <c r="H59" i="34"/>
  <c r="F59" i="34"/>
  <c r="AB58" i="34"/>
  <c r="Z58" i="34"/>
  <c r="X58" i="34"/>
  <c r="V58" i="34"/>
  <c r="T58" i="34"/>
  <c r="R58" i="34"/>
  <c r="P58" i="34"/>
  <c r="N58" i="34"/>
  <c r="L58" i="34"/>
  <c r="J58" i="34"/>
  <c r="H58" i="34"/>
  <c r="F58" i="34"/>
  <c r="AB57" i="34"/>
  <c r="Z57" i="34"/>
  <c r="X57" i="34"/>
  <c r="V57" i="34"/>
  <c r="T57" i="34"/>
  <c r="R57" i="34"/>
  <c r="P57" i="34"/>
  <c r="N57" i="34"/>
  <c r="L57" i="34"/>
  <c r="J57" i="34"/>
  <c r="H57" i="34"/>
  <c r="F57" i="34"/>
  <c r="AB56" i="34"/>
  <c r="Z56" i="34"/>
  <c r="X56" i="34"/>
  <c r="V56" i="34"/>
  <c r="T56" i="34"/>
  <c r="R56" i="34"/>
  <c r="P56" i="34"/>
  <c r="N56" i="34"/>
  <c r="L56" i="34"/>
  <c r="J56" i="34"/>
  <c r="H56" i="34"/>
  <c r="F56" i="34"/>
  <c r="L35" i="43"/>
  <c r="J35" i="43"/>
  <c r="AE32" i="46" s="1"/>
  <c r="H35" i="43"/>
  <c r="AE32" i="45" s="1"/>
  <c r="G35" i="43"/>
  <c r="E102" i="51"/>
  <c r="D102" i="51"/>
  <c r="C102" i="51"/>
  <c r="B102" i="51"/>
  <c r="G35" i="30"/>
  <c r="E102" i="49"/>
  <c r="D102" i="49"/>
  <c r="C102" i="49"/>
  <c r="B102" i="49"/>
  <c r="E102" i="50"/>
  <c r="D102" i="50"/>
  <c r="C102" i="50"/>
  <c r="B102" i="50"/>
  <c r="L35" i="17"/>
  <c r="E114" i="51"/>
  <c r="D114" i="51"/>
  <c r="C114" i="51"/>
  <c r="B114" i="51"/>
  <c r="E114" i="50"/>
  <c r="D114" i="50"/>
  <c r="C114" i="50"/>
  <c r="B114" i="50"/>
  <c r="E114" i="49"/>
  <c r="D114" i="49"/>
  <c r="C114" i="49"/>
  <c r="B114" i="49"/>
  <c r="J35" i="32"/>
  <c r="H35" i="32"/>
  <c r="F35" i="32"/>
  <c r="AE32" i="34" s="1"/>
  <c r="R32" i="34" s="1"/>
  <c r="E35" i="32"/>
  <c r="K35" i="31"/>
  <c r="I35" i="31"/>
  <c r="G35" i="31"/>
  <c r="K35" i="30"/>
  <c r="I35" i="30"/>
  <c r="F35" i="43"/>
  <c r="E35" i="43"/>
  <c r="I35" i="43" s="1"/>
  <c r="M35" i="42"/>
  <c r="K35" i="42"/>
  <c r="F35" i="42"/>
  <c r="E35" i="42"/>
  <c r="I35" i="42" s="1"/>
  <c r="M35" i="41"/>
  <c r="K35" i="41"/>
  <c r="F35" i="41"/>
  <c r="E35" i="41"/>
  <c r="I35" i="41" s="1"/>
  <c r="K35" i="32" l="1"/>
  <c r="X44" i="38"/>
  <c r="V44" i="38"/>
  <c r="T44" i="38"/>
  <c r="R44" i="38"/>
  <c r="P44" i="38"/>
  <c r="N44" i="38"/>
  <c r="L44" i="38"/>
  <c r="J44" i="38"/>
  <c r="F44" i="38"/>
  <c r="H44" i="38"/>
  <c r="AB44" i="38"/>
  <c r="Z44" i="38"/>
  <c r="AE44" i="38"/>
  <c r="H47" i="35"/>
  <c r="L47" i="35"/>
  <c r="F47" i="35"/>
  <c r="AB47" i="35"/>
  <c r="Z47" i="35"/>
  <c r="X47" i="35"/>
  <c r="V47" i="35"/>
  <c r="R47" i="35"/>
  <c r="J47" i="35"/>
  <c r="T47" i="35"/>
  <c r="P47" i="35"/>
  <c r="N47" i="35"/>
  <c r="AE52" i="46"/>
  <c r="AE52" i="37"/>
  <c r="AG44" i="34"/>
  <c r="AD52" i="34"/>
  <c r="J32" i="34"/>
  <c r="N32" i="34"/>
  <c r="AE44" i="34"/>
  <c r="D44" i="35" s="1"/>
  <c r="P32" i="34"/>
  <c r="T32" i="34"/>
  <c r="V32" i="34"/>
  <c r="X32" i="34"/>
  <c r="Z32" i="34"/>
  <c r="AB32" i="34"/>
  <c r="F32" i="34"/>
  <c r="AC32" i="34"/>
  <c r="H32" i="34"/>
  <c r="L32" i="34"/>
  <c r="AE32" i="35"/>
  <c r="G35" i="32"/>
  <c r="M35" i="43"/>
  <c r="T32" i="46"/>
  <c r="X32" i="46"/>
  <c r="Z32" i="46"/>
  <c r="V32" i="46"/>
  <c r="K35" i="43"/>
  <c r="I35" i="32"/>
  <c r="AB32" i="46"/>
  <c r="J32" i="46"/>
  <c r="N32" i="46"/>
  <c r="P32" i="46"/>
  <c r="R32" i="46"/>
  <c r="F32" i="46"/>
  <c r="AC32" i="46"/>
  <c r="AD32" i="46" s="1"/>
  <c r="AF32" i="46" s="1"/>
  <c r="H32" i="46"/>
  <c r="L32" i="46"/>
  <c r="AC32" i="45"/>
  <c r="AD32" i="45" s="1"/>
  <c r="AF32" i="45" s="1"/>
  <c r="K35" i="2"/>
  <c r="I35" i="2"/>
  <c r="G35" i="2"/>
  <c r="AE32" i="37" s="1"/>
  <c r="F35" i="2"/>
  <c r="L35" i="16"/>
  <c r="J35" i="16"/>
  <c r="E35" i="16"/>
  <c r="H35" i="16" s="1"/>
  <c r="J35" i="17"/>
  <c r="E35" i="17"/>
  <c r="H35" i="17" s="1"/>
  <c r="H44" i="35" l="1"/>
  <c r="F44" i="35"/>
  <c r="X44" i="35"/>
  <c r="AB44" i="35"/>
  <c r="Z44" i="35"/>
  <c r="J44" i="35"/>
  <c r="T44" i="35"/>
  <c r="V44" i="35"/>
  <c r="R44" i="35"/>
  <c r="N44" i="35"/>
  <c r="P44" i="35"/>
  <c r="L44" i="35"/>
  <c r="AG44" i="35"/>
  <c r="AE44" i="35"/>
  <c r="R46" i="38"/>
  <c r="J46" i="38"/>
  <c r="H46" i="38"/>
  <c r="X46" i="38"/>
  <c r="F46" i="38"/>
  <c r="L46" i="38"/>
  <c r="AB46" i="38"/>
  <c r="Z46" i="38"/>
  <c r="V46" i="38"/>
  <c r="T46" i="38"/>
  <c r="P46" i="38"/>
  <c r="N46" i="38"/>
  <c r="AE52" i="38"/>
  <c r="D52" i="38"/>
  <c r="AC32" i="37"/>
  <c r="AD32" i="37" s="1"/>
  <c r="AF32" i="37" s="1"/>
  <c r="H32" i="37"/>
  <c r="F32" i="37"/>
  <c r="AB32" i="37"/>
  <c r="Z32" i="37"/>
  <c r="J32" i="37"/>
  <c r="X32" i="37"/>
  <c r="V32" i="37"/>
  <c r="L32" i="37"/>
  <c r="T32" i="37"/>
  <c r="R32" i="37"/>
  <c r="P32" i="37"/>
  <c r="N32" i="37"/>
  <c r="AD32" i="34"/>
  <c r="AF32" i="34" s="1"/>
  <c r="Z32" i="35"/>
  <c r="X32" i="35"/>
  <c r="V32" i="35"/>
  <c r="T32" i="35"/>
  <c r="R32" i="35"/>
  <c r="P32" i="35"/>
  <c r="N32" i="35"/>
  <c r="L32" i="35"/>
  <c r="J32" i="35"/>
  <c r="H32" i="35"/>
  <c r="F32" i="35"/>
  <c r="AB32" i="35"/>
  <c r="AC32" i="35"/>
  <c r="AD32" i="35" s="1"/>
  <c r="AF32" i="35" s="1"/>
  <c r="J35" i="2"/>
  <c r="L35" i="2"/>
  <c r="E35" i="2"/>
  <c r="H35" i="2" s="1"/>
  <c r="E62" i="34" l="1"/>
  <c r="B116" i="51"/>
  <c r="B115" i="51"/>
  <c r="B113" i="51"/>
  <c r="B112" i="51"/>
  <c r="B111" i="51"/>
  <c r="B110" i="51"/>
  <c r="B109" i="51"/>
  <c r="B108" i="51"/>
  <c r="B104" i="51"/>
  <c r="B103" i="51"/>
  <c r="B101" i="51"/>
  <c r="B100" i="51"/>
  <c r="B99" i="51"/>
  <c r="B98" i="51"/>
  <c r="B97" i="51"/>
  <c r="B96" i="51"/>
  <c r="B76" i="51"/>
  <c r="B73" i="51"/>
  <c r="B72" i="51"/>
  <c r="B71" i="51"/>
  <c r="B70" i="51"/>
  <c r="B66" i="51"/>
  <c r="B65" i="51"/>
  <c r="B63" i="51"/>
  <c r="B62" i="51"/>
  <c r="B58" i="51"/>
  <c r="B57" i="51"/>
  <c r="B56" i="51"/>
  <c r="B55" i="51"/>
  <c r="B54" i="51"/>
  <c r="B53" i="51"/>
  <c r="B52" i="51"/>
  <c r="B51" i="51"/>
  <c r="B47" i="51"/>
  <c r="B46" i="51"/>
  <c r="B45" i="51"/>
  <c r="B44" i="51"/>
  <c r="B43" i="51"/>
  <c r="B11" i="51"/>
  <c r="B9" i="51"/>
  <c r="B8" i="51"/>
  <c r="B7" i="51"/>
  <c r="B116" i="50"/>
  <c r="B115" i="50"/>
  <c r="B113" i="50"/>
  <c r="B112" i="50"/>
  <c r="B111" i="50"/>
  <c r="B110" i="50"/>
  <c r="B109" i="50"/>
  <c r="B108" i="50"/>
  <c r="B104" i="50"/>
  <c r="B103" i="50"/>
  <c r="B101" i="50"/>
  <c r="B100" i="50"/>
  <c r="B99" i="50"/>
  <c r="B98" i="50"/>
  <c r="B97" i="50"/>
  <c r="B96" i="50"/>
  <c r="B76" i="50"/>
  <c r="B73" i="50"/>
  <c r="B72" i="50"/>
  <c r="B71" i="50"/>
  <c r="B70" i="50"/>
  <c r="B66" i="50"/>
  <c r="B65" i="50"/>
  <c r="B63" i="50"/>
  <c r="B62" i="50"/>
  <c r="B58" i="50"/>
  <c r="B57" i="50"/>
  <c r="B56" i="50"/>
  <c r="B55" i="50"/>
  <c r="B54" i="50"/>
  <c r="B53" i="50"/>
  <c r="B52" i="50"/>
  <c r="B51" i="50"/>
  <c r="B47" i="50"/>
  <c r="B46" i="50"/>
  <c r="B45" i="50"/>
  <c r="B44" i="50"/>
  <c r="B43" i="50"/>
  <c r="B11" i="50"/>
  <c r="B9" i="50"/>
  <c r="B8" i="50"/>
  <c r="B7" i="50"/>
  <c r="A7" i="39"/>
  <c r="A7" i="14"/>
  <c r="E84" i="16"/>
  <c r="E85" i="16"/>
  <c r="E86" i="16"/>
  <c r="E87" i="16"/>
  <c r="E88" i="16"/>
  <c r="E89" i="16"/>
  <c r="F83" i="42"/>
  <c r="F84" i="42"/>
  <c r="F85" i="42"/>
  <c r="F86" i="42"/>
  <c r="F87" i="42"/>
  <c r="F88" i="42"/>
  <c r="F89" i="42"/>
  <c r="E83" i="42"/>
  <c r="E84" i="42"/>
  <c r="E85" i="42"/>
  <c r="E86" i="42"/>
  <c r="E87" i="42"/>
  <c r="E88" i="42"/>
  <c r="E89" i="42"/>
  <c r="F78" i="42"/>
  <c r="F79" i="42"/>
  <c r="F80" i="42"/>
  <c r="F81" i="42"/>
  <c r="F82" i="42"/>
  <c r="E78" i="42"/>
  <c r="E79" i="42"/>
  <c r="E80" i="42"/>
  <c r="E81" i="42"/>
  <c r="E82" i="42"/>
  <c r="E79" i="16"/>
  <c r="E80" i="16"/>
  <c r="E81" i="16"/>
  <c r="E82" i="16"/>
  <c r="E83" i="16"/>
  <c r="E35" i="51"/>
  <c r="D35" i="51"/>
  <c r="C35" i="51"/>
  <c r="E34" i="51"/>
  <c r="D34" i="51"/>
  <c r="C34" i="51"/>
  <c r="E34" i="49"/>
  <c r="D34" i="49"/>
  <c r="C34" i="49"/>
  <c r="E34" i="50"/>
  <c r="D34" i="50"/>
  <c r="C34" i="50"/>
  <c r="E27" i="51"/>
  <c r="D27" i="51"/>
  <c r="C27" i="51"/>
  <c r="E23" i="51"/>
  <c r="D23" i="51"/>
  <c r="C23" i="51"/>
  <c r="E35" i="49"/>
  <c r="D35" i="49"/>
  <c r="C35" i="49"/>
  <c r="E35" i="50"/>
  <c r="D35" i="50"/>
  <c r="C35" i="50"/>
  <c r="E27" i="50"/>
  <c r="D27" i="50"/>
  <c r="C27" i="50"/>
  <c r="E23" i="50"/>
  <c r="D23" i="50"/>
  <c r="C23" i="50"/>
  <c r="D62" i="34"/>
  <c r="C88" i="51"/>
  <c r="C88" i="49"/>
  <c r="C88" i="50"/>
  <c r="E27" i="49"/>
  <c r="D27" i="49"/>
  <c r="C27" i="49"/>
  <c r="E23" i="49"/>
  <c r="D23" i="49"/>
  <c r="C23" i="49"/>
  <c r="K56" i="40"/>
  <c r="I56" i="40"/>
  <c r="K40" i="40"/>
  <c r="I40" i="40"/>
  <c r="K56" i="21"/>
  <c r="I56" i="21"/>
  <c r="K40" i="21"/>
  <c r="I40" i="21"/>
  <c r="K56" i="29"/>
  <c r="I56" i="29"/>
  <c r="K40" i="29"/>
  <c r="I40" i="29"/>
  <c r="B26" i="48"/>
  <c r="E11" i="51"/>
  <c r="D11" i="51"/>
  <c r="C11" i="51"/>
  <c r="E76" i="16"/>
  <c r="E77" i="16"/>
  <c r="E78" i="16"/>
  <c r="E75" i="16"/>
  <c r="E76" i="42"/>
  <c r="F76" i="42"/>
  <c r="E77" i="42"/>
  <c r="F77" i="42"/>
  <c r="F75" i="42"/>
  <c r="I75" i="42" s="1"/>
  <c r="E75" i="42"/>
  <c r="G75" i="42" s="1"/>
  <c r="F95" i="42"/>
  <c r="F96" i="42"/>
  <c r="F97" i="42"/>
  <c r="F98" i="42"/>
  <c r="F99" i="42"/>
  <c r="F100" i="42"/>
  <c r="F101" i="42"/>
  <c r="F102" i="42"/>
  <c r="F103" i="42"/>
  <c r="F104" i="42"/>
  <c r="F105" i="42"/>
  <c r="F106" i="42"/>
  <c r="F107" i="42"/>
  <c r="F108" i="42"/>
  <c r="F109" i="42"/>
  <c r="F110" i="42"/>
  <c r="F111" i="42"/>
  <c r="F112" i="42"/>
  <c r="F113" i="42"/>
  <c r="E95" i="42"/>
  <c r="E96" i="42"/>
  <c r="E97" i="42"/>
  <c r="E98" i="42"/>
  <c r="E99" i="42"/>
  <c r="E100" i="42"/>
  <c r="E101" i="42"/>
  <c r="E102" i="42"/>
  <c r="E103" i="42"/>
  <c r="E104" i="42"/>
  <c r="E105" i="42"/>
  <c r="E106" i="42"/>
  <c r="E107" i="42"/>
  <c r="E108" i="42"/>
  <c r="E109" i="42"/>
  <c r="E110" i="42"/>
  <c r="E111" i="42"/>
  <c r="E112" i="42"/>
  <c r="E113" i="42"/>
  <c r="E95" i="16"/>
  <c r="E96" i="16"/>
  <c r="E97" i="16"/>
  <c r="E98" i="16"/>
  <c r="E99" i="16"/>
  <c r="E100" i="16"/>
  <c r="E101" i="16"/>
  <c r="E102" i="16"/>
  <c r="E103" i="16"/>
  <c r="E104" i="16"/>
  <c r="E105" i="16"/>
  <c r="E106" i="16"/>
  <c r="E107" i="16"/>
  <c r="E108" i="16"/>
  <c r="E109" i="16"/>
  <c r="E110" i="16"/>
  <c r="E111" i="16"/>
  <c r="E112" i="16"/>
  <c r="E113" i="16"/>
  <c r="H113" i="16" s="1"/>
  <c r="L114" i="42"/>
  <c r="L17" i="42" s="1"/>
  <c r="J114" i="42"/>
  <c r="J17" i="42" s="1"/>
  <c r="H114" i="42"/>
  <c r="K114" i="42" s="1"/>
  <c r="G114" i="42"/>
  <c r="G17" i="42" s="1"/>
  <c r="M113" i="42"/>
  <c r="K113" i="42"/>
  <c r="M112" i="42"/>
  <c r="K112" i="42"/>
  <c r="M111" i="42"/>
  <c r="K111" i="42"/>
  <c r="M110" i="42"/>
  <c r="K110" i="42"/>
  <c r="M109" i="42"/>
  <c r="K109" i="42"/>
  <c r="M108" i="42"/>
  <c r="K108" i="42"/>
  <c r="M107" i="42"/>
  <c r="K107" i="42"/>
  <c r="M106" i="42"/>
  <c r="K106" i="42"/>
  <c r="M105" i="42"/>
  <c r="K105" i="42"/>
  <c r="M104" i="42"/>
  <c r="K104" i="42"/>
  <c r="M103" i="42"/>
  <c r="K103" i="42"/>
  <c r="AE46" i="34"/>
  <c r="D46" i="35" s="1"/>
  <c r="AE49" i="34"/>
  <c r="D49" i="35" s="1"/>
  <c r="AE50" i="34"/>
  <c r="D50" i="35" s="1"/>
  <c r="F156" i="42"/>
  <c r="F154" i="42"/>
  <c r="F153" i="42"/>
  <c r="F150" i="42"/>
  <c r="E156" i="42"/>
  <c r="I156" i="42" s="1"/>
  <c r="E154" i="42"/>
  <c r="I154" i="42" s="1"/>
  <c r="E153" i="42"/>
  <c r="I153" i="42" s="1"/>
  <c r="E150" i="42"/>
  <c r="I150" i="42" s="1"/>
  <c r="G152" i="42"/>
  <c r="G155" i="42" s="1"/>
  <c r="M156" i="42"/>
  <c r="M154" i="42"/>
  <c r="M153" i="42"/>
  <c r="M150" i="42"/>
  <c r="K156" i="42"/>
  <c r="K154" i="42"/>
  <c r="K153" i="42"/>
  <c r="K150" i="42"/>
  <c r="L152" i="42"/>
  <c r="L155" i="42"/>
  <c r="E92" i="51"/>
  <c r="E156" i="16"/>
  <c r="H156" i="16"/>
  <c r="E154" i="16"/>
  <c r="H154" i="16" s="1"/>
  <c r="E153" i="16"/>
  <c r="H153" i="16" s="1"/>
  <c r="E150" i="16"/>
  <c r="H150" i="16"/>
  <c r="L156" i="16"/>
  <c r="L154" i="16"/>
  <c r="L153" i="16"/>
  <c r="J156" i="16"/>
  <c r="J154" i="16"/>
  <c r="J153" i="16"/>
  <c r="L150" i="16"/>
  <c r="J150" i="16"/>
  <c r="K152" i="16"/>
  <c r="E89" i="50"/>
  <c r="K155" i="16"/>
  <c r="E92" i="50" s="1"/>
  <c r="I152" i="16"/>
  <c r="L152" i="16" s="1"/>
  <c r="G152" i="16"/>
  <c r="G155" i="16" s="1"/>
  <c r="J26" i="44"/>
  <c r="I26" i="44"/>
  <c r="H26" i="44"/>
  <c r="G26" i="44"/>
  <c r="F26" i="44"/>
  <c r="E26" i="44"/>
  <c r="D26" i="44"/>
  <c r="J26" i="15"/>
  <c r="I26" i="15"/>
  <c r="H26" i="15"/>
  <c r="G26" i="15"/>
  <c r="F26" i="15"/>
  <c r="E26" i="15"/>
  <c r="D26" i="15"/>
  <c r="M75" i="42"/>
  <c r="C119" i="51"/>
  <c r="D119" i="51"/>
  <c r="E119" i="51"/>
  <c r="C120" i="51"/>
  <c r="C121" i="51"/>
  <c r="C122" i="51"/>
  <c r="D120" i="51"/>
  <c r="D121" i="51"/>
  <c r="D122" i="51"/>
  <c r="E120" i="51"/>
  <c r="E121" i="51"/>
  <c r="E122" i="51"/>
  <c r="E109" i="51"/>
  <c r="E110" i="51"/>
  <c r="E111" i="51"/>
  <c r="E112" i="51"/>
  <c r="E113" i="51"/>
  <c r="E115" i="51"/>
  <c r="E116" i="51"/>
  <c r="D109" i="51"/>
  <c r="D110" i="51"/>
  <c r="D111" i="51"/>
  <c r="D112" i="51"/>
  <c r="D113" i="51"/>
  <c r="D115" i="51"/>
  <c r="D116" i="51"/>
  <c r="C109" i="51"/>
  <c r="C110" i="51"/>
  <c r="C111" i="51"/>
  <c r="C112" i="51"/>
  <c r="C113" i="51"/>
  <c r="C115" i="51"/>
  <c r="C116" i="51"/>
  <c r="E108" i="51"/>
  <c r="D108" i="51"/>
  <c r="C108" i="51"/>
  <c r="E97" i="51"/>
  <c r="E98" i="51"/>
  <c r="E99" i="51"/>
  <c r="E100" i="51"/>
  <c r="E101" i="51"/>
  <c r="E103" i="51"/>
  <c r="E104" i="51"/>
  <c r="D97" i="51"/>
  <c r="D98" i="51"/>
  <c r="D99" i="51"/>
  <c r="D100" i="51"/>
  <c r="D101" i="51"/>
  <c r="D103" i="51"/>
  <c r="D104" i="51"/>
  <c r="C97" i="51"/>
  <c r="C98" i="51"/>
  <c r="C99" i="51"/>
  <c r="C100" i="51"/>
  <c r="C101" i="51"/>
  <c r="C103" i="51"/>
  <c r="C104" i="51"/>
  <c r="E96" i="51"/>
  <c r="D96" i="51"/>
  <c r="C96" i="51"/>
  <c r="E93" i="51"/>
  <c r="E91" i="51"/>
  <c r="E90" i="51"/>
  <c r="E87" i="51"/>
  <c r="D93" i="51"/>
  <c r="D91" i="51"/>
  <c r="D90" i="51"/>
  <c r="D87" i="51"/>
  <c r="C93" i="51"/>
  <c r="C91" i="51"/>
  <c r="C90" i="51"/>
  <c r="C87" i="51"/>
  <c r="E76" i="51"/>
  <c r="D76" i="51"/>
  <c r="C76" i="51"/>
  <c r="E73" i="51"/>
  <c r="E72" i="51"/>
  <c r="E71" i="51"/>
  <c r="D73" i="51"/>
  <c r="D72" i="51"/>
  <c r="D71" i="51"/>
  <c r="C73" i="51"/>
  <c r="C72" i="51"/>
  <c r="C71" i="51"/>
  <c r="E66" i="51"/>
  <c r="E65" i="51"/>
  <c r="E63" i="51"/>
  <c r="E62" i="51"/>
  <c r="D66" i="51"/>
  <c r="D65" i="51"/>
  <c r="D63" i="51"/>
  <c r="D62" i="51"/>
  <c r="D64" i="51" s="1"/>
  <c r="C66" i="51"/>
  <c r="C65" i="51"/>
  <c r="E58" i="51"/>
  <c r="E57" i="51"/>
  <c r="E56" i="51"/>
  <c r="E55" i="51"/>
  <c r="E54" i="51"/>
  <c r="E53" i="51"/>
  <c r="E52" i="51"/>
  <c r="E51" i="51"/>
  <c r="D58" i="51"/>
  <c r="D57" i="51"/>
  <c r="D56" i="51"/>
  <c r="D55" i="51"/>
  <c r="D54" i="51"/>
  <c r="D53" i="51"/>
  <c r="D52" i="51"/>
  <c r="D51" i="51"/>
  <c r="C58" i="51"/>
  <c r="C57" i="51"/>
  <c r="C56" i="51"/>
  <c r="C55" i="51"/>
  <c r="C54" i="51"/>
  <c r="C53" i="51"/>
  <c r="C52" i="51"/>
  <c r="C51" i="51"/>
  <c r="E44" i="51"/>
  <c r="E45" i="51"/>
  <c r="E46" i="51"/>
  <c r="E47" i="51"/>
  <c r="E43" i="51"/>
  <c r="D47" i="51"/>
  <c r="D46" i="51"/>
  <c r="D45" i="51"/>
  <c r="D44" i="51"/>
  <c r="D43" i="51"/>
  <c r="C142" i="51"/>
  <c r="A140" i="51"/>
  <c r="E139" i="51"/>
  <c r="D139" i="51"/>
  <c r="C139" i="51"/>
  <c r="A139" i="51"/>
  <c r="E138" i="51"/>
  <c r="D138" i="51"/>
  <c r="C138" i="51"/>
  <c r="A138" i="51"/>
  <c r="E137" i="51"/>
  <c r="D137" i="51"/>
  <c r="C137" i="51"/>
  <c r="A137" i="51"/>
  <c r="E136" i="51"/>
  <c r="D136" i="51"/>
  <c r="C136" i="51"/>
  <c r="A136" i="51"/>
  <c r="E135" i="51"/>
  <c r="D135" i="51"/>
  <c r="C135" i="51"/>
  <c r="A135" i="51"/>
  <c r="E134" i="51"/>
  <c r="D134" i="51"/>
  <c r="C134" i="51"/>
  <c r="A134" i="51"/>
  <c r="E133" i="51"/>
  <c r="D133" i="51"/>
  <c r="C133" i="51"/>
  <c r="A133" i="51"/>
  <c r="E132" i="51"/>
  <c r="D132" i="51"/>
  <c r="C132" i="51"/>
  <c r="A132" i="51"/>
  <c r="E131" i="51"/>
  <c r="D131" i="51"/>
  <c r="C131" i="51"/>
  <c r="A131" i="51"/>
  <c r="E130" i="51"/>
  <c r="D130" i="51"/>
  <c r="C130" i="51"/>
  <c r="A130" i="51"/>
  <c r="E129" i="51"/>
  <c r="D129" i="51"/>
  <c r="C129" i="51"/>
  <c r="A129" i="51"/>
  <c r="E126" i="51"/>
  <c r="D126" i="51"/>
  <c r="C126" i="51"/>
  <c r="E125" i="51"/>
  <c r="D125" i="51"/>
  <c r="C125" i="51"/>
  <c r="E40" i="51"/>
  <c r="D40" i="51"/>
  <c r="C40" i="51"/>
  <c r="E39" i="51"/>
  <c r="D39" i="51"/>
  <c r="C39" i="51"/>
  <c r="E38" i="51"/>
  <c r="D38" i="51"/>
  <c r="C38" i="51"/>
  <c r="E37" i="51"/>
  <c r="D37" i="51"/>
  <c r="C37" i="51"/>
  <c r="E33" i="51"/>
  <c r="D33" i="51"/>
  <c r="C33" i="51"/>
  <c r="E32" i="51"/>
  <c r="D32" i="51"/>
  <c r="C32" i="51"/>
  <c r="E30" i="51"/>
  <c r="D30" i="51"/>
  <c r="C30" i="51"/>
  <c r="E29" i="51"/>
  <c r="D29" i="51"/>
  <c r="C29" i="51"/>
  <c r="E26" i="51"/>
  <c r="D26" i="51"/>
  <c r="C26" i="51"/>
  <c r="E25" i="51"/>
  <c r="D25" i="51"/>
  <c r="C25" i="51"/>
  <c r="E22" i="51"/>
  <c r="D22" i="51"/>
  <c r="C22" i="51"/>
  <c r="E21" i="51"/>
  <c r="D21" i="51"/>
  <c r="C21" i="51"/>
  <c r="E20" i="51"/>
  <c r="D20" i="51"/>
  <c r="C20" i="51"/>
  <c r="E18" i="51"/>
  <c r="D18" i="51"/>
  <c r="C18" i="51"/>
  <c r="E17" i="51"/>
  <c r="D17" i="51"/>
  <c r="C17" i="51"/>
  <c r="E15" i="51"/>
  <c r="D15" i="51"/>
  <c r="C15" i="51"/>
  <c r="E14" i="51"/>
  <c r="D14" i="51"/>
  <c r="C14" i="51"/>
  <c r="E13" i="51"/>
  <c r="D13" i="51"/>
  <c r="C13" i="51"/>
  <c r="E9" i="51"/>
  <c r="D9" i="51"/>
  <c r="C9" i="51"/>
  <c r="E8" i="51"/>
  <c r="D8" i="51"/>
  <c r="C8" i="51"/>
  <c r="E7" i="51"/>
  <c r="D7" i="51"/>
  <c r="C7" i="51"/>
  <c r="A4" i="51"/>
  <c r="A3" i="51"/>
  <c r="A1" i="51"/>
  <c r="A5" i="47"/>
  <c r="K150" i="31"/>
  <c r="I150" i="31"/>
  <c r="G150" i="31"/>
  <c r="E65" i="50"/>
  <c r="D65" i="50"/>
  <c r="C46" i="50"/>
  <c r="C65" i="50"/>
  <c r="D116" i="50"/>
  <c r="D115" i="50"/>
  <c r="D113" i="50"/>
  <c r="D112" i="50"/>
  <c r="D111" i="50"/>
  <c r="D110" i="50"/>
  <c r="D109" i="50"/>
  <c r="D108" i="50"/>
  <c r="C116" i="50"/>
  <c r="C115" i="50"/>
  <c r="C113" i="50"/>
  <c r="C112" i="50"/>
  <c r="C111" i="50"/>
  <c r="C110" i="50"/>
  <c r="C109" i="50"/>
  <c r="C108" i="50"/>
  <c r="C104" i="50"/>
  <c r="C103" i="50"/>
  <c r="D104" i="50"/>
  <c r="D103" i="50"/>
  <c r="E93" i="50"/>
  <c r="E91" i="50"/>
  <c r="E90" i="50"/>
  <c r="D93" i="50"/>
  <c r="D91" i="50"/>
  <c r="D90" i="50"/>
  <c r="C93" i="50"/>
  <c r="C90" i="50"/>
  <c r="C91" i="50"/>
  <c r="E87" i="50"/>
  <c r="D87" i="50"/>
  <c r="C87" i="50"/>
  <c r="J152" i="42"/>
  <c r="H152" i="42"/>
  <c r="F152" i="16"/>
  <c r="A140" i="50"/>
  <c r="A139" i="50"/>
  <c r="A138" i="50"/>
  <c r="A137" i="50"/>
  <c r="A136" i="50"/>
  <c r="A135" i="50"/>
  <c r="A134" i="50"/>
  <c r="A133" i="50"/>
  <c r="A132" i="50"/>
  <c r="A131" i="50"/>
  <c r="A130" i="50"/>
  <c r="A129" i="50"/>
  <c r="C142" i="50"/>
  <c r="E139" i="50"/>
  <c r="D139" i="50"/>
  <c r="C139" i="50"/>
  <c r="E138" i="50"/>
  <c r="D138" i="50"/>
  <c r="C138" i="50"/>
  <c r="E137" i="50"/>
  <c r="D137" i="50"/>
  <c r="C137" i="50"/>
  <c r="E136" i="50"/>
  <c r="D136" i="50"/>
  <c r="C136" i="50"/>
  <c r="E135" i="50"/>
  <c r="D135" i="50"/>
  <c r="C135" i="50"/>
  <c r="E134" i="50"/>
  <c r="D134" i="50"/>
  <c r="C134" i="50"/>
  <c r="E133" i="50"/>
  <c r="D133" i="50"/>
  <c r="C133" i="50"/>
  <c r="E132" i="50"/>
  <c r="D132" i="50"/>
  <c r="C132" i="50"/>
  <c r="E131" i="50"/>
  <c r="D131" i="50"/>
  <c r="C131" i="50"/>
  <c r="E130" i="50"/>
  <c r="D130" i="50"/>
  <c r="C130" i="50"/>
  <c r="E129" i="50"/>
  <c r="D129" i="50"/>
  <c r="C129" i="50"/>
  <c r="E116" i="50"/>
  <c r="E115" i="50"/>
  <c r="E113" i="50"/>
  <c r="E112" i="50"/>
  <c r="E111" i="50"/>
  <c r="E110" i="50"/>
  <c r="E109" i="50"/>
  <c r="E108" i="50"/>
  <c r="E126" i="50"/>
  <c r="D126" i="50"/>
  <c r="C126" i="50"/>
  <c r="E125" i="50"/>
  <c r="D125" i="50"/>
  <c r="C125" i="50"/>
  <c r="E122" i="50"/>
  <c r="D122" i="50"/>
  <c r="C122" i="50"/>
  <c r="E121" i="50"/>
  <c r="D121" i="50"/>
  <c r="C121" i="50"/>
  <c r="E120" i="50"/>
  <c r="D120" i="50"/>
  <c r="C120" i="50"/>
  <c r="E119" i="50"/>
  <c r="D119" i="50"/>
  <c r="C119" i="50"/>
  <c r="E104" i="50"/>
  <c r="E103" i="50"/>
  <c r="E101" i="50"/>
  <c r="D101" i="50"/>
  <c r="C101" i="50"/>
  <c r="E100" i="50"/>
  <c r="D100" i="50"/>
  <c r="C100" i="50"/>
  <c r="E99" i="50"/>
  <c r="D99" i="50"/>
  <c r="C99" i="50"/>
  <c r="E98" i="50"/>
  <c r="D98" i="50"/>
  <c r="C98" i="50"/>
  <c r="E97" i="50"/>
  <c r="D97" i="50"/>
  <c r="C97" i="50"/>
  <c r="E96" i="50"/>
  <c r="D96" i="50"/>
  <c r="C96" i="50"/>
  <c r="E76" i="50"/>
  <c r="D76" i="50"/>
  <c r="C76" i="50"/>
  <c r="E73" i="50"/>
  <c r="E72" i="50"/>
  <c r="E71" i="50"/>
  <c r="D73" i="50"/>
  <c r="D72" i="50"/>
  <c r="C73" i="50"/>
  <c r="C72" i="50"/>
  <c r="D71" i="50"/>
  <c r="C71" i="50"/>
  <c r="C66" i="50"/>
  <c r="E66" i="50"/>
  <c r="E63" i="50"/>
  <c r="E64" i="50" s="1"/>
  <c r="E62" i="50"/>
  <c r="D66" i="50"/>
  <c r="D63" i="50"/>
  <c r="D62" i="50"/>
  <c r="C63" i="50"/>
  <c r="E58" i="50"/>
  <c r="E57" i="50"/>
  <c r="E56" i="50"/>
  <c r="E55" i="50"/>
  <c r="E54" i="50"/>
  <c r="E53" i="50"/>
  <c r="E52" i="50"/>
  <c r="E51" i="50"/>
  <c r="D58" i="50"/>
  <c r="D57" i="50"/>
  <c r="D56" i="50"/>
  <c r="D55" i="50"/>
  <c r="D54" i="50"/>
  <c r="D53" i="50"/>
  <c r="D52" i="50"/>
  <c r="D51" i="50"/>
  <c r="C58" i="50"/>
  <c r="C57" i="50"/>
  <c r="C56" i="50"/>
  <c r="C55" i="50"/>
  <c r="C54" i="50"/>
  <c r="C53" i="50"/>
  <c r="C52" i="50"/>
  <c r="C51" i="50"/>
  <c r="E44" i="50"/>
  <c r="E45" i="50"/>
  <c r="E46" i="50"/>
  <c r="E47" i="50"/>
  <c r="D44" i="50"/>
  <c r="D45" i="50"/>
  <c r="D46" i="50"/>
  <c r="D47" i="50"/>
  <c r="C44" i="50"/>
  <c r="C47" i="50"/>
  <c r="E43" i="50"/>
  <c r="D43" i="50"/>
  <c r="E40" i="50"/>
  <c r="D40" i="50"/>
  <c r="C40" i="50"/>
  <c r="E39" i="50"/>
  <c r="D39" i="50"/>
  <c r="C39" i="50"/>
  <c r="E38" i="50"/>
  <c r="D38" i="50"/>
  <c r="C38" i="50"/>
  <c r="E37" i="50"/>
  <c r="D37" i="50"/>
  <c r="C37" i="50"/>
  <c r="E33" i="50"/>
  <c r="D33" i="50"/>
  <c r="C33" i="50"/>
  <c r="E32" i="50"/>
  <c r="D32" i="50"/>
  <c r="C32" i="50"/>
  <c r="E30" i="50"/>
  <c r="D30" i="50"/>
  <c r="C30" i="50"/>
  <c r="E29" i="50"/>
  <c r="D29" i="50"/>
  <c r="C29" i="50"/>
  <c r="E26" i="50"/>
  <c r="D26" i="50"/>
  <c r="C26" i="50"/>
  <c r="E25" i="50"/>
  <c r="D25" i="50"/>
  <c r="C25" i="50"/>
  <c r="E22" i="50"/>
  <c r="D22" i="50"/>
  <c r="C22" i="50"/>
  <c r="E21" i="50"/>
  <c r="D21" i="50"/>
  <c r="C21" i="50"/>
  <c r="E20" i="50"/>
  <c r="D20" i="50"/>
  <c r="C20" i="50"/>
  <c r="E18" i="50"/>
  <c r="D18" i="50"/>
  <c r="C18" i="50"/>
  <c r="E17" i="50"/>
  <c r="D17" i="50"/>
  <c r="C17" i="50"/>
  <c r="E15" i="50"/>
  <c r="D15" i="50"/>
  <c r="C15" i="50"/>
  <c r="E14" i="50"/>
  <c r="D14" i="50"/>
  <c r="C14" i="50"/>
  <c r="E13" i="50"/>
  <c r="D13" i="50"/>
  <c r="C13" i="50"/>
  <c r="E11" i="50"/>
  <c r="D11" i="50"/>
  <c r="C11" i="50"/>
  <c r="E9" i="50"/>
  <c r="D9" i="50"/>
  <c r="C9" i="50"/>
  <c r="E8" i="50"/>
  <c r="D8" i="50"/>
  <c r="C8" i="50"/>
  <c r="E7" i="50"/>
  <c r="D7" i="50"/>
  <c r="C7" i="50"/>
  <c r="A4" i="50"/>
  <c r="A3" i="50"/>
  <c r="A1" i="50"/>
  <c r="A3" i="47"/>
  <c r="A4" i="47"/>
  <c r="A10" i="47"/>
  <c r="M6" i="48"/>
  <c r="B9" i="48"/>
  <c r="B40" i="48"/>
  <c r="I1" i="28"/>
  <c r="A2" i="28"/>
  <c r="I2" i="28"/>
  <c r="I4" i="28"/>
  <c r="A4" i="29" s="1"/>
  <c r="A7" i="28"/>
  <c r="M12" i="28"/>
  <c r="M12" i="14" s="1"/>
  <c r="P12" i="28"/>
  <c r="S12" i="28"/>
  <c r="M13" i="28"/>
  <c r="P13" i="28"/>
  <c r="S13" i="28"/>
  <c r="M14" i="28"/>
  <c r="P14" i="28"/>
  <c r="S14" i="28"/>
  <c r="M15" i="28"/>
  <c r="P15" i="28"/>
  <c r="S15" i="28"/>
  <c r="M16" i="28"/>
  <c r="P16" i="28"/>
  <c r="S16" i="28"/>
  <c r="M17" i="28"/>
  <c r="M17" i="14" s="1"/>
  <c r="P17" i="28"/>
  <c r="S17" i="28"/>
  <c r="M18" i="28"/>
  <c r="M18" i="39" s="1"/>
  <c r="P18" i="28"/>
  <c r="S18" i="28"/>
  <c r="M19" i="28"/>
  <c r="M19" i="14" s="1"/>
  <c r="P19" i="28"/>
  <c r="S19" i="28"/>
  <c r="I20" i="28"/>
  <c r="K20" i="28"/>
  <c r="K20" i="14" s="1"/>
  <c r="P20" i="14" s="1"/>
  <c r="N20" i="28"/>
  <c r="Q20" i="28"/>
  <c r="I21" i="28"/>
  <c r="M21" i="28" s="1"/>
  <c r="M21" i="39" s="1"/>
  <c r="K21" i="28"/>
  <c r="K22" i="28" s="1"/>
  <c r="P22" i="28" s="1"/>
  <c r="L21" i="28"/>
  <c r="L21" i="39" s="1"/>
  <c r="N21" i="28"/>
  <c r="O21" i="28" s="1"/>
  <c r="Q21" i="28"/>
  <c r="R21" i="28" s="1"/>
  <c r="M23" i="28"/>
  <c r="M23" i="14" s="1"/>
  <c r="P23" i="28"/>
  <c r="S23" i="28"/>
  <c r="M26" i="28"/>
  <c r="M26" i="39" s="1"/>
  <c r="P26" i="28"/>
  <c r="S26" i="28"/>
  <c r="M27" i="28"/>
  <c r="M27" i="39" s="1"/>
  <c r="P27" i="28"/>
  <c r="S27" i="28"/>
  <c r="M28" i="28"/>
  <c r="P28" i="28"/>
  <c r="S28" i="28"/>
  <c r="M29" i="28"/>
  <c r="P29" i="28"/>
  <c r="S29" i="28"/>
  <c r="M30" i="28"/>
  <c r="M30" i="39" s="1"/>
  <c r="P30" i="28"/>
  <c r="S30" i="28"/>
  <c r="M31" i="28"/>
  <c r="P31" i="28"/>
  <c r="S31" i="28"/>
  <c r="M32" i="28"/>
  <c r="M32" i="39" s="1"/>
  <c r="P32" i="28"/>
  <c r="S32" i="28"/>
  <c r="M33" i="28"/>
  <c r="P33" i="28"/>
  <c r="S33" i="28"/>
  <c r="I34" i="28"/>
  <c r="I36" i="28" s="1"/>
  <c r="K34" i="28"/>
  <c r="N34" i="28"/>
  <c r="S34" i="28" s="1"/>
  <c r="Q34" i="28"/>
  <c r="I35" i="28"/>
  <c r="J35" i="28" s="1"/>
  <c r="K35" i="28"/>
  <c r="L35" i="28" s="1"/>
  <c r="N35" i="28"/>
  <c r="O35" i="28" s="1"/>
  <c r="Q35" i="28"/>
  <c r="M39" i="28"/>
  <c r="M39" i="14" s="1"/>
  <c r="P39" i="28"/>
  <c r="S39" i="28"/>
  <c r="M40" i="28"/>
  <c r="M40" i="39" s="1"/>
  <c r="P40" i="28"/>
  <c r="S40" i="28"/>
  <c r="M41" i="28"/>
  <c r="P41" i="28"/>
  <c r="S41" i="28"/>
  <c r="M42" i="28"/>
  <c r="P42" i="28"/>
  <c r="S42" i="28"/>
  <c r="M43" i="28"/>
  <c r="P43" i="28"/>
  <c r="S43" i="28"/>
  <c r="M44" i="28"/>
  <c r="P44" i="28"/>
  <c r="S44" i="28"/>
  <c r="M45" i="28"/>
  <c r="P45" i="28"/>
  <c r="S45" i="28"/>
  <c r="M46" i="28"/>
  <c r="M46" i="14" s="1"/>
  <c r="P46" i="28"/>
  <c r="S46" i="28"/>
  <c r="I47" i="28"/>
  <c r="I47" i="14" s="1"/>
  <c r="K47" i="28"/>
  <c r="N47" i="28"/>
  <c r="N49" i="28" s="1"/>
  <c r="S49" i="28" s="1"/>
  <c r="Q47" i="28"/>
  <c r="I48" i="28"/>
  <c r="J48" i="28" s="1"/>
  <c r="J48" i="14" s="1"/>
  <c r="K48" i="28"/>
  <c r="L48" i="28"/>
  <c r="L48" i="39" s="1"/>
  <c r="N48" i="28"/>
  <c r="Q48" i="28"/>
  <c r="R48" i="28" s="1"/>
  <c r="M52" i="28"/>
  <c r="M52" i="39" s="1"/>
  <c r="P52" i="28"/>
  <c r="S52" i="28"/>
  <c r="M53" i="28"/>
  <c r="P53" i="28"/>
  <c r="S53" i="28"/>
  <c r="M54" i="28"/>
  <c r="P54" i="28"/>
  <c r="S54" i="28"/>
  <c r="M55" i="28"/>
  <c r="M55" i="14" s="1"/>
  <c r="P55" i="28"/>
  <c r="S55" i="28"/>
  <c r="M56" i="28"/>
  <c r="M56" i="14" s="1"/>
  <c r="P56" i="28"/>
  <c r="S56" i="28"/>
  <c r="M57" i="28"/>
  <c r="M57" i="39" s="1"/>
  <c r="P57" i="28"/>
  <c r="S57" i="28"/>
  <c r="M58" i="28"/>
  <c r="P58" i="28"/>
  <c r="S58" i="28"/>
  <c r="M59" i="28"/>
  <c r="M59" i="14" s="1"/>
  <c r="P59" i="28"/>
  <c r="S59" i="28"/>
  <c r="I60" i="28"/>
  <c r="K60" i="28"/>
  <c r="N60" i="28"/>
  <c r="Q60" i="28"/>
  <c r="I61" i="28"/>
  <c r="I61" i="39" s="1"/>
  <c r="J61" i="28"/>
  <c r="J61" i="39" s="1"/>
  <c r="K61" i="28"/>
  <c r="N61" i="28"/>
  <c r="O61" i="28" s="1"/>
  <c r="Q61" i="28"/>
  <c r="R61" i="28" s="1"/>
  <c r="I65" i="28"/>
  <c r="M65" i="28" s="1"/>
  <c r="K65" i="28"/>
  <c r="N65" i="28"/>
  <c r="Q65" i="28"/>
  <c r="I66" i="28"/>
  <c r="K66" i="28"/>
  <c r="N66" i="28"/>
  <c r="Q66" i="28"/>
  <c r="I67" i="28"/>
  <c r="I67" i="39" s="1"/>
  <c r="K67" i="28"/>
  <c r="N67" i="28"/>
  <c r="Q67" i="28"/>
  <c r="I68" i="28"/>
  <c r="M68" i="28" s="1"/>
  <c r="K68" i="28"/>
  <c r="P68" i="28" s="1"/>
  <c r="N68" i="28"/>
  <c r="S68" i="28" s="1"/>
  <c r="Q68" i="28"/>
  <c r="I69" i="28"/>
  <c r="M69" i="28" s="1"/>
  <c r="M69" i="39" s="1"/>
  <c r="K69" i="28"/>
  <c r="P69" i="28" s="1"/>
  <c r="N69" i="28"/>
  <c r="S69" i="28" s="1"/>
  <c r="Q69" i="28"/>
  <c r="I70" i="28"/>
  <c r="I70" i="39" s="1"/>
  <c r="K70" i="28"/>
  <c r="P70" i="28" s="1"/>
  <c r="N70" i="28"/>
  <c r="S70" i="28" s="1"/>
  <c r="Q70" i="28"/>
  <c r="I71" i="28"/>
  <c r="M71" i="28" s="1"/>
  <c r="M71" i="39" s="1"/>
  <c r="K71" i="28"/>
  <c r="P71" i="28" s="1"/>
  <c r="N71" i="28"/>
  <c r="S71" i="28" s="1"/>
  <c r="Q71" i="28"/>
  <c r="I72" i="28"/>
  <c r="I72" i="14" s="1"/>
  <c r="K72" i="28"/>
  <c r="K72" i="39" s="1"/>
  <c r="P72" i="39" s="1"/>
  <c r="N72" i="28"/>
  <c r="Q72" i="28"/>
  <c r="S72" i="28"/>
  <c r="A1" i="29"/>
  <c r="A2" i="29"/>
  <c r="A3" i="29"/>
  <c r="A5" i="29"/>
  <c r="G6" i="29"/>
  <c r="G6" i="40" s="1"/>
  <c r="E12" i="44" s="1"/>
  <c r="H6" i="29"/>
  <c r="H6" i="21" s="1"/>
  <c r="G12" i="15" s="1"/>
  <c r="J6" i="29"/>
  <c r="J6" i="40" s="1"/>
  <c r="I9" i="29"/>
  <c r="K9" i="29"/>
  <c r="I10" i="29"/>
  <c r="K10" i="29"/>
  <c r="I11" i="29"/>
  <c r="K11" i="29"/>
  <c r="I16" i="29"/>
  <c r="K16" i="29"/>
  <c r="I17" i="29"/>
  <c r="K17" i="29"/>
  <c r="I24" i="29"/>
  <c r="K24" i="29"/>
  <c r="G25" i="29"/>
  <c r="H25" i="29"/>
  <c r="J25" i="29"/>
  <c r="E26" i="29"/>
  <c r="E28" i="29" s="1"/>
  <c r="I27" i="29"/>
  <c r="K27" i="29"/>
  <c r="I31" i="29"/>
  <c r="K31" i="29"/>
  <c r="I32" i="29"/>
  <c r="K32" i="29"/>
  <c r="I33" i="29"/>
  <c r="K33" i="29"/>
  <c r="G34" i="29"/>
  <c r="H34" i="29"/>
  <c r="J34" i="29"/>
  <c r="I35" i="29"/>
  <c r="K35" i="29"/>
  <c r="I36" i="29"/>
  <c r="K36" i="29"/>
  <c r="I37" i="29"/>
  <c r="K37" i="29"/>
  <c r="I38" i="29"/>
  <c r="K38" i="29"/>
  <c r="I39" i="29"/>
  <c r="K39" i="29"/>
  <c r="I41" i="29"/>
  <c r="K41" i="29"/>
  <c r="I42" i="29"/>
  <c r="K42" i="29"/>
  <c r="I43" i="29"/>
  <c r="K43" i="29"/>
  <c r="I51" i="29"/>
  <c r="K51" i="29"/>
  <c r="I52" i="29"/>
  <c r="K52" i="29"/>
  <c r="I53" i="29"/>
  <c r="K53" i="29"/>
  <c r="I54" i="29"/>
  <c r="K54" i="29"/>
  <c r="I55" i="29"/>
  <c r="K55" i="29"/>
  <c r="I57" i="29"/>
  <c r="K57" i="29"/>
  <c r="I58" i="29"/>
  <c r="K58" i="29"/>
  <c r="I59" i="29"/>
  <c r="K59" i="29"/>
  <c r="I67" i="29"/>
  <c r="K67" i="29"/>
  <c r="I68" i="29"/>
  <c r="K68" i="29"/>
  <c r="I69" i="29"/>
  <c r="K69" i="29"/>
  <c r="I70" i="29"/>
  <c r="K70" i="29"/>
  <c r="I73" i="29"/>
  <c r="K73" i="29"/>
  <c r="I74" i="29"/>
  <c r="K74" i="29"/>
  <c r="I75" i="29"/>
  <c r="K75" i="29"/>
  <c r="I76" i="29"/>
  <c r="K76" i="29"/>
  <c r="I83" i="29"/>
  <c r="K83" i="29"/>
  <c r="I84" i="29"/>
  <c r="K84" i="29"/>
  <c r="I87" i="29"/>
  <c r="K87" i="29"/>
  <c r="I88" i="29"/>
  <c r="K88" i="29"/>
  <c r="I89" i="29"/>
  <c r="K89" i="29"/>
  <c r="I90" i="29"/>
  <c r="K90" i="29"/>
  <c r="I91" i="29"/>
  <c r="K91" i="29"/>
  <c r="I92" i="29"/>
  <c r="K92" i="29"/>
  <c r="I93" i="29"/>
  <c r="K93" i="29"/>
  <c r="I94" i="29"/>
  <c r="K94" i="29"/>
  <c r="A1" i="30"/>
  <c r="A2" i="30"/>
  <c r="A3" i="30"/>
  <c r="A6" i="30"/>
  <c r="E10" i="30"/>
  <c r="E10" i="31" s="1"/>
  <c r="E10" i="32" s="1"/>
  <c r="F13" i="30"/>
  <c r="E13" i="41" s="1"/>
  <c r="E13" i="43" s="1"/>
  <c r="I13" i="43" s="1"/>
  <c r="H13" i="30"/>
  <c r="D70" i="49" s="1"/>
  <c r="J13" i="30"/>
  <c r="E70" i="49" s="1"/>
  <c r="G14" i="30"/>
  <c r="I14" i="30"/>
  <c r="K14" i="30"/>
  <c r="G16" i="30"/>
  <c r="I16" i="30"/>
  <c r="K16" i="30"/>
  <c r="F17" i="30"/>
  <c r="I17" i="30"/>
  <c r="G23" i="30"/>
  <c r="I23" i="30"/>
  <c r="K23" i="30"/>
  <c r="G29" i="30"/>
  <c r="I29" i="30"/>
  <c r="K29" i="30"/>
  <c r="G30" i="30"/>
  <c r="I30" i="30"/>
  <c r="K30" i="30"/>
  <c r="G31" i="30"/>
  <c r="I31" i="30"/>
  <c r="K31" i="30"/>
  <c r="G32" i="30"/>
  <c r="I32" i="30"/>
  <c r="K32" i="30"/>
  <c r="G33" i="30"/>
  <c r="I33" i="30"/>
  <c r="K33" i="30"/>
  <c r="G34" i="30"/>
  <c r="I34" i="30"/>
  <c r="K34" i="30"/>
  <c r="G36" i="30"/>
  <c r="I36" i="30"/>
  <c r="K36" i="30"/>
  <c r="G37" i="30"/>
  <c r="I37" i="30"/>
  <c r="K37" i="30"/>
  <c r="E38" i="30"/>
  <c r="F38" i="30"/>
  <c r="E38" i="17" s="1"/>
  <c r="H38" i="30"/>
  <c r="D105" i="49" s="1"/>
  <c r="J38" i="30"/>
  <c r="E105" i="49" s="1"/>
  <c r="G43" i="30"/>
  <c r="I43" i="30"/>
  <c r="K43" i="30"/>
  <c r="G44" i="30"/>
  <c r="I44" i="30"/>
  <c r="K44" i="30"/>
  <c r="E45" i="30"/>
  <c r="G45" i="30" s="1"/>
  <c r="F45" i="30"/>
  <c r="H45" i="30"/>
  <c r="K45" i="30" s="1"/>
  <c r="J45" i="30"/>
  <c r="E55" i="30"/>
  <c r="G60" i="30"/>
  <c r="I60" i="30"/>
  <c r="K60" i="30"/>
  <c r="G61" i="30"/>
  <c r="I61" i="30"/>
  <c r="K61" i="30"/>
  <c r="G62" i="30"/>
  <c r="I62" i="30"/>
  <c r="K62" i="30"/>
  <c r="G63" i="30"/>
  <c r="I63" i="30"/>
  <c r="K63" i="30"/>
  <c r="G67" i="30"/>
  <c r="I67" i="30"/>
  <c r="K67" i="30"/>
  <c r="G68" i="30"/>
  <c r="I68" i="30"/>
  <c r="K68" i="30"/>
  <c r="G70" i="30"/>
  <c r="I70" i="30"/>
  <c r="K70" i="30"/>
  <c r="G76" i="30"/>
  <c r="I76" i="30"/>
  <c r="K76" i="30"/>
  <c r="G77" i="30"/>
  <c r="I77" i="30"/>
  <c r="K77" i="30"/>
  <c r="G78" i="30"/>
  <c r="I78" i="30"/>
  <c r="K78" i="30"/>
  <c r="G79" i="30"/>
  <c r="I79" i="30"/>
  <c r="K79" i="30"/>
  <c r="G80" i="30"/>
  <c r="I80" i="30"/>
  <c r="K80" i="30"/>
  <c r="G81" i="30"/>
  <c r="I81" i="30"/>
  <c r="K81" i="30"/>
  <c r="G82" i="30"/>
  <c r="I82" i="30"/>
  <c r="K82" i="30"/>
  <c r="G83" i="30"/>
  <c r="I83" i="30"/>
  <c r="K83" i="30"/>
  <c r="G84" i="30"/>
  <c r="I84" i="30"/>
  <c r="K84" i="30"/>
  <c r="E85" i="30"/>
  <c r="E17" i="30" s="1"/>
  <c r="F85" i="30"/>
  <c r="I85" i="30" s="1"/>
  <c r="H85" i="30"/>
  <c r="H17" i="30" s="1"/>
  <c r="K17" i="30" s="1"/>
  <c r="J85" i="30"/>
  <c r="J17" i="30" s="1"/>
  <c r="K85" i="30"/>
  <c r="F87" i="30"/>
  <c r="E87" i="41" s="1"/>
  <c r="G87" i="30"/>
  <c r="H87" i="30"/>
  <c r="J87" i="30"/>
  <c r="G91" i="30"/>
  <c r="I91" i="30"/>
  <c r="K91" i="30"/>
  <c r="G92" i="30"/>
  <c r="I92" i="30"/>
  <c r="K92" i="30"/>
  <c r="G93" i="30"/>
  <c r="I93" i="30"/>
  <c r="K93" i="30"/>
  <c r="G94" i="30"/>
  <c r="I94" i="30"/>
  <c r="K94" i="30"/>
  <c r="G95" i="30"/>
  <c r="I95" i="30"/>
  <c r="K95" i="30"/>
  <c r="G96" i="30"/>
  <c r="I96" i="30"/>
  <c r="K96" i="30"/>
  <c r="G97" i="30"/>
  <c r="I97" i="30"/>
  <c r="K97" i="30"/>
  <c r="G98" i="30"/>
  <c r="I98" i="30"/>
  <c r="K98" i="30"/>
  <c r="G99" i="30"/>
  <c r="I99" i="30"/>
  <c r="K99" i="30"/>
  <c r="G100" i="30"/>
  <c r="I100" i="30"/>
  <c r="K100" i="30"/>
  <c r="G101" i="30"/>
  <c r="I101" i="30"/>
  <c r="K101" i="30"/>
  <c r="G102" i="30"/>
  <c r="I102" i="30"/>
  <c r="K102" i="30"/>
  <c r="G103" i="30"/>
  <c r="I103" i="30"/>
  <c r="K103" i="30"/>
  <c r="G104" i="30"/>
  <c r="I104" i="30"/>
  <c r="K104" i="30"/>
  <c r="G105" i="30"/>
  <c r="I105" i="30"/>
  <c r="K105" i="30"/>
  <c r="G106" i="30"/>
  <c r="I106" i="30"/>
  <c r="K106" i="30"/>
  <c r="G107" i="30"/>
  <c r="I107" i="30"/>
  <c r="K107" i="30"/>
  <c r="G108" i="30"/>
  <c r="I108" i="30"/>
  <c r="K108" i="30"/>
  <c r="E109" i="30"/>
  <c r="E21" i="30" s="1"/>
  <c r="F109" i="30"/>
  <c r="F21" i="30" s="1"/>
  <c r="E21" i="17" s="1"/>
  <c r="H21" i="17" s="1"/>
  <c r="H109" i="30"/>
  <c r="H21" i="30" s="1"/>
  <c r="J109" i="30"/>
  <c r="J21" i="30" s="1"/>
  <c r="G112" i="30"/>
  <c r="I112" i="30"/>
  <c r="K112" i="30"/>
  <c r="G113" i="30"/>
  <c r="I113" i="30"/>
  <c r="K113" i="30"/>
  <c r="G114" i="30"/>
  <c r="I114" i="30"/>
  <c r="K114" i="30"/>
  <c r="G115" i="30"/>
  <c r="I115" i="30"/>
  <c r="K115" i="30"/>
  <c r="G116" i="30"/>
  <c r="I116" i="30"/>
  <c r="K116" i="30"/>
  <c r="G117" i="30"/>
  <c r="I117" i="30"/>
  <c r="K117" i="30"/>
  <c r="E118" i="30"/>
  <c r="E25" i="30" s="1"/>
  <c r="F118" i="30"/>
  <c r="F25" i="30" s="1"/>
  <c r="H118" i="30"/>
  <c r="H25" i="30" s="1"/>
  <c r="J118" i="30"/>
  <c r="J25" i="30" s="1"/>
  <c r="K25" i="30" s="1"/>
  <c r="A1" i="31"/>
  <c r="A2" i="31"/>
  <c r="A3" i="31"/>
  <c r="A6" i="31"/>
  <c r="G13" i="31"/>
  <c r="I13" i="31"/>
  <c r="K13" i="31"/>
  <c r="G14" i="31"/>
  <c r="I14" i="31"/>
  <c r="K14" i="31"/>
  <c r="G15" i="31"/>
  <c r="I15" i="31"/>
  <c r="K15" i="31"/>
  <c r="G16" i="31"/>
  <c r="I16" i="31"/>
  <c r="K16" i="31"/>
  <c r="G19" i="31"/>
  <c r="I19" i="31"/>
  <c r="K19" i="31"/>
  <c r="G23" i="31"/>
  <c r="I23" i="31"/>
  <c r="K23" i="31"/>
  <c r="G24" i="31"/>
  <c r="I24" i="31"/>
  <c r="K24" i="31"/>
  <c r="G29" i="31"/>
  <c r="I29" i="31"/>
  <c r="K29" i="31"/>
  <c r="G30" i="31"/>
  <c r="I30" i="31"/>
  <c r="K30" i="31"/>
  <c r="G31" i="31"/>
  <c r="I31" i="31"/>
  <c r="K31" i="31"/>
  <c r="G32" i="31"/>
  <c r="I32" i="31"/>
  <c r="K32" i="31"/>
  <c r="G33" i="31"/>
  <c r="I33" i="31"/>
  <c r="K33" i="31"/>
  <c r="G34" i="31"/>
  <c r="I34" i="31"/>
  <c r="K34" i="31"/>
  <c r="G36" i="31"/>
  <c r="I36" i="31"/>
  <c r="K36" i="31"/>
  <c r="G37" i="31"/>
  <c r="I37" i="31"/>
  <c r="K37" i="31"/>
  <c r="E38" i="31"/>
  <c r="B117" i="51" s="1"/>
  <c r="F38" i="31"/>
  <c r="E38" i="16" s="1"/>
  <c r="H38" i="16" s="1"/>
  <c r="H38" i="31"/>
  <c r="D85" i="49" s="1"/>
  <c r="J38" i="31"/>
  <c r="E85" i="49" s="1"/>
  <c r="G43" i="31"/>
  <c r="I43" i="31"/>
  <c r="K43" i="31"/>
  <c r="G44" i="31"/>
  <c r="I44" i="31"/>
  <c r="K44" i="31"/>
  <c r="E45" i="31"/>
  <c r="F45" i="31"/>
  <c r="I45" i="31" s="1"/>
  <c r="H45" i="31"/>
  <c r="K45" i="31" s="1"/>
  <c r="J45" i="31"/>
  <c r="E55" i="31"/>
  <c r="G75" i="31"/>
  <c r="I75" i="31"/>
  <c r="K75" i="31"/>
  <c r="G79" i="31"/>
  <c r="I79" i="31"/>
  <c r="K79" i="31"/>
  <c r="G85" i="31"/>
  <c r="I85" i="31"/>
  <c r="K85" i="31"/>
  <c r="G86" i="31"/>
  <c r="I86" i="31"/>
  <c r="K86" i="31"/>
  <c r="G88" i="31"/>
  <c r="I88" i="31"/>
  <c r="K88" i="31"/>
  <c r="G89" i="31"/>
  <c r="I89" i="31"/>
  <c r="K89" i="31"/>
  <c r="G94" i="31"/>
  <c r="I94" i="31"/>
  <c r="K94" i="31"/>
  <c r="G95" i="31"/>
  <c r="I95" i="31"/>
  <c r="K95" i="31"/>
  <c r="G96" i="31"/>
  <c r="I96" i="31"/>
  <c r="K96" i="31"/>
  <c r="G108" i="31"/>
  <c r="I108" i="31"/>
  <c r="K108" i="31"/>
  <c r="G109" i="31"/>
  <c r="I109" i="31"/>
  <c r="K109" i="31"/>
  <c r="G110" i="31"/>
  <c r="I110" i="31"/>
  <c r="K110" i="31"/>
  <c r="G111" i="31"/>
  <c r="I111" i="31"/>
  <c r="K111" i="31"/>
  <c r="G112" i="31"/>
  <c r="I112" i="31"/>
  <c r="K112" i="31"/>
  <c r="G113" i="31"/>
  <c r="I113" i="31"/>
  <c r="K113" i="31"/>
  <c r="E114" i="31"/>
  <c r="F114" i="31"/>
  <c r="H114" i="31"/>
  <c r="J114" i="31"/>
  <c r="J17" i="31" s="1"/>
  <c r="J17" i="32" s="1"/>
  <c r="F116" i="31"/>
  <c r="E116" i="42" s="1"/>
  <c r="H116" i="31"/>
  <c r="J116" i="31"/>
  <c r="G117" i="31"/>
  <c r="G120" i="31"/>
  <c r="I120" i="31"/>
  <c r="K120" i="31"/>
  <c r="G121" i="31"/>
  <c r="I121" i="31"/>
  <c r="K121" i="31"/>
  <c r="G122" i="31"/>
  <c r="I122" i="31"/>
  <c r="K122" i="31"/>
  <c r="G123" i="31"/>
  <c r="I123" i="31"/>
  <c r="K123" i="31"/>
  <c r="G124" i="31"/>
  <c r="I124" i="31"/>
  <c r="K124" i="31"/>
  <c r="G125" i="31"/>
  <c r="I125" i="31"/>
  <c r="K125" i="31"/>
  <c r="G126" i="31"/>
  <c r="I126" i="31"/>
  <c r="K126" i="31"/>
  <c r="G127" i="31"/>
  <c r="I127" i="31"/>
  <c r="K127" i="31"/>
  <c r="G128" i="31"/>
  <c r="I128" i="31"/>
  <c r="K128" i="31"/>
  <c r="G129" i="31"/>
  <c r="I129" i="31"/>
  <c r="K129" i="31"/>
  <c r="G130" i="31"/>
  <c r="I130" i="31"/>
  <c r="K130" i="31"/>
  <c r="G131" i="31"/>
  <c r="I131" i="31"/>
  <c r="K131" i="31"/>
  <c r="G132" i="31"/>
  <c r="I132" i="31"/>
  <c r="K132" i="31"/>
  <c r="G133" i="31"/>
  <c r="I133" i="31"/>
  <c r="K133" i="31"/>
  <c r="G134" i="31"/>
  <c r="I134" i="31"/>
  <c r="K134" i="31"/>
  <c r="G135" i="31"/>
  <c r="I135" i="31"/>
  <c r="K135" i="31"/>
  <c r="G136" i="31"/>
  <c r="I136" i="31"/>
  <c r="K136" i="31"/>
  <c r="G137" i="31"/>
  <c r="I137" i="31"/>
  <c r="K137" i="31"/>
  <c r="E138" i="31"/>
  <c r="F138" i="31"/>
  <c r="H138" i="31"/>
  <c r="H21" i="31" s="1"/>
  <c r="J138" i="31"/>
  <c r="J21" i="31" s="1"/>
  <c r="G141" i="31"/>
  <c r="I141" i="31"/>
  <c r="K141" i="31"/>
  <c r="G142" i="31"/>
  <c r="I142" i="31"/>
  <c r="K142" i="31"/>
  <c r="G143" i="31"/>
  <c r="I143" i="31"/>
  <c r="K143" i="31"/>
  <c r="G144" i="31"/>
  <c r="I144" i="31"/>
  <c r="K144" i="31"/>
  <c r="G145" i="31"/>
  <c r="I145" i="31"/>
  <c r="K145" i="31"/>
  <c r="G146" i="31"/>
  <c r="I146" i="31"/>
  <c r="K146" i="31"/>
  <c r="E147" i="31"/>
  <c r="G147" i="31"/>
  <c r="F147" i="31"/>
  <c r="I147" i="31" s="1"/>
  <c r="H147" i="31"/>
  <c r="K147" i="31" s="1"/>
  <c r="J147" i="31"/>
  <c r="J25" i="31" s="1"/>
  <c r="E152" i="31"/>
  <c r="E152" i="16" s="1"/>
  <c r="H152" i="16" s="1"/>
  <c r="F152" i="31"/>
  <c r="C89" i="49" s="1"/>
  <c r="H152" i="31"/>
  <c r="H155" i="31" s="1"/>
  <c r="D92" i="49" s="1"/>
  <c r="J152" i="31"/>
  <c r="J155" i="31" s="1"/>
  <c r="E92" i="49" s="1"/>
  <c r="G153" i="31"/>
  <c r="I153" i="31"/>
  <c r="K153" i="31"/>
  <c r="G154" i="31"/>
  <c r="I154" i="31"/>
  <c r="K154" i="31"/>
  <c r="G156" i="31"/>
  <c r="I156" i="31"/>
  <c r="K156" i="31"/>
  <c r="A1" i="32"/>
  <c r="A2" i="32"/>
  <c r="A3" i="32"/>
  <c r="A6" i="32"/>
  <c r="E13" i="32"/>
  <c r="E14" i="32"/>
  <c r="F14" i="32"/>
  <c r="AE11" i="34" s="1"/>
  <c r="P11" i="34" s="1"/>
  <c r="H14" i="32"/>
  <c r="J14" i="32"/>
  <c r="E15" i="32"/>
  <c r="G15" i="32" s="1"/>
  <c r="F15" i="32"/>
  <c r="AE12" i="34" s="1"/>
  <c r="H15" i="32"/>
  <c r="AE12" i="35" s="1"/>
  <c r="J15" i="32"/>
  <c r="E16" i="32"/>
  <c r="F16" i="32"/>
  <c r="AE13" i="34" s="1"/>
  <c r="H16" i="32"/>
  <c r="J16" i="32"/>
  <c r="E19" i="32"/>
  <c r="E20" i="32"/>
  <c r="E23" i="32"/>
  <c r="F23" i="32"/>
  <c r="AE20" i="34" s="1"/>
  <c r="T20" i="34" s="1"/>
  <c r="H23" i="32"/>
  <c r="J23" i="32"/>
  <c r="E24" i="32"/>
  <c r="G24" i="32" s="1"/>
  <c r="F24" i="32"/>
  <c r="AE21" i="34" s="1"/>
  <c r="H24" i="32"/>
  <c r="AE21" i="35" s="1"/>
  <c r="P21" i="35" s="1"/>
  <c r="J24" i="32"/>
  <c r="E29" i="32"/>
  <c r="F29" i="32"/>
  <c r="H29" i="32"/>
  <c r="J29" i="32"/>
  <c r="E30" i="32"/>
  <c r="F30" i="32"/>
  <c r="AE27" i="34" s="1"/>
  <c r="H30" i="32"/>
  <c r="J30" i="32"/>
  <c r="E31" i="32"/>
  <c r="F31" i="32"/>
  <c r="AE28" i="34" s="1"/>
  <c r="H31" i="32"/>
  <c r="J31" i="32"/>
  <c r="E32" i="32"/>
  <c r="F32" i="32"/>
  <c r="H32" i="32"/>
  <c r="AE29" i="35" s="1"/>
  <c r="J32" i="32"/>
  <c r="E33" i="32"/>
  <c r="F33" i="32"/>
  <c r="AE30" i="34" s="1"/>
  <c r="H33" i="32"/>
  <c r="AE30" i="35" s="1"/>
  <c r="J33" i="32"/>
  <c r="E34" i="32"/>
  <c r="G34" i="32" s="1"/>
  <c r="F34" i="32"/>
  <c r="AE31" i="34" s="1"/>
  <c r="H34" i="32"/>
  <c r="AE31" i="35" s="1"/>
  <c r="J34" i="32"/>
  <c r="E36" i="32"/>
  <c r="G36" i="32" s="1"/>
  <c r="F36" i="32"/>
  <c r="H36" i="32"/>
  <c r="AE33" i="35" s="1"/>
  <c r="E37" i="32"/>
  <c r="G37" i="32" s="1"/>
  <c r="F37" i="32"/>
  <c r="AE34" i="34" s="1"/>
  <c r="H37" i="32"/>
  <c r="J37" i="32"/>
  <c r="E43" i="32"/>
  <c r="F43" i="32"/>
  <c r="H43" i="32"/>
  <c r="J43" i="32"/>
  <c r="E44" i="32"/>
  <c r="G44" i="32" s="1"/>
  <c r="F44" i="32"/>
  <c r="H44" i="32"/>
  <c r="K44" i="32" s="1"/>
  <c r="J44" i="32"/>
  <c r="E50" i="32"/>
  <c r="B52" i="32"/>
  <c r="B55" i="32"/>
  <c r="E60" i="32"/>
  <c r="G60" i="32" s="1"/>
  <c r="F60" i="32"/>
  <c r="I60" i="32" s="1"/>
  <c r="H60" i="32"/>
  <c r="K60" i="32" s="1"/>
  <c r="J60" i="32"/>
  <c r="E61" i="32"/>
  <c r="G61" i="32" s="1"/>
  <c r="F61" i="32"/>
  <c r="I61" i="32"/>
  <c r="H61" i="32"/>
  <c r="K61" i="32" s="1"/>
  <c r="J61" i="32"/>
  <c r="E62" i="32"/>
  <c r="G62" i="32" s="1"/>
  <c r="F62" i="32"/>
  <c r="I62" i="32" s="1"/>
  <c r="H62" i="32"/>
  <c r="K62" i="32" s="1"/>
  <c r="J62" i="32"/>
  <c r="E63" i="32"/>
  <c r="G63" i="32" s="1"/>
  <c r="F63" i="32"/>
  <c r="I63" i="32" s="1"/>
  <c r="H63" i="32"/>
  <c r="K63" i="32" s="1"/>
  <c r="J63" i="32"/>
  <c r="E66" i="32"/>
  <c r="G66" i="32" s="1"/>
  <c r="F66" i="32"/>
  <c r="I66" i="32" s="1"/>
  <c r="H66" i="32"/>
  <c r="K66" i="32" s="1"/>
  <c r="J66" i="32"/>
  <c r="E67" i="32"/>
  <c r="G67" i="32" s="1"/>
  <c r="F67" i="32"/>
  <c r="I67" i="32" s="1"/>
  <c r="H67" i="32"/>
  <c r="K67" i="32" s="1"/>
  <c r="J67" i="32"/>
  <c r="E68" i="32"/>
  <c r="G68" i="32" s="1"/>
  <c r="F68" i="32"/>
  <c r="I68" i="32" s="1"/>
  <c r="H68" i="32"/>
  <c r="K68" i="32" s="1"/>
  <c r="J68" i="32"/>
  <c r="E70" i="32"/>
  <c r="F70" i="32"/>
  <c r="H70" i="32"/>
  <c r="K70" i="32" s="1"/>
  <c r="J70" i="32"/>
  <c r="A3" i="36"/>
  <c r="A4" i="36"/>
  <c r="D26" i="36"/>
  <c r="E26" i="36"/>
  <c r="F26" i="36"/>
  <c r="G26" i="36"/>
  <c r="H26" i="36"/>
  <c r="I26" i="36"/>
  <c r="J26" i="36"/>
  <c r="F1" i="34"/>
  <c r="T1" i="34"/>
  <c r="G2" i="34"/>
  <c r="W2" i="34" s="1"/>
  <c r="A3" i="34"/>
  <c r="D6" i="34"/>
  <c r="E23" i="34"/>
  <c r="G23" i="34"/>
  <c r="I23" i="34"/>
  <c r="K23" i="34"/>
  <c r="M23" i="34"/>
  <c r="O23" i="34"/>
  <c r="Q23" i="34"/>
  <c r="S23" i="34"/>
  <c r="U23" i="34"/>
  <c r="W23" i="34"/>
  <c r="Y23" i="34"/>
  <c r="AA23" i="34"/>
  <c r="E35" i="34"/>
  <c r="G35" i="34"/>
  <c r="I35" i="34"/>
  <c r="K35" i="34"/>
  <c r="M35" i="34"/>
  <c r="O35" i="34"/>
  <c r="Q35" i="34"/>
  <c r="S35" i="34"/>
  <c r="U35" i="34"/>
  <c r="W35" i="34"/>
  <c r="Y35" i="34"/>
  <c r="AA35" i="34"/>
  <c r="E40" i="34"/>
  <c r="G40" i="34"/>
  <c r="I40" i="34"/>
  <c r="K40" i="34"/>
  <c r="M40" i="34"/>
  <c r="O40" i="34"/>
  <c r="Q40" i="34"/>
  <c r="S40" i="34"/>
  <c r="U40" i="34"/>
  <c r="W40" i="34"/>
  <c r="Y40" i="34"/>
  <c r="AA40" i="34"/>
  <c r="F45" i="34"/>
  <c r="H45" i="34"/>
  <c r="J45" i="34"/>
  <c r="L45" i="34"/>
  <c r="N45" i="34"/>
  <c r="P45" i="34"/>
  <c r="R45" i="34"/>
  <c r="T45" i="34"/>
  <c r="V45" i="34"/>
  <c r="X45" i="34"/>
  <c r="Z45" i="34"/>
  <c r="AB45" i="34"/>
  <c r="F46" i="34"/>
  <c r="H46" i="34"/>
  <c r="J46" i="34"/>
  <c r="L46" i="34"/>
  <c r="N46" i="34"/>
  <c r="P46" i="34"/>
  <c r="R46" i="34"/>
  <c r="T46" i="34"/>
  <c r="V46" i="34"/>
  <c r="X46" i="34"/>
  <c r="Z46" i="34"/>
  <c r="AB46" i="34"/>
  <c r="F48" i="34"/>
  <c r="H48" i="34"/>
  <c r="J48" i="34"/>
  <c r="L48" i="34"/>
  <c r="N48" i="34"/>
  <c r="P48" i="34"/>
  <c r="R48" i="34"/>
  <c r="T48" i="34"/>
  <c r="V48" i="34"/>
  <c r="X48" i="34"/>
  <c r="Z48" i="34"/>
  <c r="AB48" i="34"/>
  <c r="F49" i="34"/>
  <c r="H49" i="34"/>
  <c r="J49" i="34"/>
  <c r="L49" i="34"/>
  <c r="N49" i="34"/>
  <c r="P49" i="34"/>
  <c r="R49" i="34"/>
  <c r="T49" i="34"/>
  <c r="V49" i="34"/>
  <c r="X49" i="34"/>
  <c r="Z49" i="34"/>
  <c r="AB49" i="34"/>
  <c r="F50" i="34"/>
  <c r="H50" i="34"/>
  <c r="J50" i="34"/>
  <c r="L50" i="34"/>
  <c r="N50" i="34"/>
  <c r="P50" i="34"/>
  <c r="R50" i="34"/>
  <c r="T50" i="34"/>
  <c r="V50" i="34"/>
  <c r="X50" i="34"/>
  <c r="Z50" i="34"/>
  <c r="AB50" i="34"/>
  <c r="G62" i="34"/>
  <c r="I62" i="34"/>
  <c r="K62" i="34"/>
  <c r="M62" i="34"/>
  <c r="O62" i="34"/>
  <c r="Q62" i="34"/>
  <c r="S62" i="34"/>
  <c r="U62" i="34"/>
  <c r="W62" i="34"/>
  <c r="Y62" i="34"/>
  <c r="AA62" i="34"/>
  <c r="F1" i="35"/>
  <c r="T1" i="35"/>
  <c r="G2" i="35"/>
  <c r="W2" i="35" s="1"/>
  <c r="A3" i="35"/>
  <c r="D6" i="35"/>
  <c r="E23" i="35"/>
  <c r="G23" i="35"/>
  <c r="I23" i="35"/>
  <c r="K23" i="35"/>
  <c r="M23" i="35"/>
  <c r="O23" i="35"/>
  <c r="Q23" i="35"/>
  <c r="S23" i="35"/>
  <c r="U23" i="35"/>
  <c r="W23" i="35"/>
  <c r="Y23" i="35"/>
  <c r="AA23" i="35"/>
  <c r="E35" i="35"/>
  <c r="G35" i="35"/>
  <c r="I35" i="35"/>
  <c r="K35" i="35"/>
  <c r="M35" i="35"/>
  <c r="O35" i="35"/>
  <c r="Q35" i="35"/>
  <c r="S35" i="35"/>
  <c r="U35" i="35"/>
  <c r="W35" i="35"/>
  <c r="Y35" i="35"/>
  <c r="AA35" i="35"/>
  <c r="E40" i="35"/>
  <c r="G40" i="35"/>
  <c r="I40" i="35"/>
  <c r="K40" i="35"/>
  <c r="M40" i="35"/>
  <c r="O40" i="35"/>
  <c r="Q40" i="35"/>
  <c r="S40" i="35"/>
  <c r="U40" i="35"/>
  <c r="W40" i="35"/>
  <c r="Y40" i="35"/>
  <c r="AA40" i="35"/>
  <c r="A1" i="49"/>
  <c r="A3" i="49"/>
  <c r="A4" i="49"/>
  <c r="B7" i="49"/>
  <c r="C7" i="49"/>
  <c r="D7" i="49"/>
  <c r="E7" i="49"/>
  <c r="B8" i="49"/>
  <c r="C8" i="49"/>
  <c r="D8" i="49"/>
  <c r="E8" i="49"/>
  <c r="B9" i="49"/>
  <c r="C9" i="49"/>
  <c r="D9" i="49"/>
  <c r="E9" i="49"/>
  <c r="B11" i="49"/>
  <c r="C11" i="49"/>
  <c r="D11" i="49"/>
  <c r="E11" i="49"/>
  <c r="C13" i="49"/>
  <c r="D13" i="49"/>
  <c r="E13" i="49"/>
  <c r="C14" i="49"/>
  <c r="D14" i="49"/>
  <c r="E14" i="49"/>
  <c r="C15" i="49"/>
  <c r="D15" i="49"/>
  <c r="E15" i="49"/>
  <c r="C17" i="49"/>
  <c r="D17" i="49"/>
  <c r="E17" i="49"/>
  <c r="C18" i="49"/>
  <c r="D18" i="49"/>
  <c r="E18" i="49"/>
  <c r="C20" i="49"/>
  <c r="D20" i="49"/>
  <c r="E20" i="49"/>
  <c r="C21" i="49"/>
  <c r="D21" i="49"/>
  <c r="E21" i="49"/>
  <c r="C22" i="49"/>
  <c r="D22" i="49"/>
  <c r="E22" i="49"/>
  <c r="C25" i="49"/>
  <c r="D25" i="49"/>
  <c r="E25" i="49"/>
  <c r="C26" i="49"/>
  <c r="D26" i="49"/>
  <c r="E26" i="49"/>
  <c r="C29" i="49"/>
  <c r="D29" i="49"/>
  <c r="E29" i="49"/>
  <c r="C30" i="49"/>
  <c r="D30" i="49"/>
  <c r="E30" i="49"/>
  <c r="C32" i="49"/>
  <c r="D32" i="49"/>
  <c r="E32" i="49"/>
  <c r="C33" i="49"/>
  <c r="D33" i="49"/>
  <c r="E33" i="49"/>
  <c r="C37" i="49"/>
  <c r="D37" i="49"/>
  <c r="E37" i="49"/>
  <c r="C38" i="49"/>
  <c r="D38" i="49"/>
  <c r="E38" i="49"/>
  <c r="C39" i="49"/>
  <c r="D39" i="49"/>
  <c r="E39" i="49"/>
  <c r="C40" i="49"/>
  <c r="D40" i="49"/>
  <c r="E40" i="49"/>
  <c r="B43" i="49"/>
  <c r="B44" i="49"/>
  <c r="C44" i="49"/>
  <c r="D44" i="49"/>
  <c r="E44" i="49"/>
  <c r="B46" i="49"/>
  <c r="C46" i="49"/>
  <c r="D46" i="49"/>
  <c r="E46" i="49"/>
  <c r="B47" i="49"/>
  <c r="C47" i="49"/>
  <c r="D47" i="49"/>
  <c r="E47" i="49"/>
  <c r="C48" i="49"/>
  <c r="D48" i="49"/>
  <c r="E48" i="49"/>
  <c r="B51" i="49"/>
  <c r="C51" i="49"/>
  <c r="D51" i="49"/>
  <c r="E51" i="49"/>
  <c r="B52" i="49"/>
  <c r="C52" i="49"/>
  <c r="D52" i="49"/>
  <c r="E52" i="49"/>
  <c r="B53" i="49"/>
  <c r="C53" i="49"/>
  <c r="D53" i="49"/>
  <c r="E53" i="49"/>
  <c r="B54" i="49"/>
  <c r="C54" i="49"/>
  <c r="D54" i="49"/>
  <c r="E54" i="49"/>
  <c r="B55" i="49"/>
  <c r="C55" i="49"/>
  <c r="D55" i="49"/>
  <c r="E55" i="49"/>
  <c r="B56" i="49"/>
  <c r="C56" i="49"/>
  <c r="D56" i="49"/>
  <c r="E56" i="49"/>
  <c r="B57" i="49"/>
  <c r="C57" i="49"/>
  <c r="D57" i="49"/>
  <c r="E57" i="49"/>
  <c r="B58" i="49"/>
  <c r="C58" i="49"/>
  <c r="D58" i="49"/>
  <c r="E58" i="49"/>
  <c r="B62" i="49"/>
  <c r="B63" i="49"/>
  <c r="C63" i="49"/>
  <c r="D63" i="49"/>
  <c r="E63" i="49"/>
  <c r="B65" i="49"/>
  <c r="C65" i="49"/>
  <c r="D65" i="49"/>
  <c r="E65" i="49"/>
  <c r="B66" i="49"/>
  <c r="C66" i="49"/>
  <c r="D66" i="49"/>
  <c r="E66" i="49"/>
  <c r="C67" i="49"/>
  <c r="D67" i="49"/>
  <c r="E67" i="49"/>
  <c r="B70" i="49"/>
  <c r="B71" i="49"/>
  <c r="C71" i="49"/>
  <c r="D71" i="49"/>
  <c r="E71" i="49"/>
  <c r="B72" i="49"/>
  <c r="C72" i="49"/>
  <c r="D72" i="49"/>
  <c r="E72" i="49"/>
  <c r="B73" i="49"/>
  <c r="C73" i="49"/>
  <c r="D73" i="49"/>
  <c r="E73" i="49"/>
  <c r="B76" i="49"/>
  <c r="C76" i="49"/>
  <c r="D76" i="49"/>
  <c r="E76" i="49"/>
  <c r="E82" i="49"/>
  <c r="B87" i="49"/>
  <c r="C87" i="49"/>
  <c r="D87" i="49"/>
  <c r="E87" i="49"/>
  <c r="B90" i="49"/>
  <c r="C90" i="49"/>
  <c r="D90" i="49"/>
  <c r="E90" i="49"/>
  <c r="B91" i="49"/>
  <c r="C91" i="49"/>
  <c r="D91" i="49"/>
  <c r="E91" i="49"/>
  <c r="B93" i="49"/>
  <c r="C93" i="49"/>
  <c r="D93" i="49"/>
  <c r="E93" i="49"/>
  <c r="B96" i="49"/>
  <c r="C96" i="49"/>
  <c r="D96" i="49"/>
  <c r="E96" i="49"/>
  <c r="B97" i="49"/>
  <c r="C97" i="49"/>
  <c r="D97" i="49"/>
  <c r="E97" i="49"/>
  <c r="B98" i="49"/>
  <c r="C98" i="49"/>
  <c r="D98" i="49"/>
  <c r="E98" i="49"/>
  <c r="B99" i="49"/>
  <c r="C99" i="49"/>
  <c r="D99" i="49"/>
  <c r="E99" i="49"/>
  <c r="B100" i="49"/>
  <c r="C100" i="49"/>
  <c r="D100" i="49"/>
  <c r="E100" i="49"/>
  <c r="B101" i="49"/>
  <c r="C101" i="49"/>
  <c r="D101" i="49"/>
  <c r="E101" i="49"/>
  <c r="B103" i="49"/>
  <c r="C103" i="49"/>
  <c r="D103" i="49"/>
  <c r="E103" i="49"/>
  <c r="B104" i="49"/>
  <c r="C104" i="49"/>
  <c r="D104" i="49"/>
  <c r="E104" i="49"/>
  <c r="B108" i="49"/>
  <c r="C108" i="49"/>
  <c r="D108" i="49"/>
  <c r="E108" i="49"/>
  <c r="B109" i="49"/>
  <c r="C109" i="49"/>
  <c r="D109" i="49"/>
  <c r="E109" i="49"/>
  <c r="B110" i="49"/>
  <c r="C110" i="49"/>
  <c r="D110" i="49"/>
  <c r="E110" i="49"/>
  <c r="B111" i="49"/>
  <c r="C111" i="49"/>
  <c r="D111" i="49"/>
  <c r="E111" i="49"/>
  <c r="B112" i="49"/>
  <c r="C112" i="49"/>
  <c r="D112" i="49"/>
  <c r="E112" i="49"/>
  <c r="B113" i="49"/>
  <c r="C113" i="49"/>
  <c r="D113" i="49"/>
  <c r="E113" i="49"/>
  <c r="B115" i="49"/>
  <c r="C115" i="49"/>
  <c r="D115" i="49"/>
  <c r="E115" i="49"/>
  <c r="B116" i="49"/>
  <c r="C116" i="49"/>
  <c r="D116" i="49"/>
  <c r="E116" i="49"/>
  <c r="D117" i="49"/>
  <c r="C119" i="49"/>
  <c r="D119" i="49"/>
  <c r="E119" i="49"/>
  <c r="C120" i="49"/>
  <c r="D120" i="49"/>
  <c r="E120" i="49"/>
  <c r="C121" i="49"/>
  <c r="D121" i="49"/>
  <c r="E121" i="49"/>
  <c r="C122" i="49"/>
  <c r="D122" i="49"/>
  <c r="E122" i="49"/>
  <c r="C125" i="49"/>
  <c r="D125" i="49"/>
  <c r="E125" i="49"/>
  <c r="C126" i="49"/>
  <c r="D126" i="49"/>
  <c r="E126" i="49"/>
  <c r="A129" i="49"/>
  <c r="C129" i="49"/>
  <c r="D129" i="49"/>
  <c r="E129" i="49"/>
  <c r="A130" i="49"/>
  <c r="C130" i="49"/>
  <c r="D130" i="49"/>
  <c r="E130" i="49"/>
  <c r="A131" i="49"/>
  <c r="C131" i="49"/>
  <c r="D131" i="49"/>
  <c r="E131" i="49"/>
  <c r="A132" i="49"/>
  <c r="C132" i="49"/>
  <c r="D132" i="49"/>
  <c r="E132" i="49"/>
  <c r="A133" i="49"/>
  <c r="C133" i="49"/>
  <c r="D133" i="49"/>
  <c r="E133" i="49"/>
  <c r="A134" i="49"/>
  <c r="C134" i="49"/>
  <c r="D134" i="49"/>
  <c r="E134" i="49"/>
  <c r="A135" i="49"/>
  <c r="C135" i="49"/>
  <c r="D135" i="49"/>
  <c r="E135" i="49"/>
  <c r="A136" i="49"/>
  <c r="C136" i="49"/>
  <c r="D136" i="49"/>
  <c r="E136" i="49"/>
  <c r="A137" i="49"/>
  <c r="C137" i="49"/>
  <c r="D137" i="49"/>
  <c r="E137" i="49"/>
  <c r="A138" i="49"/>
  <c r="C138" i="49"/>
  <c r="D138" i="49"/>
  <c r="E138" i="49"/>
  <c r="A139" i="49"/>
  <c r="C139" i="49"/>
  <c r="D139" i="49"/>
  <c r="E139" i="49"/>
  <c r="A140" i="49"/>
  <c r="C142" i="49"/>
  <c r="A3" i="9"/>
  <c r="A11" i="9"/>
  <c r="M1" i="10"/>
  <c r="A1" i="43" s="1"/>
  <c r="M2" i="10" a="1"/>
  <c r="N2" i="10"/>
  <c r="M3" i="10"/>
  <c r="M4" i="10"/>
  <c r="M5" i="10"/>
  <c r="S6" i="10"/>
  <c r="E9" i="10"/>
  <c r="E27" i="10"/>
  <c r="E41" i="10"/>
  <c r="J4" i="14"/>
  <c r="A4" i="21" s="1"/>
  <c r="J5" i="14"/>
  <c r="A6" i="14"/>
  <c r="I7" i="14"/>
  <c r="E26" i="21" s="1"/>
  <c r="E28" i="21" s="1"/>
  <c r="L7" i="14"/>
  <c r="O7" i="14"/>
  <c r="R7" i="14"/>
  <c r="U7" i="14"/>
  <c r="I12" i="14"/>
  <c r="K12" i="14"/>
  <c r="P12" i="14" s="1"/>
  <c r="S12" i="14"/>
  <c r="V12" i="14"/>
  <c r="I13" i="14"/>
  <c r="K13" i="14"/>
  <c r="P13" i="14" s="1"/>
  <c r="M13" i="14"/>
  <c r="S13" i="14"/>
  <c r="V13" i="14"/>
  <c r="I14" i="14"/>
  <c r="K14" i="14"/>
  <c r="P14" i="14" s="1"/>
  <c r="M14" i="14"/>
  <c r="S14" i="14"/>
  <c r="V14" i="14"/>
  <c r="I15" i="14"/>
  <c r="K15" i="14"/>
  <c r="P15" i="14" s="1"/>
  <c r="M15" i="14"/>
  <c r="S15" i="14"/>
  <c r="V15" i="14"/>
  <c r="I16" i="14"/>
  <c r="K16" i="14"/>
  <c r="M16" i="14"/>
  <c r="P16" i="14"/>
  <c r="S16" i="14"/>
  <c r="V16" i="14"/>
  <c r="I17" i="14"/>
  <c r="K17" i="14"/>
  <c r="P17" i="14" s="1"/>
  <c r="S17" i="14"/>
  <c r="V17" i="14"/>
  <c r="I18" i="14"/>
  <c r="K18" i="14"/>
  <c r="P18" i="14" s="1"/>
  <c r="S18" i="14"/>
  <c r="V18" i="14"/>
  <c r="I19" i="14"/>
  <c r="K19" i="14"/>
  <c r="P19" i="14" s="1"/>
  <c r="S19" i="14"/>
  <c r="V19" i="14"/>
  <c r="J20" i="14"/>
  <c r="L20" i="14"/>
  <c r="N20" i="14"/>
  <c r="Q20" i="14"/>
  <c r="T20" i="14"/>
  <c r="K21" i="14"/>
  <c r="P21" i="14" s="1"/>
  <c r="N21" i="14"/>
  <c r="O21" i="14" s="1"/>
  <c r="Q21" i="14"/>
  <c r="T21" i="14"/>
  <c r="U21" i="14"/>
  <c r="V21" i="14"/>
  <c r="O22" i="14"/>
  <c r="U22" i="14"/>
  <c r="I23" i="14"/>
  <c r="K23" i="14"/>
  <c r="P23" i="14" s="1"/>
  <c r="S23" i="14"/>
  <c r="V23" i="14"/>
  <c r="I26" i="14"/>
  <c r="K26" i="14"/>
  <c r="P26" i="14" s="1"/>
  <c r="S26" i="14"/>
  <c r="V26" i="14"/>
  <c r="I27" i="14"/>
  <c r="K27" i="14"/>
  <c r="P27" i="14" s="1"/>
  <c r="S27" i="14"/>
  <c r="V27" i="14"/>
  <c r="I28" i="14"/>
  <c r="K28" i="14"/>
  <c r="P28" i="14" s="1"/>
  <c r="M28" i="14"/>
  <c r="S28" i="14"/>
  <c r="V28" i="14"/>
  <c r="I29" i="14"/>
  <c r="K29" i="14"/>
  <c r="M29" i="14"/>
  <c r="P29" i="14"/>
  <c r="S29" i="14"/>
  <c r="V29" i="14"/>
  <c r="I30" i="14"/>
  <c r="K30" i="14"/>
  <c r="P30" i="14"/>
  <c r="S30" i="14"/>
  <c r="V30" i="14"/>
  <c r="I31" i="14"/>
  <c r="K31" i="14"/>
  <c r="M31" i="14"/>
  <c r="P31" i="14"/>
  <c r="S31" i="14"/>
  <c r="V31" i="14"/>
  <c r="I32" i="14"/>
  <c r="K32" i="14"/>
  <c r="P32" i="14" s="1"/>
  <c r="M32" i="14"/>
  <c r="S32" i="14"/>
  <c r="V32" i="14"/>
  <c r="I33" i="14"/>
  <c r="K33" i="14"/>
  <c r="M33" i="14"/>
  <c r="P33" i="14"/>
  <c r="S33" i="14"/>
  <c r="V33" i="14"/>
  <c r="J34" i="14"/>
  <c r="L34" i="14"/>
  <c r="N34" i="14"/>
  <c r="N36" i="14" s="1"/>
  <c r="S36" i="14" s="1"/>
  <c r="Q34" i="14"/>
  <c r="T34" i="14"/>
  <c r="T36" i="14"/>
  <c r="U36" i="14"/>
  <c r="K35" i="14"/>
  <c r="P35" i="14" s="1"/>
  <c r="N35" i="14"/>
  <c r="O35" i="14"/>
  <c r="Q35" i="14"/>
  <c r="R35" i="14"/>
  <c r="S35" i="14"/>
  <c r="T35" i="14"/>
  <c r="U35" i="14"/>
  <c r="V35" i="14"/>
  <c r="I39" i="14"/>
  <c r="K39" i="14"/>
  <c r="P39" i="14" s="1"/>
  <c r="S39" i="14"/>
  <c r="V39" i="14"/>
  <c r="I40" i="14"/>
  <c r="K40" i="14"/>
  <c r="P40" i="14" s="1"/>
  <c r="S40" i="14"/>
  <c r="V40" i="14"/>
  <c r="I41" i="14"/>
  <c r="K41" i="14"/>
  <c r="P41" i="14" s="1"/>
  <c r="M41" i="14"/>
  <c r="S41" i="14"/>
  <c r="V41" i="14"/>
  <c r="I42" i="14"/>
  <c r="K42" i="14"/>
  <c r="P42" i="14" s="1"/>
  <c r="M42" i="14"/>
  <c r="S42" i="14"/>
  <c r="V42" i="14"/>
  <c r="I43" i="14"/>
  <c r="K43" i="14"/>
  <c r="P43" i="14" s="1"/>
  <c r="M43" i="14"/>
  <c r="S43" i="14"/>
  <c r="V43" i="14"/>
  <c r="I44" i="14"/>
  <c r="K44" i="14"/>
  <c r="M44" i="14"/>
  <c r="P44" i="14"/>
  <c r="S44" i="14"/>
  <c r="V44" i="14"/>
  <c r="I45" i="14"/>
  <c r="K45" i="14"/>
  <c r="P45" i="14" s="1"/>
  <c r="M45" i="14"/>
  <c r="S45" i="14"/>
  <c r="V45" i="14"/>
  <c r="I46" i="14"/>
  <c r="K46" i="14"/>
  <c r="P46" i="14" s="1"/>
  <c r="S46" i="14"/>
  <c r="V46" i="14"/>
  <c r="J47" i="14"/>
  <c r="L47" i="14"/>
  <c r="N47" i="14"/>
  <c r="N49" i="14" s="1"/>
  <c r="Q47" i="14"/>
  <c r="T47" i="14"/>
  <c r="I48" i="14"/>
  <c r="N48" i="14"/>
  <c r="S48" i="14" s="1"/>
  <c r="Q48" i="14"/>
  <c r="R48" i="14" s="1"/>
  <c r="T48" i="14"/>
  <c r="U48" i="14"/>
  <c r="V48" i="14"/>
  <c r="T49" i="14"/>
  <c r="U49" i="14"/>
  <c r="I52" i="14"/>
  <c r="K52" i="14"/>
  <c r="P52" i="14" s="1"/>
  <c r="S52" i="14"/>
  <c r="V52" i="14"/>
  <c r="I53" i="14"/>
  <c r="K53" i="14"/>
  <c r="P53" i="14" s="1"/>
  <c r="M53" i="14"/>
  <c r="S53" i="14"/>
  <c r="V53" i="14"/>
  <c r="I54" i="14"/>
  <c r="K54" i="14"/>
  <c r="P54" i="14" s="1"/>
  <c r="M54" i="14"/>
  <c r="S54" i="14"/>
  <c r="V54" i="14"/>
  <c r="I55" i="14"/>
  <c r="K55" i="14"/>
  <c r="P55" i="14" s="1"/>
  <c r="S55" i="14"/>
  <c r="V55" i="14"/>
  <c r="I56" i="14"/>
  <c r="K56" i="14"/>
  <c r="P56" i="14" s="1"/>
  <c r="S56" i="14"/>
  <c r="V56" i="14"/>
  <c r="I57" i="14"/>
  <c r="K57" i="14"/>
  <c r="P57" i="14" s="1"/>
  <c r="M57" i="14"/>
  <c r="S57" i="14"/>
  <c r="V57" i="14"/>
  <c r="I58" i="14"/>
  <c r="K58" i="14"/>
  <c r="P58" i="14" s="1"/>
  <c r="M58" i="14"/>
  <c r="S58" i="14"/>
  <c r="V58" i="14"/>
  <c r="I59" i="14"/>
  <c r="K59" i="14"/>
  <c r="P59" i="14" s="1"/>
  <c r="S59" i="14"/>
  <c r="V59" i="14"/>
  <c r="J60" i="14"/>
  <c r="L60" i="14"/>
  <c r="N60" i="14"/>
  <c r="S60" i="14" s="1"/>
  <c r="Q60" i="14"/>
  <c r="Q62" i="14"/>
  <c r="V62" i="14" s="1"/>
  <c r="T60" i="14"/>
  <c r="T62" i="14"/>
  <c r="U62" i="14"/>
  <c r="K61" i="14"/>
  <c r="P61" i="14" s="1"/>
  <c r="N61" i="14"/>
  <c r="O61" i="14"/>
  <c r="Q61" i="14"/>
  <c r="R61" i="14"/>
  <c r="S61" i="14"/>
  <c r="T61" i="14"/>
  <c r="U61" i="14"/>
  <c r="V61" i="14"/>
  <c r="R62" i="14"/>
  <c r="K65" i="14"/>
  <c r="P65" i="14" s="1"/>
  <c r="N65" i="14"/>
  <c r="Q65" i="14"/>
  <c r="T65" i="14"/>
  <c r="T73" i="14" s="1"/>
  <c r="T75" i="14" s="1"/>
  <c r="J20" i="21" s="1"/>
  <c r="I66" i="14"/>
  <c r="N66" i="14"/>
  <c r="S66" i="14" s="1"/>
  <c r="Q66" i="14"/>
  <c r="T66" i="14"/>
  <c r="V66" i="14"/>
  <c r="I67" i="14"/>
  <c r="N67" i="14"/>
  <c r="Q67" i="14"/>
  <c r="V67" i="14" s="1"/>
  <c r="S67" i="14"/>
  <c r="T67" i="14"/>
  <c r="K68" i="14"/>
  <c r="P68" i="14" s="1"/>
  <c r="N68" i="14"/>
  <c r="Q68" i="14"/>
  <c r="Q74" i="14" s="1"/>
  <c r="V74" i="14" s="1"/>
  <c r="S68" i="14"/>
  <c r="T68" i="14"/>
  <c r="I69" i="14"/>
  <c r="K69" i="14"/>
  <c r="P69" i="14" s="1"/>
  <c r="M69" i="14"/>
  <c r="N69" i="14"/>
  <c r="Q69" i="14"/>
  <c r="V69" i="14" s="1"/>
  <c r="S69" i="14"/>
  <c r="T69" i="14"/>
  <c r="K70" i="14"/>
  <c r="P70" i="14" s="1"/>
  <c r="N70" i="14"/>
  <c r="Q70" i="14"/>
  <c r="V70" i="14" s="1"/>
  <c r="S70" i="14"/>
  <c r="T70" i="14"/>
  <c r="I71" i="14"/>
  <c r="N71" i="14"/>
  <c r="Q71" i="14"/>
  <c r="S71" i="14"/>
  <c r="T71" i="14"/>
  <c r="V71" i="14"/>
  <c r="N72" i="14"/>
  <c r="Q72" i="14"/>
  <c r="S72" i="14"/>
  <c r="T72" i="14"/>
  <c r="T74" i="14" s="1"/>
  <c r="U74" i="14" s="1"/>
  <c r="V72" i="14"/>
  <c r="J73" i="14"/>
  <c r="L73" i="14"/>
  <c r="I76" i="14"/>
  <c r="K76" i="14"/>
  <c r="A5" i="21"/>
  <c r="I9" i="21"/>
  <c r="K9" i="21"/>
  <c r="I10" i="21"/>
  <c r="K10" i="21"/>
  <c r="I11" i="21"/>
  <c r="K11" i="21"/>
  <c r="I16" i="21"/>
  <c r="K16" i="21"/>
  <c r="I17" i="21"/>
  <c r="K17" i="21"/>
  <c r="I24" i="21"/>
  <c r="K24" i="21"/>
  <c r="G25" i="21"/>
  <c r="H25" i="21"/>
  <c r="J25" i="21"/>
  <c r="I27" i="21"/>
  <c r="K27" i="21"/>
  <c r="I31" i="21"/>
  <c r="K31" i="21"/>
  <c r="I32" i="21"/>
  <c r="K32" i="21"/>
  <c r="I33" i="21"/>
  <c r="K33" i="21"/>
  <c r="G34" i="21"/>
  <c r="H34" i="21"/>
  <c r="J34" i="21"/>
  <c r="I35" i="21"/>
  <c r="K35" i="21"/>
  <c r="I36" i="21"/>
  <c r="K36" i="21"/>
  <c r="I37" i="21"/>
  <c r="K37" i="21"/>
  <c r="I38" i="21"/>
  <c r="K38" i="21"/>
  <c r="I39" i="21"/>
  <c r="K39" i="21"/>
  <c r="I41" i="21"/>
  <c r="K41" i="21"/>
  <c r="I42" i="21"/>
  <c r="K42" i="21"/>
  <c r="I43" i="21"/>
  <c r="K43" i="21"/>
  <c r="I51" i="21"/>
  <c r="K51" i="21"/>
  <c r="I52" i="21"/>
  <c r="K52" i="21"/>
  <c r="I53" i="21"/>
  <c r="K53" i="21"/>
  <c r="I54" i="21"/>
  <c r="K54" i="21"/>
  <c r="I55" i="21"/>
  <c r="K55" i="21"/>
  <c r="I57" i="21"/>
  <c r="K57" i="21"/>
  <c r="I58" i="21"/>
  <c r="K58" i="21"/>
  <c r="I59" i="21"/>
  <c r="K59" i="21"/>
  <c r="I67" i="21"/>
  <c r="K67" i="21"/>
  <c r="I68" i="21"/>
  <c r="K68" i="21"/>
  <c r="I69" i="21"/>
  <c r="K69" i="21"/>
  <c r="I70" i="21"/>
  <c r="K70" i="21"/>
  <c r="I73" i="21"/>
  <c r="K73" i="21"/>
  <c r="I74" i="21"/>
  <c r="K74" i="21"/>
  <c r="I75" i="21"/>
  <c r="K75" i="21"/>
  <c r="I76" i="21"/>
  <c r="K76" i="21"/>
  <c r="I83" i="21"/>
  <c r="K83" i="21"/>
  <c r="I84" i="21"/>
  <c r="K84" i="21"/>
  <c r="I87" i="21"/>
  <c r="K87" i="21"/>
  <c r="I88" i="21"/>
  <c r="K88" i="21"/>
  <c r="I89" i="21"/>
  <c r="K89" i="21"/>
  <c r="I90" i="21"/>
  <c r="K90" i="21"/>
  <c r="I91" i="21"/>
  <c r="K91" i="21"/>
  <c r="I92" i="21"/>
  <c r="K92" i="21"/>
  <c r="I93" i="21"/>
  <c r="K93" i="21"/>
  <c r="I94" i="21"/>
  <c r="K94" i="21"/>
  <c r="D4" i="17"/>
  <c r="A6" i="17"/>
  <c r="G7" i="17"/>
  <c r="I7" i="17"/>
  <c r="K7" i="17"/>
  <c r="F10" i="17"/>
  <c r="G13" i="17"/>
  <c r="F13" i="41" s="1"/>
  <c r="F13" i="43" s="1"/>
  <c r="I13" i="17"/>
  <c r="I13" i="2"/>
  <c r="K13" i="17"/>
  <c r="E70" i="50" s="1"/>
  <c r="E14" i="17"/>
  <c r="H14" i="17" s="1"/>
  <c r="J14" i="17"/>
  <c r="L14" i="17"/>
  <c r="E15" i="17"/>
  <c r="H15" i="17" s="1"/>
  <c r="J15" i="17"/>
  <c r="L15" i="17"/>
  <c r="E16" i="17"/>
  <c r="J16" i="17"/>
  <c r="L16" i="17"/>
  <c r="E17" i="17"/>
  <c r="H17" i="17" s="1"/>
  <c r="E23" i="17"/>
  <c r="H23" i="17" s="1"/>
  <c r="J23" i="17"/>
  <c r="L23" i="17"/>
  <c r="G25" i="17"/>
  <c r="J25" i="17" s="1"/>
  <c r="E29" i="17"/>
  <c r="H29" i="17" s="1"/>
  <c r="J29" i="17"/>
  <c r="L29" i="17"/>
  <c r="E30" i="17"/>
  <c r="J30" i="17"/>
  <c r="L30" i="17"/>
  <c r="E31" i="17"/>
  <c r="H31" i="17" s="1"/>
  <c r="J31" i="17"/>
  <c r="L31" i="17"/>
  <c r="E32" i="17"/>
  <c r="H32" i="17" s="1"/>
  <c r="J32" i="17"/>
  <c r="L32" i="17"/>
  <c r="E33" i="17"/>
  <c r="H33" i="17" s="1"/>
  <c r="J33" i="17"/>
  <c r="L33" i="17"/>
  <c r="E34" i="17"/>
  <c r="H34" i="17" s="1"/>
  <c r="J34" i="17"/>
  <c r="L34" i="17"/>
  <c r="E36" i="17"/>
  <c r="J36" i="17"/>
  <c r="L36" i="17"/>
  <c r="E37" i="17"/>
  <c r="J37" i="17"/>
  <c r="L37" i="17"/>
  <c r="F38" i="17"/>
  <c r="G38" i="17"/>
  <c r="C82" i="50" s="1"/>
  <c r="I38" i="17"/>
  <c r="D82" i="50" s="1"/>
  <c r="K38" i="17"/>
  <c r="E82" i="50" s="1"/>
  <c r="E43" i="17"/>
  <c r="H43" i="17" s="1"/>
  <c r="J43" i="17"/>
  <c r="L43" i="17"/>
  <c r="E44" i="17"/>
  <c r="H44" i="17" s="1"/>
  <c r="J44" i="17"/>
  <c r="L44" i="17"/>
  <c r="E45" i="17"/>
  <c r="H45" i="17" s="1"/>
  <c r="F45" i="17"/>
  <c r="G45" i="17"/>
  <c r="J45" i="17" s="1"/>
  <c r="I45" i="17"/>
  <c r="L45" i="17" s="1"/>
  <c r="K45" i="17"/>
  <c r="F51" i="17"/>
  <c r="E60" i="17"/>
  <c r="E60" i="2" s="1"/>
  <c r="H60" i="2" s="1"/>
  <c r="J60" i="17"/>
  <c r="L60" i="17"/>
  <c r="E61" i="17"/>
  <c r="E61" i="2" s="1"/>
  <c r="H61" i="2" s="1"/>
  <c r="J61" i="17"/>
  <c r="L61" i="17"/>
  <c r="E62" i="17"/>
  <c r="H62" i="17" s="1"/>
  <c r="J62" i="17"/>
  <c r="L62" i="17"/>
  <c r="E63" i="17"/>
  <c r="E63" i="2" s="1"/>
  <c r="H63" i="2" s="1"/>
  <c r="J63" i="17"/>
  <c r="L63" i="17"/>
  <c r="E66" i="17"/>
  <c r="E66" i="2" s="1"/>
  <c r="H66" i="2" s="1"/>
  <c r="J66" i="17"/>
  <c r="L66" i="17"/>
  <c r="E67" i="17"/>
  <c r="E67" i="2" s="1"/>
  <c r="H67" i="2" s="1"/>
  <c r="J67" i="17"/>
  <c r="L67" i="17"/>
  <c r="E68" i="17"/>
  <c r="H68" i="17" s="1"/>
  <c r="J68" i="17"/>
  <c r="L68" i="17"/>
  <c r="E70" i="17"/>
  <c r="H70" i="17" s="1"/>
  <c r="J70" i="17"/>
  <c r="L70" i="17"/>
  <c r="E76" i="17"/>
  <c r="H76" i="17" s="1"/>
  <c r="J76" i="17"/>
  <c r="L76" i="17"/>
  <c r="E77" i="17"/>
  <c r="H77" i="17" s="1"/>
  <c r="J77" i="17"/>
  <c r="L77" i="17"/>
  <c r="E78" i="17"/>
  <c r="H78" i="17" s="1"/>
  <c r="J78" i="17"/>
  <c r="L78" i="17"/>
  <c r="E79" i="17"/>
  <c r="H79" i="17" s="1"/>
  <c r="J79" i="17"/>
  <c r="L79" i="17"/>
  <c r="E80" i="17"/>
  <c r="H80" i="17"/>
  <c r="J80" i="17"/>
  <c r="L80" i="17"/>
  <c r="E81" i="17"/>
  <c r="H81" i="17" s="1"/>
  <c r="J81" i="17"/>
  <c r="L81" i="17"/>
  <c r="E82" i="17"/>
  <c r="H82" i="17"/>
  <c r="J82" i="17"/>
  <c r="L82" i="17"/>
  <c r="E83" i="17"/>
  <c r="H83" i="17" s="1"/>
  <c r="J83" i="17"/>
  <c r="L83" i="17"/>
  <c r="E84" i="17"/>
  <c r="H84" i="17" s="1"/>
  <c r="J84" i="17"/>
  <c r="L84" i="17"/>
  <c r="E85" i="17"/>
  <c r="H85" i="17" s="1"/>
  <c r="F85" i="17"/>
  <c r="F17" i="17"/>
  <c r="G85" i="17"/>
  <c r="J85" i="17"/>
  <c r="I85" i="17"/>
  <c r="I17" i="17" s="1"/>
  <c r="L17" i="17" s="1"/>
  <c r="K85" i="17"/>
  <c r="K17" i="17"/>
  <c r="K17" i="2" s="1"/>
  <c r="G87" i="17"/>
  <c r="F87" i="41"/>
  <c r="I87" i="17"/>
  <c r="K87" i="17"/>
  <c r="H88" i="17"/>
  <c r="E91" i="17"/>
  <c r="H91" i="17" s="1"/>
  <c r="J91" i="17"/>
  <c r="L91" i="17"/>
  <c r="E92" i="17"/>
  <c r="H92" i="17" s="1"/>
  <c r="J92" i="17"/>
  <c r="L92" i="17"/>
  <c r="E93" i="17"/>
  <c r="H93" i="17" s="1"/>
  <c r="J93" i="17"/>
  <c r="L93" i="17"/>
  <c r="E94" i="17"/>
  <c r="H94" i="17" s="1"/>
  <c r="J94" i="17"/>
  <c r="L94" i="17"/>
  <c r="E95" i="17"/>
  <c r="H95" i="17" s="1"/>
  <c r="J95" i="17"/>
  <c r="L95" i="17"/>
  <c r="E96" i="17"/>
  <c r="H96" i="17" s="1"/>
  <c r="J96" i="17"/>
  <c r="L96" i="17"/>
  <c r="E97" i="17"/>
  <c r="H97" i="17"/>
  <c r="J97" i="17"/>
  <c r="L97" i="17"/>
  <c r="E98" i="17"/>
  <c r="H98" i="17" s="1"/>
  <c r="J98" i="17"/>
  <c r="L98" i="17"/>
  <c r="E99" i="17"/>
  <c r="H99" i="17" s="1"/>
  <c r="J99" i="17"/>
  <c r="L99" i="17"/>
  <c r="E100" i="17"/>
  <c r="H100" i="17" s="1"/>
  <c r="J100" i="17"/>
  <c r="L100" i="17"/>
  <c r="E101" i="17"/>
  <c r="H101" i="17"/>
  <c r="J101" i="17"/>
  <c r="L101" i="17"/>
  <c r="E102" i="17"/>
  <c r="H102" i="17" s="1"/>
  <c r="J102" i="17"/>
  <c r="L102" i="17"/>
  <c r="E103" i="17"/>
  <c r="H103" i="17" s="1"/>
  <c r="J103" i="17"/>
  <c r="L103" i="17"/>
  <c r="E104" i="17"/>
  <c r="H104" i="17" s="1"/>
  <c r="J104" i="17"/>
  <c r="L104" i="17"/>
  <c r="E105" i="17"/>
  <c r="H105" i="17" s="1"/>
  <c r="J105" i="17"/>
  <c r="L105" i="17"/>
  <c r="E106" i="17"/>
  <c r="H106" i="17" s="1"/>
  <c r="J106" i="17"/>
  <c r="L106" i="17"/>
  <c r="E107" i="17"/>
  <c r="H107" i="17" s="1"/>
  <c r="J107" i="17"/>
  <c r="L107" i="17"/>
  <c r="E108" i="17"/>
  <c r="H108" i="17" s="1"/>
  <c r="J108" i="17"/>
  <c r="L108" i="17"/>
  <c r="F109" i="17"/>
  <c r="F21" i="17"/>
  <c r="G109" i="17"/>
  <c r="J109" i="17" s="1"/>
  <c r="I109" i="17"/>
  <c r="K109" i="17"/>
  <c r="K21" i="17" s="1"/>
  <c r="K21" i="2" s="1"/>
  <c r="E112" i="17"/>
  <c r="H112" i="17" s="1"/>
  <c r="J112" i="17"/>
  <c r="L112" i="17"/>
  <c r="E113" i="17"/>
  <c r="H113" i="17"/>
  <c r="J113" i="17"/>
  <c r="L113" i="17"/>
  <c r="E114" i="17"/>
  <c r="H114" i="17" s="1"/>
  <c r="J114" i="17"/>
  <c r="L114" i="17"/>
  <c r="E115" i="17"/>
  <c r="H115" i="17" s="1"/>
  <c r="J115" i="17"/>
  <c r="L115" i="17"/>
  <c r="E116" i="17"/>
  <c r="H116" i="17" s="1"/>
  <c r="J116" i="17"/>
  <c r="L116" i="17"/>
  <c r="E117" i="17"/>
  <c r="H117" i="17" s="1"/>
  <c r="J117" i="17"/>
  <c r="L117" i="17"/>
  <c r="E118" i="17"/>
  <c r="H118" i="17" s="1"/>
  <c r="F118" i="17"/>
  <c r="F25" i="17"/>
  <c r="F25" i="2" s="1"/>
  <c r="G118" i="17"/>
  <c r="I118" i="17"/>
  <c r="I25" i="17" s="1"/>
  <c r="L25" i="17" s="1"/>
  <c r="J118" i="17"/>
  <c r="K118" i="17"/>
  <c r="K25" i="17" s="1"/>
  <c r="D4" i="16"/>
  <c r="A6" i="16"/>
  <c r="G7" i="16"/>
  <c r="I7" i="16"/>
  <c r="K7" i="16"/>
  <c r="F10" i="16"/>
  <c r="F10" i="2" s="1"/>
  <c r="E23" i="16"/>
  <c r="H23" i="16"/>
  <c r="J23" i="16"/>
  <c r="L23" i="16"/>
  <c r="E24" i="16"/>
  <c r="J24" i="16"/>
  <c r="L24" i="16"/>
  <c r="E29" i="16"/>
  <c r="J29" i="16"/>
  <c r="L29" i="16"/>
  <c r="E30" i="16"/>
  <c r="H30" i="16" s="1"/>
  <c r="J30" i="16"/>
  <c r="L30" i="16"/>
  <c r="E31" i="16"/>
  <c r="H31" i="16" s="1"/>
  <c r="J31" i="16"/>
  <c r="L31" i="16"/>
  <c r="E32" i="16"/>
  <c r="H32" i="16" s="1"/>
  <c r="J32" i="16"/>
  <c r="L32" i="16"/>
  <c r="E33" i="16"/>
  <c r="J33" i="16"/>
  <c r="L33" i="16"/>
  <c r="E34" i="16"/>
  <c r="H34" i="16" s="1"/>
  <c r="J34" i="16"/>
  <c r="L34" i="16"/>
  <c r="E36" i="16"/>
  <c r="J36" i="16"/>
  <c r="L36" i="16"/>
  <c r="E37" i="16"/>
  <c r="H37" i="16" s="1"/>
  <c r="J37" i="16"/>
  <c r="L37" i="16"/>
  <c r="F38" i="16"/>
  <c r="G38" i="16"/>
  <c r="I38" i="16"/>
  <c r="D85" i="50" s="1"/>
  <c r="K38" i="16"/>
  <c r="E85" i="50" s="1"/>
  <c r="E43" i="16"/>
  <c r="H43" i="16" s="1"/>
  <c r="J43" i="16"/>
  <c r="L43" i="16"/>
  <c r="E44" i="16"/>
  <c r="H44" i="16" s="1"/>
  <c r="J44" i="16"/>
  <c r="L44" i="16"/>
  <c r="F45" i="16"/>
  <c r="G45" i="16"/>
  <c r="J45" i="16" s="1"/>
  <c r="I45" i="16"/>
  <c r="L45" i="16"/>
  <c r="K45" i="16"/>
  <c r="F51" i="16"/>
  <c r="E54" i="16"/>
  <c r="E94" i="16"/>
  <c r="H94" i="16" s="1"/>
  <c r="J94" i="16"/>
  <c r="L94" i="16"/>
  <c r="H95" i="16"/>
  <c r="J95" i="16"/>
  <c r="L95" i="16"/>
  <c r="H107" i="16"/>
  <c r="J107" i="16"/>
  <c r="L107" i="16"/>
  <c r="H108" i="16"/>
  <c r="J108" i="16"/>
  <c r="L108" i="16"/>
  <c r="H109" i="16"/>
  <c r="J109" i="16"/>
  <c r="L109" i="16"/>
  <c r="H110" i="16"/>
  <c r="J110" i="16"/>
  <c r="L110" i="16"/>
  <c r="H111" i="16"/>
  <c r="J111" i="16"/>
  <c r="L111" i="16"/>
  <c r="H112" i="16"/>
  <c r="J112" i="16"/>
  <c r="L112" i="16"/>
  <c r="J113" i="16"/>
  <c r="L113" i="16"/>
  <c r="F114" i="16"/>
  <c r="F17" i="16"/>
  <c r="G114" i="16"/>
  <c r="G17" i="16" s="1"/>
  <c r="I114" i="16"/>
  <c r="K114" i="16"/>
  <c r="K17" i="16" s="1"/>
  <c r="G116" i="16"/>
  <c r="F116" i="42" s="1"/>
  <c r="I116" i="16"/>
  <c r="K116" i="16"/>
  <c r="E120" i="16"/>
  <c r="H120" i="16" s="1"/>
  <c r="J120" i="16"/>
  <c r="L120" i="16"/>
  <c r="E121" i="16"/>
  <c r="J121" i="16"/>
  <c r="L121" i="16"/>
  <c r="E122" i="16"/>
  <c r="H122" i="16" s="1"/>
  <c r="J122" i="16"/>
  <c r="L122" i="16"/>
  <c r="E123" i="16"/>
  <c r="H123" i="16" s="1"/>
  <c r="J123" i="16"/>
  <c r="L123" i="16"/>
  <c r="E124" i="16"/>
  <c r="H124" i="16" s="1"/>
  <c r="J124" i="16"/>
  <c r="L124" i="16"/>
  <c r="E125" i="16"/>
  <c r="H125" i="16" s="1"/>
  <c r="J125" i="16"/>
  <c r="L125" i="16"/>
  <c r="E126" i="16"/>
  <c r="H126" i="16" s="1"/>
  <c r="J126" i="16"/>
  <c r="L126" i="16"/>
  <c r="E127" i="16"/>
  <c r="H127" i="16" s="1"/>
  <c r="J127" i="16"/>
  <c r="L127" i="16"/>
  <c r="E128" i="16"/>
  <c r="H128" i="16" s="1"/>
  <c r="J128" i="16"/>
  <c r="L128" i="16"/>
  <c r="E129" i="16"/>
  <c r="H129" i="16"/>
  <c r="J129" i="16"/>
  <c r="L129" i="16"/>
  <c r="E130" i="16"/>
  <c r="H130" i="16" s="1"/>
  <c r="J130" i="16"/>
  <c r="L130" i="16"/>
  <c r="E131" i="16"/>
  <c r="H131" i="16"/>
  <c r="J131" i="16"/>
  <c r="L131" i="16"/>
  <c r="E132" i="16"/>
  <c r="H132" i="16" s="1"/>
  <c r="J132" i="16"/>
  <c r="L132" i="16"/>
  <c r="E133" i="16"/>
  <c r="H133" i="16"/>
  <c r="J133" i="16"/>
  <c r="L133" i="16"/>
  <c r="E134" i="16"/>
  <c r="H134" i="16" s="1"/>
  <c r="J134" i="16"/>
  <c r="L134" i="16"/>
  <c r="E135" i="16"/>
  <c r="H135" i="16" s="1"/>
  <c r="J135" i="16"/>
  <c r="L135" i="16"/>
  <c r="E136" i="16"/>
  <c r="H136" i="16" s="1"/>
  <c r="J136" i="16"/>
  <c r="L136" i="16"/>
  <c r="E137" i="16"/>
  <c r="H137" i="16"/>
  <c r="J137" i="16"/>
  <c r="L137" i="16"/>
  <c r="F138" i="16"/>
  <c r="F21" i="16" s="1"/>
  <c r="G138" i="16"/>
  <c r="G21" i="16" s="1"/>
  <c r="I138" i="16"/>
  <c r="L138" i="16" s="1"/>
  <c r="K138" i="16"/>
  <c r="K21" i="16" s="1"/>
  <c r="E141" i="16"/>
  <c r="H141" i="16"/>
  <c r="J141" i="16"/>
  <c r="L141" i="16"/>
  <c r="E142" i="16"/>
  <c r="H142" i="16" s="1"/>
  <c r="J142" i="16"/>
  <c r="L142" i="16"/>
  <c r="E143" i="16"/>
  <c r="H143" i="16" s="1"/>
  <c r="J143" i="16"/>
  <c r="L143" i="16"/>
  <c r="E144" i="16"/>
  <c r="H144" i="16" s="1"/>
  <c r="J144" i="16"/>
  <c r="L144" i="16"/>
  <c r="E145" i="16"/>
  <c r="H145" i="16" s="1"/>
  <c r="J145" i="16"/>
  <c r="L145" i="16"/>
  <c r="E146" i="16"/>
  <c r="H146" i="16" s="1"/>
  <c r="J146" i="16"/>
  <c r="L146" i="16"/>
  <c r="F147" i="16"/>
  <c r="F25" i="16"/>
  <c r="G147" i="16"/>
  <c r="J147" i="16" s="1"/>
  <c r="I147" i="16"/>
  <c r="L147" i="16" s="1"/>
  <c r="K147" i="16"/>
  <c r="K25" i="16"/>
  <c r="D4" i="2"/>
  <c r="A6" i="2"/>
  <c r="G7" i="2"/>
  <c r="I7" i="2"/>
  <c r="K7" i="2"/>
  <c r="F13" i="2"/>
  <c r="F14" i="2"/>
  <c r="G14" i="2"/>
  <c r="AE11" i="37" s="1"/>
  <c r="Z11" i="37" s="1"/>
  <c r="I14" i="2"/>
  <c r="AE11" i="38" s="1"/>
  <c r="V11" i="38" s="1"/>
  <c r="K14" i="2"/>
  <c r="E15" i="2"/>
  <c r="H15" i="2" s="1"/>
  <c r="F15" i="2"/>
  <c r="G15" i="2"/>
  <c r="J15" i="2" s="1"/>
  <c r="I15" i="2"/>
  <c r="L15" i="2" s="1"/>
  <c r="K15" i="2"/>
  <c r="F16" i="2"/>
  <c r="G16" i="2"/>
  <c r="AE13" i="37" s="1"/>
  <c r="L13" i="37" s="1"/>
  <c r="I16" i="2"/>
  <c r="K16" i="2"/>
  <c r="F19" i="2"/>
  <c r="F20" i="2"/>
  <c r="F23" i="2"/>
  <c r="G23" i="2"/>
  <c r="AE20" i="37" s="1"/>
  <c r="I23" i="2"/>
  <c r="L23" i="2" s="1"/>
  <c r="K23" i="2"/>
  <c r="F24" i="2"/>
  <c r="G24" i="2"/>
  <c r="J24" i="2" s="1"/>
  <c r="I24" i="2"/>
  <c r="AE21" i="38" s="1"/>
  <c r="AB21" i="38" s="1"/>
  <c r="K24" i="2"/>
  <c r="F29" i="2"/>
  <c r="G29" i="2"/>
  <c r="AE26" i="37" s="1"/>
  <c r="I29" i="2"/>
  <c r="K29" i="2"/>
  <c r="F30" i="2"/>
  <c r="G30" i="2"/>
  <c r="J30" i="2" s="1"/>
  <c r="I30" i="2"/>
  <c r="K30" i="2"/>
  <c r="F31" i="2"/>
  <c r="G31" i="2"/>
  <c r="AE28" i="37" s="1"/>
  <c r="I31" i="2"/>
  <c r="L31" i="2" s="1"/>
  <c r="K31" i="2"/>
  <c r="F32" i="2"/>
  <c r="G32" i="2"/>
  <c r="I32" i="2"/>
  <c r="AE29" i="38" s="1"/>
  <c r="H29" i="38" s="1"/>
  <c r="K32" i="2"/>
  <c r="F33" i="2"/>
  <c r="G33" i="2"/>
  <c r="AE30" i="37" s="1"/>
  <c r="I33" i="2"/>
  <c r="L33" i="2" s="1"/>
  <c r="K33" i="2"/>
  <c r="F34" i="2"/>
  <c r="G34" i="2"/>
  <c r="AE31" i="37"/>
  <c r="R31" i="37" s="1"/>
  <c r="I34" i="2"/>
  <c r="AE31" i="38" s="1"/>
  <c r="X31" i="38" s="1"/>
  <c r="K34" i="2"/>
  <c r="F36" i="2"/>
  <c r="G36" i="2"/>
  <c r="J36" i="2" s="1"/>
  <c r="I36" i="2"/>
  <c r="L36" i="2" s="1"/>
  <c r="K36" i="2"/>
  <c r="F37" i="2"/>
  <c r="G37" i="2"/>
  <c r="J37" i="2" s="1"/>
  <c r="I37" i="2"/>
  <c r="L37" i="2" s="1"/>
  <c r="K37" i="2"/>
  <c r="F43" i="2"/>
  <c r="G43" i="2"/>
  <c r="AE38" i="37" s="1"/>
  <c r="I43" i="2"/>
  <c r="L43" i="2" s="1"/>
  <c r="K43" i="2"/>
  <c r="F44" i="2"/>
  <c r="G44" i="2"/>
  <c r="AE39" i="37" s="1"/>
  <c r="I44" i="2"/>
  <c r="K44" i="2"/>
  <c r="L50" i="2"/>
  <c r="G51" i="2"/>
  <c r="B52" i="2"/>
  <c r="F53" i="2"/>
  <c r="G53" i="2"/>
  <c r="E54" i="2"/>
  <c r="F54" i="2"/>
  <c r="G54" i="2"/>
  <c r="B55" i="2"/>
  <c r="E55" i="2"/>
  <c r="H55" i="2" s="1"/>
  <c r="F60" i="2"/>
  <c r="G60" i="2"/>
  <c r="J60" i="2" s="1"/>
  <c r="I60" i="2"/>
  <c r="L60" i="2"/>
  <c r="K60" i="2"/>
  <c r="F61" i="2"/>
  <c r="G61" i="2"/>
  <c r="J61" i="2" s="1"/>
  <c r="I61" i="2"/>
  <c r="L61" i="2" s="1"/>
  <c r="K61" i="2"/>
  <c r="F62" i="2"/>
  <c r="G62" i="2"/>
  <c r="J62" i="2" s="1"/>
  <c r="I62" i="2"/>
  <c r="L62" i="2"/>
  <c r="K62" i="2"/>
  <c r="F63" i="2"/>
  <c r="G63" i="2"/>
  <c r="J63" i="2" s="1"/>
  <c r="I63" i="2"/>
  <c r="L63" i="2" s="1"/>
  <c r="K63" i="2"/>
  <c r="F66" i="2"/>
  <c r="G66" i="2"/>
  <c r="J66" i="2" s="1"/>
  <c r="I66" i="2"/>
  <c r="L66" i="2" s="1"/>
  <c r="K66" i="2"/>
  <c r="F67" i="2"/>
  <c r="G67" i="2"/>
  <c r="J67" i="2"/>
  <c r="I67" i="2"/>
  <c r="L67" i="2" s="1"/>
  <c r="K67" i="2"/>
  <c r="F68" i="2"/>
  <c r="G68" i="2"/>
  <c r="J68" i="2" s="1"/>
  <c r="I68" i="2"/>
  <c r="L68" i="2" s="1"/>
  <c r="K68" i="2"/>
  <c r="E70" i="2"/>
  <c r="H70" i="2" s="1"/>
  <c r="F70" i="2"/>
  <c r="G70" i="2"/>
  <c r="J70" i="2" s="1"/>
  <c r="I70" i="2"/>
  <c r="L70" i="2" s="1"/>
  <c r="K70" i="2"/>
  <c r="E75" i="2"/>
  <c r="A4" i="15"/>
  <c r="D13" i="15"/>
  <c r="G1" i="37"/>
  <c r="U1" i="37"/>
  <c r="G2" i="37"/>
  <c r="W2" i="37" s="1"/>
  <c r="A3" i="37"/>
  <c r="E23" i="37"/>
  <c r="G23" i="37"/>
  <c r="I23" i="37"/>
  <c r="K23" i="37"/>
  <c r="M23" i="37"/>
  <c r="O23" i="37"/>
  <c r="Q23" i="37"/>
  <c r="S23" i="37"/>
  <c r="U23" i="37"/>
  <c r="W23" i="37"/>
  <c r="Y23" i="37"/>
  <c r="AA23" i="37"/>
  <c r="E35" i="37"/>
  <c r="G35" i="37"/>
  <c r="I35" i="37"/>
  <c r="K35" i="37"/>
  <c r="M35" i="37"/>
  <c r="O35" i="37"/>
  <c r="Q35" i="37"/>
  <c r="S35" i="37"/>
  <c r="U35" i="37"/>
  <c r="W35" i="37"/>
  <c r="Y35" i="37"/>
  <c r="AA35" i="37"/>
  <c r="E40" i="37"/>
  <c r="G40" i="37"/>
  <c r="I40" i="37"/>
  <c r="K40" i="37"/>
  <c r="M40" i="37"/>
  <c r="O40" i="37"/>
  <c r="Q40" i="37"/>
  <c r="S40" i="37"/>
  <c r="U40" i="37"/>
  <c r="W40" i="37"/>
  <c r="Y40" i="37"/>
  <c r="AA40" i="37"/>
  <c r="G1" i="38"/>
  <c r="H1" i="38"/>
  <c r="U1" i="38"/>
  <c r="V1" i="38"/>
  <c r="G2" i="38"/>
  <c r="W2" i="38" s="1"/>
  <c r="H2" i="38"/>
  <c r="A3" i="38"/>
  <c r="E23" i="38"/>
  <c r="G23" i="38"/>
  <c r="I23" i="38"/>
  <c r="K23" i="38"/>
  <c r="M23" i="38"/>
  <c r="O23" i="38"/>
  <c r="Q23" i="38"/>
  <c r="S23" i="38"/>
  <c r="U23" i="38"/>
  <c r="W23" i="38"/>
  <c r="Y23" i="38"/>
  <c r="AA23" i="38"/>
  <c r="E35" i="38"/>
  <c r="G35" i="38"/>
  <c r="I35" i="38"/>
  <c r="K35" i="38"/>
  <c r="M35" i="38"/>
  <c r="O35" i="38"/>
  <c r="Q35" i="38"/>
  <c r="S35" i="38"/>
  <c r="U35" i="38"/>
  <c r="W35" i="38"/>
  <c r="Y35" i="38"/>
  <c r="AA35" i="38"/>
  <c r="E40" i="38"/>
  <c r="G40" i="38"/>
  <c r="I40" i="38"/>
  <c r="K40" i="38"/>
  <c r="M40" i="38"/>
  <c r="O40" i="38"/>
  <c r="Q40" i="38"/>
  <c r="S40" i="38"/>
  <c r="U40" i="38"/>
  <c r="W40" i="38"/>
  <c r="Y40" i="38"/>
  <c r="AA40" i="38"/>
  <c r="J4" i="39"/>
  <c r="J5" i="39"/>
  <c r="A6" i="39"/>
  <c r="I7" i="39"/>
  <c r="E26" i="40" s="1"/>
  <c r="E28" i="40" s="1"/>
  <c r="L7" i="39"/>
  <c r="O7" i="39"/>
  <c r="R7" i="39"/>
  <c r="U7" i="39"/>
  <c r="I12" i="39"/>
  <c r="K12" i="39"/>
  <c r="P12" i="39" s="1"/>
  <c r="S12" i="39"/>
  <c r="V12" i="39"/>
  <c r="I13" i="39"/>
  <c r="K13" i="39"/>
  <c r="P13" i="39" s="1"/>
  <c r="M13" i="39"/>
  <c r="S13" i="39"/>
  <c r="V13" i="39"/>
  <c r="I14" i="39"/>
  <c r="K14" i="39"/>
  <c r="P14" i="39" s="1"/>
  <c r="M14" i="39"/>
  <c r="S14" i="39"/>
  <c r="V14" i="39"/>
  <c r="I15" i="39"/>
  <c r="K15" i="39"/>
  <c r="P15" i="39" s="1"/>
  <c r="M15" i="39"/>
  <c r="S15" i="39"/>
  <c r="V15" i="39"/>
  <c r="I16" i="39"/>
  <c r="K16" i="39"/>
  <c r="P16" i="39" s="1"/>
  <c r="M16" i="39"/>
  <c r="S16" i="39"/>
  <c r="V16" i="39"/>
  <c r="I17" i="39"/>
  <c r="K17" i="39"/>
  <c r="P17" i="39" s="1"/>
  <c r="M17" i="39"/>
  <c r="S17" i="39"/>
  <c r="V17" i="39"/>
  <c r="I18" i="39"/>
  <c r="K18" i="39"/>
  <c r="P18" i="39" s="1"/>
  <c r="S18" i="39"/>
  <c r="V18" i="39"/>
  <c r="I19" i="39"/>
  <c r="K19" i="39"/>
  <c r="P19" i="39" s="1"/>
  <c r="M19" i="39"/>
  <c r="S19" i="39"/>
  <c r="V19" i="39"/>
  <c r="I20" i="39"/>
  <c r="J20" i="39"/>
  <c r="K20" i="39"/>
  <c r="P20" i="39" s="1"/>
  <c r="L20" i="39"/>
  <c r="N20" i="39"/>
  <c r="S20" i="39"/>
  <c r="Q20" i="39"/>
  <c r="R22" i="39"/>
  <c r="T20" i="39"/>
  <c r="U22" i="39"/>
  <c r="I21" i="39"/>
  <c r="N21" i="39"/>
  <c r="S21" i="39" s="1"/>
  <c r="Q21" i="39"/>
  <c r="T21" i="39"/>
  <c r="U21" i="39"/>
  <c r="V21" i="39"/>
  <c r="I23" i="39"/>
  <c r="K23" i="39"/>
  <c r="P23" i="39" s="1"/>
  <c r="S23" i="39"/>
  <c r="V23" i="39"/>
  <c r="I26" i="39"/>
  <c r="K26" i="39"/>
  <c r="P26" i="39" s="1"/>
  <c r="S26" i="39"/>
  <c r="V26" i="39"/>
  <c r="I27" i="39"/>
  <c r="K27" i="39"/>
  <c r="P27" i="39" s="1"/>
  <c r="S27" i="39"/>
  <c r="V27" i="39"/>
  <c r="I28" i="39"/>
  <c r="K28" i="39"/>
  <c r="P28" i="39" s="1"/>
  <c r="M28" i="39"/>
  <c r="S28" i="39"/>
  <c r="V28" i="39"/>
  <c r="I29" i="39"/>
  <c r="K29" i="39"/>
  <c r="M29" i="39"/>
  <c r="P29" i="39"/>
  <c r="S29" i="39"/>
  <c r="V29" i="39"/>
  <c r="I30" i="39"/>
  <c r="K30" i="39"/>
  <c r="P30" i="39" s="1"/>
  <c r="S30" i="39"/>
  <c r="V30" i="39"/>
  <c r="I31" i="39"/>
  <c r="K31" i="39"/>
  <c r="P31" i="39" s="1"/>
  <c r="M31" i="39"/>
  <c r="S31" i="39"/>
  <c r="V31" i="39"/>
  <c r="I32" i="39"/>
  <c r="K32" i="39"/>
  <c r="P32" i="39" s="1"/>
  <c r="S32" i="39"/>
  <c r="V32" i="39"/>
  <c r="I33" i="39"/>
  <c r="K33" i="39"/>
  <c r="P33" i="39" s="1"/>
  <c r="M33" i="39"/>
  <c r="S33" i="39"/>
  <c r="V33" i="39"/>
  <c r="J34" i="39"/>
  <c r="L34" i="39"/>
  <c r="N34" i="39"/>
  <c r="Q34" i="39"/>
  <c r="S34" i="39"/>
  <c r="T34" i="39"/>
  <c r="V34" i="39"/>
  <c r="K35" i="39"/>
  <c r="P35" i="39" s="1"/>
  <c r="N35" i="39"/>
  <c r="S35" i="39" s="1"/>
  <c r="O35" i="39"/>
  <c r="Q35" i="39"/>
  <c r="R35" i="39" s="1"/>
  <c r="T35" i="39"/>
  <c r="U35" i="39"/>
  <c r="O36" i="39"/>
  <c r="R36" i="39"/>
  <c r="U36" i="39"/>
  <c r="I39" i="39"/>
  <c r="K39" i="39"/>
  <c r="P39" i="39" s="1"/>
  <c r="M39" i="39"/>
  <c r="S39" i="39"/>
  <c r="V39" i="39"/>
  <c r="I40" i="39"/>
  <c r="K40" i="39"/>
  <c r="P40" i="39" s="1"/>
  <c r="S40" i="39"/>
  <c r="V40" i="39"/>
  <c r="I41" i="39"/>
  <c r="K41" i="39"/>
  <c r="P41" i="39" s="1"/>
  <c r="M41" i="39"/>
  <c r="S41" i="39"/>
  <c r="V41" i="39"/>
  <c r="I42" i="39"/>
  <c r="K42" i="39"/>
  <c r="P42" i="39" s="1"/>
  <c r="M42" i="39"/>
  <c r="S42" i="39"/>
  <c r="V42" i="39"/>
  <c r="I43" i="39"/>
  <c r="K43" i="39"/>
  <c r="P43" i="39" s="1"/>
  <c r="M43" i="39"/>
  <c r="S43" i="39"/>
  <c r="V43" i="39"/>
  <c r="I44" i="39"/>
  <c r="K44" i="39"/>
  <c r="M44" i="39"/>
  <c r="P44" i="39"/>
  <c r="S44" i="39"/>
  <c r="V44" i="39"/>
  <c r="I45" i="39"/>
  <c r="K45" i="39"/>
  <c r="P45" i="39" s="1"/>
  <c r="M45" i="39"/>
  <c r="S45" i="39"/>
  <c r="V45" i="39"/>
  <c r="I46" i="39"/>
  <c r="K46" i="39"/>
  <c r="P46" i="39" s="1"/>
  <c r="S46" i="39"/>
  <c r="V46" i="39"/>
  <c r="I47" i="39"/>
  <c r="J47" i="39"/>
  <c r="K47" i="39"/>
  <c r="P47" i="39" s="1"/>
  <c r="L47" i="39"/>
  <c r="N47" i="39"/>
  <c r="N49" i="39" s="1"/>
  <c r="S49" i="39" s="1"/>
  <c r="Q47" i="39"/>
  <c r="V47" i="39" s="1"/>
  <c r="T47" i="39"/>
  <c r="N48" i="39"/>
  <c r="S48" i="39" s="1"/>
  <c r="O48" i="39"/>
  <c r="Q48" i="39"/>
  <c r="R48" i="39"/>
  <c r="T48" i="39"/>
  <c r="U48" i="39"/>
  <c r="V48" i="39"/>
  <c r="O49" i="39"/>
  <c r="Q49" i="39"/>
  <c r="R49" i="39"/>
  <c r="T49" i="39"/>
  <c r="U49" i="39"/>
  <c r="V49" i="39"/>
  <c r="I52" i="39"/>
  <c r="K52" i="39"/>
  <c r="P52" i="39"/>
  <c r="S52" i="39"/>
  <c r="V52" i="39"/>
  <c r="I53" i="39"/>
  <c r="K53" i="39"/>
  <c r="P53" i="39" s="1"/>
  <c r="M53" i="39"/>
  <c r="S53" i="39"/>
  <c r="V53" i="39"/>
  <c r="I54" i="39"/>
  <c r="K54" i="39"/>
  <c r="P54" i="39" s="1"/>
  <c r="M54" i="39"/>
  <c r="S54" i="39"/>
  <c r="V54" i="39"/>
  <c r="I55" i="39"/>
  <c r="K55" i="39"/>
  <c r="P55" i="39" s="1"/>
  <c r="M55" i="39"/>
  <c r="S55" i="39"/>
  <c r="V55" i="39"/>
  <c r="I56" i="39"/>
  <c r="K56" i="39"/>
  <c r="P56" i="39"/>
  <c r="S56" i="39"/>
  <c r="V56" i="39"/>
  <c r="I57" i="39"/>
  <c r="K57" i="39"/>
  <c r="P57" i="39" s="1"/>
  <c r="S57" i="39"/>
  <c r="V57" i="39"/>
  <c r="I58" i="39"/>
  <c r="K58" i="39"/>
  <c r="M58" i="39"/>
  <c r="P58" i="39"/>
  <c r="S58" i="39"/>
  <c r="V58" i="39"/>
  <c r="I59" i="39"/>
  <c r="K59" i="39"/>
  <c r="P59" i="39" s="1"/>
  <c r="M59" i="39"/>
  <c r="S59" i="39"/>
  <c r="V59" i="39"/>
  <c r="I60" i="39"/>
  <c r="J60" i="39"/>
  <c r="K60" i="39"/>
  <c r="P60" i="39" s="1"/>
  <c r="L60" i="39"/>
  <c r="N60" i="39"/>
  <c r="S60" i="39"/>
  <c r="Q60" i="39"/>
  <c r="T60" i="39"/>
  <c r="V60" i="39"/>
  <c r="K61" i="39"/>
  <c r="P61" i="39" s="1"/>
  <c r="N61" i="39"/>
  <c r="O61" i="39"/>
  <c r="Q61" i="39"/>
  <c r="S61" i="39"/>
  <c r="T61" i="39"/>
  <c r="T62" i="39" s="1"/>
  <c r="U61" i="39"/>
  <c r="V61" i="39"/>
  <c r="N62" i="39"/>
  <c r="S62" i="39" s="1"/>
  <c r="O62" i="39"/>
  <c r="R62" i="39"/>
  <c r="U62" i="39"/>
  <c r="K65" i="39"/>
  <c r="P65" i="39" s="1"/>
  <c r="N65" i="39"/>
  <c r="N73" i="39" s="1"/>
  <c r="O75" i="39"/>
  <c r="G21" i="40" s="1"/>
  <c r="Q65" i="39"/>
  <c r="T65" i="39"/>
  <c r="I66" i="39"/>
  <c r="N66" i="39"/>
  <c r="S66" i="39" s="1"/>
  <c r="Q66" i="39"/>
  <c r="V66" i="39" s="1"/>
  <c r="T66" i="39"/>
  <c r="N67" i="39"/>
  <c r="Q67" i="39"/>
  <c r="V67" i="39" s="1"/>
  <c r="S67" i="39"/>
  <c r="T67" i="39"/>
  <c r="T73" i="39" s="1"/>
  <c r="T75" i="39" s="1"/>
  <c r="J20" i="40" s="1"/>
  <c r="N68" i="39"/>
  <c r="Q68" i="39"/>
  <c r="V68" i="39" s="1"/>
  <c r="S68" i="39"/>
  <c r="T68" i="39"/>
  <c r="T74" i="39" s="1"/>
  <c r="U74" i="39" s="1"/>
  <c r="J22" i="40" s="1"/>
  <c r="I69" i="39"/>
  <c r="K69" i="39"/>
  <c r="P69" i="39" s="1"/>
  <c r="N69" i="39"/>
  <c r="S69" i="39" s="1"/>
  <c r="Q69" i="39"/>
  <c r="T69" i="39"/>
  <c r="V69" i="39"/>
  <c r="K70" i="39"/>
  <c r="P70" i="39" s="1"/>
  <c r="N70" i="39"/>
  <c r="Q70" i="39"/>
  <c r="S70" i="39"/>
  <c r="T70" i="39"/>
  <c r="V70" i="39"/>
  <c r="I71" i="39"/>
  <c r="K71" i="39"/>
  <c r="P71" i="39" s="1"/>
  <c r="N71" i="39"/>
  <c r="Q71" i="39"/>
  <c r="S71" i="39"/>
  <c r="T71" i="39"/>
  <c r="V71" i="39"/>
  <c r="I72" i="39"/>
  <c r="N72" i="39"/>
  <c r="S72" i="39" s="1"/>
  <c r="Q72" i="39"/>
  <c r="T72" i="39"/>
  <c r="V72" i="39"/>
  <c r="J73" i="39"/>
  <c r="L73" i="39"/>
  <c r="N74" i="39"/>
  <c r="S74" i="39" s="1"/>
  <c r="O74" i="39"/>
  <c r="O76" i="39" s="1"/>
  <c r="Q74" i="39"/>
  <c r="R74" i="39" s="1"/>
  <c r="H22" i="40" s="1"/>
  <c r="I76" i="39"/>
  <c r="K76" i="39"/>
  <c r="A4" i="40"/>
  <c r="A5" i="40"/>
  <c r="I9" i="40"/>
  <c r="K9" i="40"/>
  <c r="I10" i="40"/>
  <c r="K10" i="40"/>
  <c r="I11" i="40"/>
  <c r="K11" i="40"/>
  <c r="I16" i="40"/>
  <c r="K16" i="40"/>
  <c r="I17" i="40"/>
  <c r="K17" i="40"/>
  <c r="I24" i="40"/>
  <c r="K24" i="40"/>
  <c r="G25" i="40"/>
  <c r="H25" i="40"/>
  <c r="J25" i="40"/>
  <c r="I27" i="40"/>
  <c r="K27" i="40"/>
  <c r="I31" i="40"/>
  <c r="K31" i="40"/>
  <c r="I32" i="40"/>
  <c r="K32" i="40"/>
  <c r="I33" i="40"/>
  <c r="K33" i="40"/>
  <c r="G34" i="40"/>
  <c r="I34" i="40" s="1"/>
  <c r="H34" i="40"/>
  <c r="J34" i="40"/>
  <c r="I35" i="40"/>
  <c r="K35" i="40"/>
  <c r="I36" i="40"/>
  <c r="K36" i="40"/>
  <c r="I37" i="40"/>
  <c r="K37" i="40"/>
  <c r="I38" i="40"/>
  <c r="K38" i="40"/>
  <c r="I39" i="40"/>
  <c r="K39" i="40"/>
  <c r="I41" i="40"/>
  <c r="K41" i="40"/>
  <c r="I42" i="40"/>
  <c r="K42" i="40"/>
  <c r="I43" i="40"/>
  <c r="K43" i="40"/>
  <c r="I51" i="40"/>
  <c r="K51" i="40"/>
  <c r="I52" i="40"/>
  <c r="K52" i="40"/>
  <c r="I53" i="40"/>
  <c r="K53" i="40"/>
  <c r="I54" i="40"/>
  <c r="K54" i="40"/>
  <c r="I55" i="40"/>
  <c r="K55" i="40"/>
  <c r="I57" i="40"/>
  <c r="K57" i="40"/>
  <c r="I58" i="40"/>
  <c r="K58" i="40"/>
  <c r="I59" i="40"/>
  <c r="K59" i="40"/>
  <c r="I67" i="40"/>
  <c r="K67" i="40"/>
  <c r="I68" i="40"/>
  <c r="K68" i="40"/>
  <c r="I69" i="40"/>
  <c r="K69" i="40"/>
  <c r="I70" i="40"/>
  <c r="K70" i="40"/>
  <c r="I73" i="40"/>
  <c r="K73" i="40"/>
  <c r="I74" i="40"/>
  <c r="K74" i="40"/>
  <c r="I75" i="40"/>
  <c r="K75" i="40"/>
  <c r="I76" i="40"/>
  <c r="K76" i="40"/>
  <c r="I83" i="40"/>
  <c r="K83" i="40"/>
  <c r="I84" i="40"/>
  <c r="K84" i="40"/>
  <c r="I87" i="40"/>
  <c r="K87" i="40"/>
  <c r="I88" i="40"/>
  <c r="K88" i="40"/>
  <c r="I89" i="40"/>
  <c r="K89" i="40"/>
  <c r="I90" i="40"/>
  <c r="K90" i="40"/>
  <c r="I91" i="40"/>
  <c r="K91" i="40"/>
  <c r="I92" i="40"/>
  <c r="K92" i="40"/>
  <c r="I93" i="40"/>
  <c r="K93" i="40"/>
  <c r="I94" i="40"/>
  <c r="K94" i="40"/>
  <c r="D4" i="41"/>
  <c r="A6" i="41"/>
  <c r="H7" i="41"/>
  <c r="J7" i="41"/>
  <c r="L7" i="41"/>
  <c r="G10" i="41"/>
  <c r="G10" i="42" s="1"/>
  <c r="H13" i="41"/>
  <c r="C70" i="51" s="1"/>
  <c r="J13" i="41"/>
  <c r="L13" i="41"/>
  <c r="E70" i="51" s="1"/>
  <c r="E14" i="41"/>
  <c r="I14" i="41" s="1"/>
  <c r="F14" i="41"/>
  <c r="K14" i="41"/>
  <c r="M14" i="41"/>
  <c r="E15" i="41"/>
  <c r="E15" i="43" s="1"/>
  <c r="I15" i="43" s="1"/>
  <c r="F15" i="41"/>
  <c r="F15" i="43"/>
  <c r="K15" i="41"/>
  <c r="M15" i="41"/>
  <c r="E16" i="41"/>
  <c r="E16" i="43" s="1"/>
  <c r="I16" i="43" s="1"/>
  <c r="F16" i="41"/>
  <c r="F16" i="43" s="1"/>
  <c r="K16" i="41"/>
  <c r="M16" i="41"/>
  <c r="E17" i="41"/>
  <c r="E23" i="41"/>
  <c r="I23" i="41" s="1"/>
  <c r="F23" i="41"/>
  <c r="K23" i="41"/>
  <c r="M23" i="41"/>
  <c r="G25" i="41"/>
  <c r="J25" i="41"/>
  <c r="M25" i="41" s="1"/>
  <c r="E29" i="41"/>
  <c r="I29" i="41" s="1"/>
  <c r="F29" i="41"/>
  <c r="K29" i="41"/>
  <c r="M29" i="41"/>
  <c r="E30" i="41"/>
  <c r="I30" i="41" s="1"/>
  <c r="F30" i="41"/>
  <c r="K30" i="41"/>
  <c r="M30" i="41"/>
  <c r="E31" i="41"/>
  <c r="I31" i="41" s="1"/>
  <c r="F31" i="41"/>
  <c r="K31" i="41"/>
  <c r="M31" i="41"/>
  <c r="E32" i="41"/>
  <c r="I32" i="41" s="1"/>
  <c r="F32" i="41"/>
  <c r="F32" i="43" s="1"/>
  <c r="K32" i="41"/>
  <c r="M32" i="41"/>
  <c r="E33" i="41"/>
  <c r="I33" i="41" s="1"/>
  <c r="F33" i="41"/>
  <c r="K33" i="41"/>
  <c r="M33" i="41"/>
  <c r="E34" i="41"/>
  <c r="I34" i="41" s="1"/>
  <c r="F34" i="41"/>
  <c r="K34" i="41"/>
  <c r="M34" i="41"/>
  <c r="E36" i="41"/>
  <c r="I36" i="41" s="1"/>
  <c r="F36" i="41"/>
  <c r="K36" i="41"/>
  <c r="M36" i="41"/>
  <c r="E37" i="41"/>
  <c r="I37" i="41" s="1"/>
  <c r="F37" i="41"/>
  <c r="K37" i="41"/>
  <c r="M37" i="41"/>
  <c r="G38" i="41"/>
  <c r="H38" i="41"/>
  <c r="C82" i="51" s="1"/>
  <c r="J38" i="41"/>
  <c r="D82" i="51" s="1"/>
  <c r="L38" i="41"/>
  <c r="E82" i="51" s="1"/>
  <c r="E43" i="41"/>
  <c r="I43" i="41" s="1"/>
  <c r="F43" i="41"/>
  <c r="K43" i="41"/>
  <c r="M43" i="41"/>
  <c r="E44" i="41"/>
  <c r="F44" i="41"/>
  <c r="K44" i="41"/>
  <c r="M44" i="41"/>
  <c r="G45" i="41"/>
  <c r="H45" i="41"/>
  <c r="K45" i="41" s="1"/>
  <c r="J45" i="41"/>
  <c r="M45" i="41" s="1"/>
  <c r="L45" i="41"/>
  <c r="F51" i="41"/>
  <c r="H51" i="41" s="1"/>
  <c r="C44" i="51" s="1"/>
  <c r="F53" i="41"/>
  <c r="F54" i="41"/>
  <c r="H54" i="41" s="1"/>
  <c r="E60" i="41"/>
  <c r="I60" i="41" s="1"/>
  <c r="F60" i="41"/>
  <c r="F60" i="43"/>
  <c r="K60" i="41"/>
  <c r="M60" i="41"/>
  <c r="E61" i="41"/>
  <c r="I61" i="41" s="1"/>
  <c r="F61" i="41"/>
  <c r="F61" i="43" s="1"/>
  <c r="K61" i="41"/>
  <c r="M61" i="41"/>
  <c r="E62" i="41"/>
  <c r="E62" i="43" s="1"/>
  <c r="I62" i="43" s="1"/>
  <c r="F62" i="41"/>
  <c r="F62" i="43" s="1"/>
  <c r="K62" i="41"/>
  <c r="M62" i="41"/>
  <c r="E63" i="41"/>
  <c r="F63" i="41"/>
  <c r="K63" i="41"/>
  <c r="M63" i="41"/>
  <c r="E66" i="41"/>
  <c r="E66" i="43" s="1"/>
  <c r="I66" i="43" s="1"/>
  <c r="F66" i="41"/>
  <c r="F66" i="43" s="1"/>
  <c r="K66" i="41"/>
  <c r="M66" i="41"/>
  <c r="E67" i="41"/>
  <c r="I67" i="41" s="1"/>
  <c r="F67" i="41"/>
  <c r="F67" i="43" s="1"/>
  <c r="K67" i="41"/>
  <c r="M67" i="41"/>
  <c r="E68" i="41"/>
  <c r="I68" i="41" s="1"/>
  <c r="F68" i="41"/>
  <c r="F68" i="43"/>
  <c r="K68" i="41"/>
  <c r="M68" i="41"/>
  <c r="E70" i="41"/>
  <c r="E70" i="43" s="1"/>
  <c r="I70" i="43" s="1"/>
  <c r="F70" i="41"/>
  <c r="F70" i="43" s="1"/>
  <c r="K70" i="41"/>
  <c r="M70" i="41"/>
  <c r="E76" i="41"/>
  <c r="I76" i="41" s="1"/>
  <c r="F76" i="41"/>
  <c r="K76" i="41"/>
  <c r="M76" i="41"/>
  <c r="E77" i="41"/>
  <c r="F77" i="41"/>
  <c r="I77" i="41"/>
  <c r="K77" i="41"/>
  <c r="M77" i="41"/>
  <c r="E78" i="41"/>
  <c r="F78" i="41"/>
  <c r="I78" i="41"/>
  <c r="K78" i="41"/>
  <c r="M78" i="41"/>
  <c r="E79" i="41"/>
  <c r="I79" i="41" s="1"/>
  <c r="F79" i="41"/>
  <c r="K79" i="41"/>
  <c r="M79" i="41"/>
  <c r="E80" i="41"/>
  <c r="I80" i="41" s="1"/>
  <c r="F80" i="41"/>
  <c r="K80" i="41"/>
  <c r="M80" i="41"/>
  <c r="E81" i="41"/>
  <c r="I81" i="41" s="1"/>
  <c r="F81" i="41"/>
  <c r="K81" i="41"/>
  <c r="M81" i="41"/>
  <c r="E82" i="41"/>
  <c r="I82" i="41" s="1"/>
  <c r="F82" i="41"/>
  <c r="K82" i="41"/>
  <c r="M82" i="41"/>
  <c r="E83" i="41"/>
  <c r="I83" i="41" s="1"/>
  <c r="F83" i="41"/>
  <c r="K83" i="41"/>
  <c r="M83" i="41"/>
  <c r="E84" i="41"/>
  <c r="I84" i="41" s="1"/>
  <c r="F84" i="41"/>
  <c r="K84" i="41"/>
  <c r="M84" i="41"/>
  <c r="G85" i="41"/>
  <c r="G17" i="41" s="1"/>
  <c r="H85" i="41"/>
  <c r="H17" i="41" s="1"/>
  <c r="K17" i="41" s="1"/>
  <c r="J85" i="41"/>
  <c r="J17" i="41" s="1"/>
  <c r="M17" i="41" s="1"/>
  <c r="K85" i="41"/>
  <c r="L85" i="41"/>
  <c r="L17" i="41" s="1"/>
  <c r="H87" i="41"/>
  <c r="H88" i="41" s="1"/>
  <c r="K88" i="41" s="1"/>
  <c r="J87" i="41"/>
  <c r="L87" i="41"/>
  <c r="E91" i="41"/>
  <c r="I91" i="41" s="1"/>
  <c r="F91" i="41"/>
  <c r="K91" i="41"/>
  <c r="M91" i="41"/>
  <c r="E92" i="41"/>
  <c r="F92" i="41"/>
  <c r="K92" i="41"/>
  <c r="M92" i="41"/>
  <c r="E93" i="41"/>
  <c r="I93" i="41" s="1"/>
  <c r="F93" i="41"/>
  <c r="K93" i="41"/>
  <c r="M93" i="41"/>
  <c r="E94" i="41"/>
  <c r="I94" i="41" s="1"/>
  <c r="F94" i="41"/>
  <c r="K94" i="41"/>
  <c r="M94" i="41"/>
  <c r="E95" i="41"/>
  <c r="I95" i="41" s="1"/>
  <c r="F95" i="41"/>
  <c r="K95" i="41"/>
  <c r="M95" i="41"/>
  <c r="E96" i="41"/>
  <c r="I96" i="41" s="1"/>
  <c r="F96" i="41"/>
  <c r="K96" i="41"/>
  <c r="M96" i="41"/>
  <c r="E97" i="41"/>
  <c r="I97" i="41" s="1"/>
  <c r="F97" i="41"/>
  <c r="K97" i="41"/>
  <c r="M97" i="41"/>
  <c r="E98" i="41"/>
  <c r="I98" i="41" s="1"/>
  <c r="F98" i="41"/>
  <c r="K98" i="41"/>
  <c r="M98" i="41"/>
  <c r="E99" i="41"/>
  <c r="I99" i="41" s="1"/>
  <c r="F99" i="41"/>
  <c r="K99" i="41"/>
  <c r="M99" i="41"/>
  <c r="E100" i="41"/>
  <c r="I100" i="41" s="1"/>
  <c r="F100" i="41"/>
  <c r="K100" i="41"/>
  <c r="M100" i="41"/>
  <c r="E101" i="41"/>
  <c r="I101" i="41" s="1"/>
  <c r="F101" i="41"/>
  <c r="K101" i="41"/>
  <c r="M101" i="41"/>
  <c r="E102" i="41"/>
  <c r="I102" i="41" s="1"/>
  <c r="F102" i="41"/>
  <c r="K102" i="41"/>
  <c r="M102" i="41"/>
  <c r="E103" i="41"/>
  <c r="I103" i="41" s="1"/>
  <c r="F103" i="41"/>
  <c r="K103" i="41"/>
  <c r="M103" i="41"/>
  <c r="E104" i="41"/>
  <c r="F104" i="41"/>
  <c r="I104" i="41"/>
  <c r="K104" i="41"/>
  <c r="M104" i="41"/>
  <c r="E105" i="41"/>
  <c r="I105" i="41" s="1"/>
  <c r="F105" i="41"/>
  <c r="K105" i="41"/>
  <c r="M105" i="41"/>
  <c r="E106" i="41"/>
  <c r="I106" i="41" s="1"/>
  <c r="F106" i="41"/>
  <c r="K106" i="41"/>
  <c r="M106" i="41"/>
  <c r="E107" i="41"/>
  <c r="I107" i="41" s="1"/>
  <c r="F107" i="41"/>
  <c r="K107" i="41"/>
  <c r="M107" i="41"/>
  <c r="E108" i="41"/>
  <c r="F108" i="41"/>
  <c r="I108" i="41"/>
  <c r="K108" i="41"/>
  <c r="M108" i="41"/>
  <c r="G109" i="41"/>
  <c r="G21" i="41" s="1"/>
  <c r="H109" i="41"/>
  <c r="J109" i="41"/>
  <c r="L109" i="41"/>
  <c r="L21" i="41" s="1"/>
  <c r="E112" i="41"/>
  <c r="I112" i="41" s="1"/>
  <c r="F112" i="41"/>
  <c r="K112" i="41"/>
  <c r="M112" i="41"/>
  <c r="E113" i="41"/>
  <c r="F113" i="41"/>
  <c r="F118" i="41" s="1"/>
  <c r="K113" i="41"/>
  <c r="M113" i="41"/>
  <c r="E114" i="41"/>
  <c r="I114" i="41" s="1"/>
  <c r="F114" i="41"/>
  <c r="K114" i="41"/>
  <c r="M114" i="41"/>
  <c r="E115" i="41"/>
  <c r="F115" i="41"/>
  <c r="I115" i="41"/>
  <c r="K115" i="41"/>
  <c r="M115" i="41"/>
  <c r="E116" i="41"/>
  <c r="F116" i="41"/>
  <c r="I116" i="41"/>
  <c r="K116" i="41"/>
  <c r="M116" i="41"/>
  <c r="E117" i="41"/>
  <c r="I117" i="41" s="1"/>
  <c r="F117" i="41"/>
  <c r="K117" i="41"/>
  <c r="M117" i="41"/>
  <c r="G118" i="41"/>
  <c r="H118" i="41"/>
  <c r="H25" i="41" s="1"/>
  <c r="K25" i="41" s="1"/>
  <c r="J118" i="41"/>
  <c r="M118" i="41" s="1"/>
  <c r="L118" i="41"/>
  <c r="L25" i="41" s="1"/>
  <c r="D4" i="42"/>
  <c r="H7" i="42"/>
  <c r="J7" i="42"/>
  <c r="L7" i="42"/>
  <c r="G9" i="42"/>
  <c r="A10" i="42"/>
  <c r="E23" i="42"/>
  <c r="I23" i="42" s="1"/>
  <c r="F23" i="42"/>
  <c r="K23" i="42"/>
  <c r="M23" i="42"/>
  <c r="E24" i="42"/>
  <c r="E152" i="42" s="1"/>
  <c r="I152" i="42" s="1"/>
  <c r="J155" i="42"/>
  <c r="D92" i="51" s="1"/>
  <c r="F24" i="42"/>
  <c r="F24" i="43" s="1"/>
  <c r="K24" i="42"/>
  <c r="M24" i="42"/>
  <c r="E29" i="42"/>
  <c r="I29" i="42" s="1"/>
  <c r="F29" i="42"/>
  <c r="K29" i="42"/>
  <c r="M29" i="42"/>
  <c r="E30" i="42"/>
  <c r="E30" i="43" s="1"/>
  <c r="I30" i="43" s="1"/>
  <c r="F30" i="42"/>
  <c r="K30" i="42"/>
  <c r="M30" i="42"/>
  <c r="E31" i="42"/>
  <c r="I31" i="42" s="1"/>
  <c r="F31" i="42"/>
  <c r="K31" i="42"/>
  <c r="M31" i="42"/>
  <c r="E32" i="42"/>
  <c r="I32" i="42" s="1"/>
  <c r="F32" i="42"/>
  <c r="K32" i="42"/>
  <c r="M32" i="42"/>
  <c r="E33" i="42"/>
  <c r="I33" i="42" s="1"/>
  <c r="F33" i="42"/>
  <c r="K33" i="42"/>
  <c r="M33" i="42"/>
  <c r="E34" i="42"/>
  <c r="I34" i="42" s="1"/>
  <c r="F34" i="42"/>
  <c r="K34" i="42"/>
  <c r="M34" i="42"/>
  <c r="E36" i="42"/>
  <c r="I36" i="42" s="1"/>
  <c r="F36" i="42"/>
  <c r="F36" i="43" s="1"/>
  <c r="K36" i="42"/>
  <c r="M36" i="42"/>
  <c r="E37" i="42"/>
  <c r="I37" i="42" s="1"/>
  <c r="F37" i="42"/>
  <c r="F37" i="43" s="1"/>
  <c r="K37" i="42"/>
  <c r="M37" i="42"/>
  <c r="G38" i="42"/>
  <c r="H38" i="42"/>
  <c r="C85" i="51" s="1"/>
  <c r="J38" i="42"/>
  <c r="L38" i="42"/>
  <c r="E85" i="51" s="1"/>
  <c r="E43" i="42"/>
  <c r="I43" i="42" s="1"/>
  <c r="F43" i="42"/>
  <c r="F43" i="43"/>
  <c r="K43" i="42"/>
  <c r="M43" i="42"/>
  <c r="E44" i="42"/>
  <c r="F44" i="42"/>
  <c r="K44" i="42"/>
  <c r="M44" i="42"/>
  <c r="G45" i="42"/>
  <c r="H45" i="42"/>
  <c r="K45" i="42" s="1"/>
  <c r="J45" i="42"/>
  <c r="M45" i="42" s="1"/>
  <c r="L45" i="42"/>
  <c r="F51" i="42"/>
  <c r="F53" i="42"/>
  <c r="F54" i="42"/>
  <c r="K75" i="42"/>
  <c r="E94" i="42"/>
  <c r="F94" i="42"/>
  <c r="K94" i="42"/>
  <c r="M94" i="42"/>
  <c r="K95" i="42"/>
  <c r="M95" i="42"/>
  <c r="K96" i="42"/>
  <c r="M96" i="42"/>
  <c r="K97" i="42"/>
  <c r="M97" i="42"/>
  <c r="K98" i="42"/>
  <c r="M98" i="42"/>
  <c r="K99" i="42"/>
  <c r="M99" i="42"/>
  <c r="K100" i="42"/>
  <c r="M100" i="42"/>
  <c r="K101" i="42"/>
  <c r="M101" i="42"/>
  <c r="K102" i="42"/>
  <c r="M102" i="42"/>
  <c r="H116" i="42"/>
  <c r="J116" i="42"/>
  <c r="L116" i="42"/>
  <c r="E120" i="42"/>
  <c r="F120" i="42"/>
  <c r="K120" i="42"/>
  <c r="M120" i="42"/>
  <c r="E121" i="42"/>
  <c r="F121" i="42"/>
  <c r="K121" i="42"/>
  <c r="M121" i="42"/>
  <c r="E122" i="42"/>
  <c r="F122" i="42"/>
  <c r="K122" i="42"/>
  <c r="M122" i="42"/>
  <c r="E123" i="42"/>
  <c r="F123" i="42"/>
  <c r="K123" i="42"/>
  <c r="M123" i="42"/>
  <c r="E124" i="42"/>
  <c r="F124" i="42"/>
  <c r="K124" i="42"/>
  <c r="M124" i="42"/>
  <c r="E125" i="42"/>
  <c r="F125" i="42"/>
  <c r="K125" i="42"/>
  <c r="M125" i="42"/>
  <c r="E126" i="42"/>
  <c r="F126" i="42"/>
  <c r="K126" i="42"/>
  <c r="M126" i="42"/>
  <c r="E127" i="42"/>
  <c r="F127" i="42"/>
  <c r="K127" i="42"/>
  <c r="M127" i="42"/>
  <c r="E128" i="42"/>
  <c r="F128" i="42"/>
  <c r="K128" i="42"/>
  <c r="M128" i="42"/>
  <c r="E129" i="42"/>
  <c r="F129" i="42"/>
  <c r="K129" i="42"/>
  <c r="M129" i="42"/>
  <c r="E130" i="42"/>
  <c r="F130" i="42"/>
  <c r="K130" i="42"/>
  <c r="M130" i="42"/>
  <c r="E131" i="42"/>
  <c r="F131" i="42"/>
  <c r="K131" i="42"/>
  <c r="M131" i="42"/>
  <c r="E132" i="42"/>
  <c r="F132" i="42"/>
  <c r="K132" i="42"/>
  <c r="M132" i="42"/>
  <c r="E133" i="42"/>
  <c r="F133" i="42"/>
  <c r="K133" i="42"/>
  <c r="M133" i="42"/>
  <c r="E134" i="42"/>
  <c r="F134" i="42"/>
  <c r="K134" i="42"/>
  <c r="M134" i="42"/>
  <c r="E135" i="42"/>
  <c r="F135" i="42"/>
  <c r="K135" i="42"/>
  <c r="M135" i="42"/>
  <c r="E136" i="42"/>
  <c r="F136" i="42"/>
  <c r="K136" i="42"/>
  <c r="M136" i="42"/>
  <c r="E137" i="42"/>
  <c r="F137" i="42"/>
  <c r="K137" i="42"/>
  <c r="M137" i="42"/>
  <c r="G138" i="42"/>
  <c r="G21" i="42" s="1"/>
  <c r="H138" i="42"/>
  <c r="K138" i="42" s="1"/>
  <c r="J138" i="42"/>
  <c r="M138" i="42" s="1"/>
  <c r="L138" i="42"/>
  <c r="L21" i="42"/>
  <c r="L21" i="43" s="1"/>
  <c r="E141" i="42"/>
  <c r="F141" i="42"/>
  <c r="K141" i="42"/>
  <c r="M141" i="42"/>
  <c r="E142" i="42"/>
  <c r="F142" i="42"/>
  <c r="K142" i="42"/>
  <c r="M142" i="42"/>
  <c r="E143" i="42"/>
  <c r="F143" i="42"/>
  <c r="K143" i="42"/>
  <c r="M143" i="42"/>
  <c r="E144" i="42"/>
  <c r="F144" i="42"/>
  <c r="K144" i="42"/>
  <c r="M144" i="42"/>
  <c r="E145" i="42"/>
  <c r="F145" i="42"/>
  <c r="K145" i="42"/>
  <c r="M145" i="42"/>
  <c r="E146" i="42"/>
  <c r="F146" i="42"/>
  <c r="K146" i="42"/>
  <c r="M146" i="42"/>
  <c r="G147" i="42"/>
  <c r="G25" i="42"/>
  <c r="H147" i="42"/>
  <c r="K147" i="42" s="1"/>
  <c r="J147" i="42"/>
  <c r="M147" i="42" s="1"/>
  <c r="L147" i="42"/>
  <c r="L25" i="42" s="1"/>
  <c r="D4" i="43"/>
  <c r="H7" i="43"/>
  <c r="J7" i="43"/>
  <c r="L7" i="43"/>
  <c r="G9" i="43"/>
  <c r="A10" i="43"/>
  <c r="G13" i="43"/>
  <c r="F14" i="43"/>
  <c r="G14" i="43"/>
  <c r="H14" i="43"/>
  <c r="AE11" i="45" s="1"/>
  <c r="J14" i="43"/>
  <c r="M14" i="43" s="1"/>
  <c r="L14" i="43"/>
  <c r="G15" i="43"/>
  <c r="H15" i="43"/>
  <c r="AE12" i="45" s="1"/>
  <c r="X12" i="45" s="1"/>
  <c r="J15" i="43"/>
  <c r="M15" i="43" s="1"/>
  <c r="L15" i="43"/>
  <c r="G16" i="43"/>
  <c r="H16" i="43"/>
  <c r="K16" i="43" s="1"/>
  <c r="J16" i="43"/>
  <c r="M16" i="43" s="1"/>
  <c r="L16" i="43"/>
  <c r="G19" i="43"/>
  <c r="G20" i="43"/>
  <c r="G23" i="43"/>
  <c r="H23" i="43"/>
  <c r="K23" i="43" s="1"/>
  <c r="J23" i="43"/>
  <c r="AE20" i="46" s="1"/>
  <c r="F20" i="46" s="1"/>
  <c r="L23" i="43"/>
  <c r="G24" i="43"/>
  <c r="H24" i="43"/>
  <c r="K24" i="43" s="1"/>
  <c r="J24" i="43"/>
  <c r="M24" i="43" s="1"/>
  <c r="L24" i="43"/>
  <c r="G29" i="43"/>
  <c r="H29" i="43"/>
  <c r="AE26" i="45" s="1"/>
  <c r="T26" i="45" s="1"/>
  <c r="J29" i="43"/>
  <c r="M29" i="43" s="1"/>
  <c r="L29" i="43"/>
  <c r="G30" i="43"/>
  <c r="H30" i="43"/>
  <c r="AE27" i="45" s="1"/>
  <c r="L27" i="45" s="1"/>
  <c r="J30" i="43"/>
  <c r="M30" i="43" s="1"/>
  <c r="L30" i="43"/>
  <c r="G31" i="43"/>
  <c r="H31" i="43"/>
  <c r="AE28" i="45" s="1"/>
  <c r="J31" i="43"/>
  <c r="M31" i="43" s="1"/>
  <c r="L31" i="43"/>
  <c r="G32" i="43"/>
  <c r="H32" i="43"/>
  <c r="J32" i="43"/>
  <c r="M32" i="43" s="1"/>
  <c r="L32" i="43"/>
  <c r="G33" i="43"/>
  <c r="H33" i="43"/>
  <c r="AE30" i="45" s="1"/>
  <c r="J33" i="43"/>
  <c r="M33" i="43" s="1"/>
  <c r="L33" i="43"/>
  <c r="G34" i="43"/>
  <c r="H34" i="43"/>
  <c r="J34" i="43"/>
  <c r="M34" i="43" s="1"/>
  <c r="L34" i="43"/>
  <c r="G36" i="43"/>
  <c r="H36" i="43"/>
  <c r="K36" i="43" s="1"/>
  <c r="J36" i="43"/>
  <c r="M36" i="43" s="1"/>
  <c r="L36" i="43"/>
  <c r="G37" i="43"/>
  <c r="H37" i="43"/>
  <c r="AE34" i="45" s="1"/>
  <c r="L34" i="45" s="1"/>
  <c r="J37" i="43"/>
  <c r="M37" i="43" s="1"/>
  <c r="L37" i="43"/>
  <c r="G43" i="43"/>
  <c r="H43" i="43"/>
  <c r="AE38" i="45" s="1"/>
  <c r="N38" i="45" s="1"/>
  <c r="J43" i="43"/>
  <c r="M43" i="43" s="1"/>
  <c r="L43" i="43"/>
  <c r="G44" i="43"/>
  <c r="H44" i="43"/>
  <c r="K44" i="43" s="1"/>
  <c r="J44" i="43"/>
  <c r="AE39" i="46" s="1"/>
  <c r="L44" i="43"/>
  <c r="B52" i="43"/>
  <c r="I52" i="43"/>
  <c r="B55" i="43"/>
  <c r="E55" i="43"/>
  <c r="I55" i="43" s="1"/>
  <c r="G60" i="43"/>
  <c r="H60" i="43"/>
  <c r="K60" i="43" s="1"/>
  <c r="J60" i="43"/>
  <c r="M60" i="43" s="1"/>
  <c r="L60" i="43"/>
  <c r="E61" i="43"/>
  <c r="I61" i="43" s="1"/>
  <c r="G61" i="43"/>
  <c r="H61" i="43"/>
  <c r="K61" i="43" s="1"/>
  <c r="J61" i="43"/>
  <c r="M61" i="43" s="1"/>
  <c r="L61" i="43"/>
  <c r="G62" i="43"/>
  <c r="H62" i="43"/>
  <c r="K62" i="43" s="1"/>
  <c r="J62" i="43"/>
  <c r="M62" i="43" s="1"/>
  <c r="L62" i="43"/>
  <c r="F63" i="43"/>
  <c r="G63" i="43"/>
  <c r="H63" i="43"/>
  <c r="K63" i="43" s="1"/>
  <c r="J63" i="43"/>
  <c r="M63" i="43" s="1"/>
  <c r="L63" i="43"/>
  <c r="G66" i="43"/>
  <c r="H66" i="43"/>
  <c r="K66" i="43" s="1"/>
  <c r="J66" i="43"/>
  <c r="M66" i="43" s="1"/>
  <c r="L66" i="43"/>
  <c r="G67" i="43"/>
  <c r="H67" i="43"/>
  <c r="K67" i="43" s="1"/>
  <c r="J67" i="43"/>
  <c r="M67" i="43" s="1"/>
  <c r="L67" i="43"/>
  <c r="E68" i="43"/>
  <c r="I68" i="43" s="1"/>
  <c r="G68" i="43"/>
  <c r="H68" i="43"/>
  <c r="K68" i="43" s="1"/>
  <c r="J68" i="43"/>
  <c r="M68" i="43" s="1"/>
  <c r="L68" i="43"/>
  <c r="G70" i="43"/>
  <c r="H70" i="43"/>
  <c r="K70" i="43" s="1"/>
  <c r="J70" i="43"/>
  <c r="M70" i="43" s="1"/>
  <c r="L70" i="43"/>
  <c r="F81" i="43"/>
  <c r="F82" i="43"/>
  <c r="F83" i="43"/>
  <c r="A2" i="44"/>
  <c r="A4" i="44"/>
  <c r="I12" i="44"/>
  <c r="D13" i="44"/>
  <c r="G1" i="45"/>
  <c r="V1" i="45"/>
  <c r="G2" i="45"/>
  <c r="U2" i="45" s="1"/>
  <c r="A3" i="45"/>
  <c r="E23" i="45"/>
  <c r="G23" i="45"/>
  <c r="I23" i="45"/>
  <c r="K23" i="45"/>
  <c r="M23" i="45"/>
  <c r="O23" i="45"/>
  <c r="Q23" i="45"/>
  <c r="S23" i="45"/>
  <c r="U23" i="45"/>
  <c r="U64" i="45" s="1"/>
  <c r="W23" i="45"/>
  <c r="Y23" i="45"/>
  <c r="AA23" i="45"/>
  <c r="E35" i="45"/>
  <c r="G35" i="45"/>
  <c r="I35" i="45"/>
  <c r="K35" i="45"/>
  <c r="M35" i="45"/>
  <c r="O35" i="45"/>
  <c r="Q35" i="45"/>
  <c r="S35" i="45"/>
  <c r="U35" i="45"/>
  <c r="W35" i="45"/>
  <c r="Y35" i="45"/>
  <c r="AA35" i="45"/>
  <c r="E40" i="45"/>
  <c r="G40" i="45"/>
  <c r="I40" i="45"/>
  <c r="K40" i="45"/>
  <c r="M40" i="45"/>
  <c r="O40" i="45"/>
  <c r="Q40" i="45"/>
  <c r="S40" i="45"/>
  <c r="U40" i="45"/>
  <c r="W40" i="45"/>
  <c r="Y40" i="45"/>
  <c r="AA40" i="45"/>
  <c r="G1" i="46"/>
  <c r="H1" i="46"/>
  <c r="U1" i="46"/>
  <c r="V1" i="46"/>
  <c r="G2" i="46"/>
  <c r="H2" i="46"/>
  <c r="A3" i="46"/>
  <c r="AE13" i="46"/>
  <c r="AC13" i="46" s="1"/>
  <c r="AD13" i="46" s="1"/>
  <c r="AF13" i="46" s="1"/>
  <c r="E23" i="46"/>
  <c r="G23" i="46"/>
  <c r="I23" i="46"/>
  <c r="K23" i="46"/>
  <c r="M23" i="46"/>
  <c r="O23" i="46"/>
  <c r="O64" i="46" s="1"/>
  <c r="Q23" i="46"/>
  <c r="S23" i="46"/>
  <c r="U23" i="46"/>
  <c r="W23" i="46"/>
  <c r="Y23" i="46"/>
  <c r="AA23" i="46"/>
  <c r="E35" i="46"/>
  <c r="G35" i="46"/>
  <c r="I35" i="46"/>
  <c r="K35" i="46"/>
  <c r="M35" i="46"/>
  <c r="O35" i="46"/>
  <c r="Q35" i="46"/>
  <c r="S35" i="46"/>
  <c r="U35" i="46"/>
  <c r="W35" i="46"/>
  <c r="Y35" i="46"/>
  <c r="AA35" i="46"/>
  <c r="G40" i="46"/>
  <c r="I40" i="46"/>
  <c r="K40" i="46"/>
  <c r="M40" i="46"/>
  <c r="O40" i="46"/>
  <c r="Q40" i="46"/>
  <c r="S40" i="46"/>
  <c r="U40" i="46"/>
  <c r="W40" i="46"/>
  <c r="Y40" i="46"/>
  <c r="AA40" i="46"/>
  <c r="G17" i="17"/>
  <c r="F17" i="41"/>
  <c r="H66" i="17"/>
  <c r="C105" i="50"/>
  <c r="H63" i="17"/>
  <c r="H60" i="17"/>
  <c r="L118" i="17"/>
  <c r="I37" i="32"/>
  <c r="K34" i="32"/>
  <c r="M152" i="42"/>
  <c r="D89" i="51"/>
  <c r="C105" i="51"/>
  <c r="J34" i="2"/>
  <c r="F33" i="43"/>
  <c r="D105" i="50"/>
  <c r="I34" i="21"/>
  <c r="K13" i="2"/>
  <c r="H17" i="31"/>
  <c r="G118" i="30"/>
  <c r="G109" i="30"/>
  <c r="E109" i="17"/>
  <c r="H109" i="17"/>
  <c r="I109" i="30"/>
  <c r="E21" i="41"/>
  <c r="I21" i="41" s="1"/>
  <c r="I21" i="30"/>
  <c r="G16" i="32"/>
  <c r="E16" i="2"/>
  <c r="H16" i="2" s="1"/>
  <c r="H16" i="17"/>
  <c r="K47" i="14"/>
  <c r="P47" i="14" s="1"/>
  <c r="I20" i="14"/>
  <c r="M47" i="28"/>
  <c r="M47" i="39" s="1"/>
  <c r="L22" i="28"/>
  <c r="L22" i="14" s="1"/>
  <c r="S60" i="28"/>
  <c r="L44" i="2"/>
  <c r="AE12" i="38"/>
  <c r="AB12" i="38" s="1"/>
  <c r="J44" i="2"/>
  <c r="K13" i="41"/>
  <c r="H13" i="43"/>
  <c r="K13" i="43" s="1"/>
  <c r="I22" i="28"/>
  <c r="I22" i="14" s="1"/>
  <c r="F155" i="16"/>
  <c r="L109" i="17"/>
  <c r="I21" i="17"/>
  <c r="L21" i="17" s="1"/>
  <c r="J38" i="17"/>
  <c r="J33" i="2"/>
  <c r="K34" i="21"/>
  <c r="O36" i="14"/>
  <c r="S34" i="14"/>
  <c r="V60" i="14"/>
  <c r="N62" i="14"/>
  <c r="R49" i="14"/>
  <c r="V34" i="14"/>
  <c r="Q36" i="14"/>
  <c r="N73" i="14"/>
  <c r="S73" i="14" s="1"/>
  <c r="U75" i="14"/>
  <c r="V20" i="14"/>
  <c r="V65" i="14"/>
  <c r="R75" i="14"/>
  <c r="H21" i="21" s="1"/>
  <c r="S20" i="14"/>
  <c r="S65" i="14"/>
  <c r="C47" i="51"/>
  <c r="H54" i="43"/>
  <c r="O62" i="14"/>
  <c r="S62" i="14"/>
  <c r="S49" i="14"/>
  <c r="O49" i="14"/>
  <c r="O75" i="14"/>
  <c r="G21" i="21" s="1"/>
  <c r="R36" i="14"/>
  <c r="V36" i="14"/>
  <c r="J21" i="21"/>
  <c r="R22" i="14"/>
  <c r="AE38" i="46"/>
  <c r="F152" i="42"/>
  <c r="F155" i="42" s="1"/>
  <c r="L14" i="2"/>
  <c r="J138" i="16"/>
  <c r="AE20" i="38"/>
  <c r="Z20" i="38" s="1"/>
  <c r="L38" i="16"/>
  <c r="E25" i="31"/>
  <c r="AE33" i="38"/>
  <c r="R33" i="38" s="1"/>
  <c r="AE38" i="38"/>
  <c r="F38" i="38" s="1"/>
  <c r="L29" i="2"/>
  <c r="AE26" i="38"/>
  <c r="AC26" i="38" s="1"/>
  <c r="AD26" i="38" s="1"/>
  <c r="I21" i="16"/>
  <c r="I21" i="2" s="1"/>
  <c r="I17" i="16"/>
  <c r="L17" i="16" s="1"/>
  <c r="L114" i="16"/>
  <c r="J114" i="16"/>
  <c r="F25" i="31"/>
  <c r="E45" i="42"/>
  <c r="I45" i="42" s="1"/>
  <c r="E45" i="16"/>
  <c r="H36" i="16"/>
  <c r="E116" i="16"/>
  <c r="AE13" i="35"/>
  <c r="J13" i="35" s="1"/>
  <c r="E21" i="31"/>
  <c r="K33" i="32"/>
  <c r="I44" i="42"/>
  <c r="H121" i="16"/>
  <c r="K138" i="31"/>
  <c r="AE39" i="35"/>
  <c r="AC39" i="35" s="1"/>
  <c r="AD39" i="35" s="1"/>
  <c r="K15" i="32"/>
  <c r="G25" i="31"/>
  <c r="E89" i="51"/>
  <c r="U75" i="39"/>
  <c r="J21" i="40"/>
  <c r="V20" i="39"/>
  <c r="V65" i="39"/>
  <c r="S65" i="39"/>
  <c r="Q73" i="39"/>
  <c r="N22" i="39"/>
  <c r="H74" i="43"/>
  <c r="C75" i="51" s="1"/>
  <c r="S22" i="39"/>
  <c r="O22" i="39"/>
  <c r="R75" i="39"/>
  <c r="R76" i="39"/>
  <c r="H21" i="40"/>
  <c r="H23" i="40"/>
  <c r="K34" i="40"/>
  <c r="I21" i="21"/>
  <c r="K22" i="40"/>
  <c r="K21" i="21"/>
  <c r="AE10" i="38"/>
  <c r="AC10" i="38" s="1"/>
  <c r="AD10" i="38" s="1"/>
  <c r="L13" i="2"/>
  <c r="H82" i="21"/>
  <c r="D124" i="50" s="1"/>
  <c r="C70" i="50"/>
  <c r="J13" i="17"/>
  <c r="D70" i="50"/>
  <c r="L13" i="17"/>
  <c r="G12" i="36"/>
  <c r="J6" i="21"/>
  <c r="I12" i="15" s="1"/>
  <c r="E64" i="51"/>
  <c r="M155" i="42"/>
  <c r="F45" i="42"/>
  <c r="AE11" i="46"/>
  <c r="R11" i="46" s="1"/>
  <c r="AE31" i="46"/>
  <c r="V31" i="46" s="1"/>
  <c r="J25" i="42"/>
  <c r="M25" i="42" s="1"/>
  <c r="E114" i="42"/>
  <c r="R27" i="45"/>
  <c r="AB27" i="45"/>
  <c r="X27" i="45"/>
  <c r="P27" i="45"/>
  <c r="AB26" i="45"/>
  <c r="K14" i="43"/>
  <c r="AE21" i="45"/>
  <c r="J21" i="45" s="1"/>
  <c r="F21" i="42"/>
  <c r="J21" i="16"/>
  <c r="L29" i="38"/>
  <c r="F26" i="16"/>
  <c r="F40" i="16" s="1"/>
  <c r="F47" i="16" s="1"/>
  <c r="F21" i="2"/>
  <c r="AE39" i="38"/>
  <c r="R39" i="38" s="1"/>
  <c r="AE27" i="37"/>
  <c r="AB27" i="37" s="1"/>
  <c r="L30" i="2"/>
  <c r="L24" i="2"/>
  <c r="L21" i="16"/>
  <c r="AE12" i="37"/>
  <c r="X12" i="37" s="1"/>
  <c r="K21" i="31"/>
  <c r="F21" i="31"/>
  <c r="I21" i="31" s="1"/>
  <c r="H25" i="31"/>
  <c r="K25" i="31" s="1"/>
  <c r="K21" i="40"/>
  <c r="J23" i="40"/>
  <c r="J26" i="40" s="1"/>
  <c r="H26" i="40"/>
  <c r="D6" i="51"/>
  <c r="J117" i="42"/>
  <c r="J20" i="42" s="1"/>
  <c r="M20" i="42" s="1"/>
  <c r="J74" i="43"/>
  <c r="D75" i="51" s="1"/>
  <c r="I21" i="40"/>
  <c r="G74" i="43"/>
  <c r="U76" i="39"/>
  <c r="C6" i="51"/>
  <c r="M20" i="28"/>
  <c r="M20" i="14" s="1"/>
  <c r="F21" i="32"/>
  <c r="E21" i="42"/>
  <c r="E21" i="43" s="1"/>
  <c r="I21" i="43" s="1"/>
  <c r="E21" i="16"/>
  <c r="H25" i="32"/>
  <c r="K23" i="40"/>
  <c r="P2" i="10"/>
  <c r="M2" i="10"/>
  <c r="A5" i="9" s="1"/>
  <c r="R2" i="10"/>
  <c r="Q2" i="10"/>
  <c r="O2" i="10"/>
  <c r="G10" i="43"/>
  <c r="I12" i="36"/>
  <c r="A2" i="36"/>
  <c r="D4" i="32"/>
  <c r="D4" i="30"/>
  <c r="D4" i="31"/>
  <c r="K109" i="30" l="1"/>
  <c r="E45" i="2"/>
  <c r="H45" i="2" s="1"/>
  <c r="I138" i="31"/>
  <c r="G138" i="31"/>
  <c r="G21" i="31"/>
  <c r="K114" i="31"/>
  <c r="I114" i="31"/>
  <c r="J45" i="32"/>
  <c r="F45" i="32"/>
  <c r="G45" i="31"/>
  <c r="H45" i="16"/>
  <c r="E37" i="2"/>
  <c r="H37" i="2" s="1"/>
  <c r="E36" i="2"/>
  <c r="H36" i="2" s="1"/>
  <c r="E38" i="42"/>
  <c r="I38" i="42" s="1"/>
  <c r="B85" i="49"/>
  <c r="B117" i="49"/>
  <c r="K118" i="30"/>
  <c r="E25" i="32"/>
  <c r="G25" i="30"/>
  <c r="I70" i="32"/>
  <c r="G70" i="32"/>
  <c r="B48" i="50"/>
  <c r="E55" i="32"/>
  <c r="E44" i="2"/>
  <c r="H44" i="2" s="1"/>
  <c r="AE38" i="35"/>
  <c r="F38" i="35" s="1"/>
  <c r="H45" i="32"/>
  <c r="G43" i="32"/>
  <c r="E45" i="32"/>
  <c r="G45" i="32" s="1"/>
  <c r="AB31" i="35"/>
  <c r="P31" i="35"/>
  <c r="N31" i="35"/>
  <c r="R31" i="35"/>
  <c r="J31" i="35"/>
  <c r="X31" i="35"/>
  <c r="F31" i="35"/>
  <c r="Z31" i="35"/>
  <c r="AC31" i="35"/>
  <c r="AD31" i="35" s="1"/>
  <c r="AF31" i="35" s="1"/>
  <c r="T31" i="35"/>
  <c r="H31" i="35"/>
  <c r="L31" i="35"/>
  <c r="V31" i="35"/>
  <c r="K37" i="32"/>
  <c r="AE34" i="35"/>
  <c r="Z34" i="34"/>
  <c r="P34" i="34"/>
  <c r="R34" i="34"/>
  <c r="F34" i="34"/>
  <c r="N34" i="34"/>
  <c r="AC34" i="34"/>
  <c r="AD34" i="34" s="1"/>
  <c r="AF34" i="34" s="1"/>
  <c r="V34" i="34"/>
  <c r="L34" i="34"/>
  <c r="T34" i="34"/>
  <c r="H34" i="34"/>
  <c r="J34" i="34"/>
  <c r="X34" i="34"/>
  <c r="AB34" i="34"/>
  <c r="T33" i="35"/>
  <c r="H33" i="35"/>
  <c r="F33" i="35"/>
  <c r="N33" i="35"/>
  <c r="X33" i="35"/>
  <c r="Z33" i="35"/>
  <c r="V33" i="35"/>
  <c r="P33" i="35"/>
  <c r="J33" i="35"/>
  <c r="R33" i="35"/>
  <c r="AC33" i="35"/>
  <c r="AD33" i="35" s="1"/>
  <c r="AF33" i="35" s="1"/>
  <c r="L33" i="35"/>
  <c r="AB33" i="35"/>
  <c r="I36" i="32"/>
  <c r="AE33" i="34"/>
  <c r="J31" i="34"/>
  <c r="X31" i="34"/>
  <c r="T31" i="34"/>
  <c r="P31" i="34"/>
  <c r="V31" i="34"/>
  <c r="F31" i="34"/>
  <c r="R31" i="34"/>
  <c r="Z31" i="34"/>
  <c r="AC31" i="34"/>
  <c r="AD31" i="34" s="1"/>
  <c r="AF31" i="34" s="1"/>
  <c r="AB31" i="34"/>
  <c r="N31" i="34"/>
  <c r="H31" i="34"/>
  <c r="L31" i="34"/>
  <c r="Q62" i="28"/>
  <c r="R62" i="28" s="1"/>
  <c r="S61" i="28"/>
  <c r="P61" i="28"/>
  <c r="P60" i="28"/>
  <c r="N62" i="28"/>
  <c r="L61" i="28"/>
  <c r="M56" i="39"/>
  <c r="I61" i="14"/>
  <c r="J61" i="14"/>
  <c r="M61" i="28"/>
  <c r="Q49" i="28"/>
  <c r="R49" i="28" s="1"/>
  <c r="S48" i="28"/>
  <c r="S47" i="28"/>
  <c r="P48" i="28"/>
  <c r="O48" i="28"/>
  <c r="P47" i="28"/>
  <c r="O49" i="28"/>
  <c r="K71" i="14"/>
  <c r="P71" i="14" s="1"/>
  <c r="K48" i="14"/>
  <c r="P48" i="14" s="1"/>
  <c r="K68" i="39"/>
  <c r="P68" i="39" s="1"/>
  <c r="K48" i="39"/>
  <c r="P48" i="39" s="1"/>
  <c r="K49" i="28"/>
  <c r="P49" i="28" s="1"/>
  <c r="L48" i="14"/>
  <c r="M66" i="28"/>
  <c r="M66" i="39" s="1"/>
  <c r="K49" i="14"/>
  <c r="P49" i="14" s="1"/>
  <c r="K49" i="39"/>
  <c r="P49" i="39" s="1"/>
  <c r="L49" i="28"/>
  <c r="I48" i="39"/>
  <c r="M48" i="28"/>
  <c r="M47" i="14"/>
  <c r="I49" i="28"/>
  <c r="J49" i="28" s="1"/>
  <c r="M23" i="39"/>
  <c r="J35" i="14"/>
  <c r="J35" i="39"/>
  <c r="I36" i="14"/>
  <c r="M36" i="28"/>
  <c r="M36" i="39" s="1"/>
  <c r="I36" i="39"/>
  <c r="J36" i="28"/>
  <c r="I68" i="14"/>
  <c r="I65" i="14"/>
  <c r="I65" i="39"/>
  <c r="I34" i="14"/>
  <c r="I35" i="39"/>
  <c r="I68" i="39"/>
  <c r="Q74" i="28"/>
  <c r="R74" i="28" s="1"/>
  <c r="J22" i="29" s="1"/>
  <c r="M30" i="14"/>
  <c r="Q73" i="28"/>
  <c r="M35" i="28"/>
  <c r="I35" i="14"/>
  <c r="M72" i="28"/>
  <c r="I21" i="14"/>
  <c r="M18" i="14"/>
  <c r="M71" i="14"/>
  <c r="M68" i="39"/>
  <c r="M68" i="14"/>
  <c r="J21" i="28"/>
  <c r="M22" i="28"/>
  <c r="M22" i="14" s="1"/>
  <c r="M67" i="28"/>
  <c r="I22" i="39"/>
  <c r="J22" i="28"/>
  <c r="J22" i="14" s="1"/>
  <c r="I74" i="28"/>
  <c r="E29" i="2"/>
  <c r="H29" i="2" s="1"/>
  <c r="I33" i="32"/>
  <c r="K16" i="32"/>
  <c r="H13" i="32"/>
  <c r="AE10" i="35" s="1"/>
  <c r="AB10" i="35" s="1"/>
  <c r="I16" i="32"/>
  <c r="K34" i="29"/>
  <c r="M36" i="14"/>
  <c r="M27" i="14"/>
  <c r="S65" i="28"/>
  <c r="P65" i="28"/>
  <c r="M21" i="14"/>
  <c r="L21" i="14"/>
  <c r="M20" i="39"/>
  <c r="I1" i="14"/>
  <c r="F1" i="38"/>
  <c r="T1" i="38" s="1"/>
  <c r="A3" i="15"/>
  <c r="A1" i="17"/>
  <c r="E117" i="49"/>
  <c r="K38" i="31"/>
  <c r="E31" i="43"/>
  <c r="I31" i="43" s="1"/>
  <c r="H29" i="16"/>
  <c r="E89" i="49"/>
  <c r="R21" i="35"/>
  <c r="D89" i="49"/>
  <c r="K24" i="32"/>
  <c r="E24" i="43"/>
  <c r="I24" i="43" s="1"/>
  <c r="I24" i="42"/>
  <c r="J38" i="32"/>
  <c r="N30" i="35"/>
  <c r="Z30" i="35"/>
  <c r="X30" i="35"/>
  <c r="AC30" i="35"/>
  <c r="AD30" i="35" s="1"/>
  <c r="AF30" i="35" s="1"/>
  <c r="R30" i="35"/>
  <c r="T30" i="35"/>
  <c r="V30" i="35"/>
  <c r="H30" i="35"/>
  <c r="L30" i="35"/>
  <c r="F30" i="35"/>
  <c r="J30" i="35"/>
  <c r="AB30" i="35"/>
  <c r="P30" i="35"/>
  <c r="T29" i="35"/>
  <c r="AB29" i="35"/>
  <c r="J29" i="35"/>
  <c r="H29" i="35"/>
  <c r="Z29" i="35"/>
  <c r="V29" i="35"/>
  <c r="N29" i="35"/>
  <c r="L29" i="35"/>
  <c r="P29" i="35"/>
  <c r="F29" i="35"/>
  <c r="X29" i="35"/>
  <c r="R29" i="35"/>
  <c r="AC29" i="35"/>
  <c r="AD29" i="35" s="1"/>
  <c r="AF29" i="35" s="1"/>
  <c r="K31" i="32"/>
  <c r="AE28" i="35"/>
  <c r="K30" i="32"/>
  <c r="AE27" i="35"/>
  <c r="H38" i="32"/>
  <c r="G33" i="32"/>
  <c r="G32" i="32"/>
  <c r="I32" i="32"/>
  <c r="AE29" i="34"/>
  <c r="I31" i="32"/>
  <c r="C105" i="49"/>
  <c r="G31" i="32"/>
  <c r="J28" i="34"/>
  <c r="P28" i="34"/>
  <c r="T28" i="34"/>
  <c r="L28" i="34"/>
  <c r="AC28" i="34"/>
  <c r="AD28" i="34" s="1"/>
  <c r="AF28" i="34" s="1"/>
  <c r="X28" i="34"/>
  <c r="Z28" i="34"/>
  <c r="AB28" i="34"/>
  <c r="F28" i="34"/>
  <c r="R28" i="34"/>
  <c r="N28" i="34"/>
  <c r="H28" i="34"/>
  <c r="V28" i="34"/>
  <c r="T27" i="34"/>
  <c r="Z27" i="34"/>
  <c r="AB27" i="34"/>
  <c r="N27" i="34"/>
  <c r="V27" i="34"/>
  <c r="L27" i="34"/>
  <c r="AC27" i="34"/>
  <c r="AD27" i="34" s="1"/>
  <c r="AF27" i="34" s="1"/>
  <c r="P27" i="34"/>
  <c r="H27" i="34"/>
  <c r="X27" i="34"/>
  <c r="F27" i="34"/>
  <c r="R27" i="34"/>
  <c r="J27" i="34"/>
  <c r="G30" i="32"/>
  <c r="AE26" i="34"/>
  <c r="F26" i="34" s="1"/>
  <c r="F38" i="32"/>
  <c r="G29" i="32"/>
  <c r="E38" i="32"/>
  <c r="K23" i="32"/>
  <c r="G23" i="32"/>
  <c r="K14" i="32"/>
  <c r="T11" i="34"/>
  <c r="AB11" i="34"/>
  <c r="G14" i="32"/>
  <c r="K13" i="30"/>
  <c r="E13" i="17"/>
  <c r="I13" i="30"/>
  <c r="F13" i="32"/>
  <c r="AE10" i="34" s="1"/>
  <c r="H10" i="34" s="1"/>
  <c r="G13" i="30"/>
  <c r="C70" i="49"/>
  <c r="G13" i="32"/>
  <c r="I34" i="29"/>
  <c r="P35" i="28"/>
  <c r="P34" i="28"/>
  <c r="N36" i="28"/>
  <c r="L35" i="39"/>
  <c r="L35" i="14"/>
  <c r="S66" i="28"/>
  <c r="S20" i="28"/>
  <c r="N22" i="28"/>
  <c r="S21" i="28"/>
  <c r="P66" i="28"/>
  <c r="P21" i="28"/>
  <c r="P20" i="28"/>
  <c r="K21" i="39"/>
  <c r="P21" i="39" s="1"/>
  <c r="K66" i="14"/>
  <c r="P66" i="14" s="1"/>
  <c r="K22" i="39"/>
  <c r="P22" i="39" s="1"/>
  <c r="M12" i="39"/>
  <c r="K22" i="14"/>
  <c r="P22" i="14" s="1"/>
  <c r="L22" i="39"/>
  <c r="A2" i="41"/>
  <c r="A2" i="2"/>
  <c r="A2" i="21"/>
  <c r="A1" i="40"/>
  <c r="T1" i="37"/>
  <c r="F1" i="37"/>
  <c r="A3" i="44"/>
  <c r="F1" i="45"/>
  <c r="U1" i="45" s="1"/>
  <c r="A1" i="21"/>
  <c r="A1" i="2"/>
  <c r="A1" i="16"/>
  <c r="A1" i="42"/>
  <c r="A4" i="9"/>
  <c r="F1" i="46"/>
  <c r="T1" i="46" s="1"/>
  <c r="I1" i="39"/>
  <c r="A1" i="41"/>
  <c r="AE50" i="35"/>
  <c r="AH50" i="35"/>
  <c r="AG50" i="35"/>
  <c r="AG49" i="35"/>
  <c r="AH49" i="35"/>
  <c r="AE49" i="35"/>
  <c r="AH46" i="35"/>
  <c r="AG46" i="35"/>
  <c r="AE46" i="35"/>
  <c r="F50" i="35"/>
  <c r="AB50" i="35"/>
  <c r="H50" i="35"/>
  <c r="Z50" i="35"/>
  <c r="X50" i="35"/>
  <c r="L50" i="35"/>
  <c r="V50" i="35"/>
  <c r="T50" i="35"/>
  <c r="R50" i="35"/>
  <c r="P50" i="35"/>
  <c r="N50" i="35"/>
  <c r="J50" i="35"/>
  <c r="F49" i="35"/>
  <c r="AB49" i="35"/>
  <c r="Z49" i="35"/>
  <c r="X49" i="35"/>
  <c r="V49" i="35"/>
  <c r="P49" i="35"/>
  <c r="N49" i="35"/>
  <c r="H49" i="35"/>
  <c r="T49" i="35"/>
  <c r="R49" i="35"/>
  <c r="L49" i="35"/>
  <c r="J49" i="35"/>
  <c r="F46" i="35"/>
  <c r="AB46" i="35"/>
  <c r="Z46" i="35"/>
  <c r="H46" i="35"/>
  <c r="X46" i="35"/>
  <c r="P46" i="35"/>
  <c r="N46" i="35"/>
  <c r="V46" i="35"/>
  <c r="T46" i="35"/>
  <c r="R46" i="35"/>
  <c r="J46" i="35"/>
  <c r="L46" i="35"/>
  <c r="AD62" i="34"/>
  <c r="S64" i="45"/>
  <c r="Q64" i="45"/>
  <c r="O64" i="45"/>
  <c r="M64" i="45"/>
  <c r="K64" i="45"/>
  <c r="I64" i="45"/>
  <c r="G64" i="45"/>
  <c r="E64" i="45"/>
  <c r="E66" i="45" s="1"/>
  <c r="C143" i="51" s="1"/>
  <c r="AA64" i="45"/>
  <c r="Y64" i="45"/>
  <c r="W64" i="45"/>
  <c r="P13" i="46"/>
  <c r="X13" i="46"/>
  <c r="J13" i="46"/>
  <c r="T30" i="34"/>
  <c r="F30" i="34"/>
  <c r="J30" i="34"/>
  <c r="H30" i="34"/>
  <c r="AC30" i="34"/>
  <c r="AD30" i="34" s="1"/>
  <c r="AF30" i="34" s="1"/>
  <c r="P30" i="34"/>
  <c r="R30" i="34"/>
  <c r="Z30" i="34"/>
  <c r="L30" i="34"/>
  <c r="V30" i="34"/>
  <c r="X30" i="34"/>
  <c r="N30" i="34"/>
  <c r="AB30" i="34"/>
  <c r="H31" i="38"/>
  <c r="X20" i="38"/>
  <c r="M64" i="35"/>
  <c r="AG49" i="34"/>
  <c r="AG45" i="34"/>
  <c r="H38" i="17"/>
  <c r="E117" i="50"/>
  <c r="AB39" i="46"/>
  <c r="AC39" i="46"/>
  <c r="AD39" i="46" s="1"/>
  <c r="AF39" i="46" s="1"/>
  <c r="H39" i="46"/>
  <c r="J39" i="46"/>
  <c r="N39" i="46"/>
  <c r="F39" i="46"/>
  <c r="L39" i="46"/>
  <c r="X39" i="46"/>
  <c r="Z39" i="46"/>
  <c r="P39" i="46"/>
  <c r="R39" i="46"/>
  <c r="N21" i="45"/>
  <c r="L26" i="45"/>
  <c r="AE13" i="45"/>
  <c r="V13" i="45" s="1"/>
  <c r="E147" i="42"/>
  <c r="G26" i="42"/>
  <c r="F38" i="45"/>
  <c r="M44" i="43"/>
  <c r="AE33" i="46"/>
  <c r="F33" i="46" s="1"/>
  <c r="M117" i="42"/>
  <c r="E33" i="43"/>
  <c r="I33" i="43" s="1"/>
  <c r="F38" i="42"/>
  <c r="J21" i="42"/>
  <c r="M21" i="42" s="1"/>
  <c r="AE29" i="46"/>
  <c r="N29" i="46" s="1"/>
  <c r="T13" i="46"/>
  <c r="E36" i="43"/>
  <c r="I36" i="43" s="1"/>
  <c r="AB38" i="45"/>
  <c r="X31" i="46"/>
  <c r="T38" i="45"/>
  <c r="P38" i="45"/>
  <c r="H38" i="45"/>
  <c r="AC38" i="45"/>
  <c r="AD38" i="45" s="1"/>
  <c r="Z38" i="45"/>
  <c r="L38" i="45"/>
  <c r="K31" i="43"/>
  <c r="X38" i="45"/>
  <c r="K43" i="43"/>
  <c r="D105" i="51"/>
  <c r="AE48" i="34"/>
  <c r="AG48" i="34"/>
  <c r="K64" i="35"/>
  <c r="N13" i="35"/>
  <c r="Z13" i="35"/>
  <c r="L39" i="35"/>
  <c r="P13" i="35"/>
  <c r="AC13" i="35"/>
  <c r="AD13" i="35" s="1"/>
  <c r="AF13" i="35" s="1"/>
  <c r="X13" i="35"/>
  <c r="L13" i="35"/>
  <c r="U64" i="35"/>
  <c r="H13" i="35"/>
  <c r="F13" i="35"/>
  <c r="AB13" i="35"/>
  <c r="V13" i="35"/>
  <c r="T13" i="35"/>
  <c r="V21" i="35"/>
  <c r="N21" i="35"/>
  <c r="J21" i="35"/>
  <c r="I64" i="35"/>
  <c r="F21" i="35"/>
  <c r="AB21" i="35"/>
  <c r="L21" i="35"/>
  <c r="T21" i="35"/>
  <c r="H21" i="35"/>
  <c r="G64" i="35"/>
  <c r="X21" i="35"/>
  <c r="AC21" i="35"/>
  <c r="AD21" i="35" s="1"/>
  <c r="AF21" i="35" s="1"/>
  <c r="Z21" i="35"/>
  <c r="E64" i="35"/>
  <c r="Z20" i="34"/>
  <c r="AB20" i="34"/>
  <c r="AE45" i="34"/>
  <c r="AA64" i="34"/>
  <c r="M38" i="42"/>
  <c r="K38" i="42"/>
  <c r="AG50" i="34"/>
  <c r="I64" i="34"/>
  <c r="E64" i="34"/>
  <c r="E66" i="34" s="1"/>
  <c r="AG46" i="34"/>
  <c r="V11" i="34"/>
  <c r="Y64" i="34"/>
  <c r="D82" i="49"/>
  <c r="G38" i="30"/>
  <c r="I38" i="30"/>
  <c r="E38" i="41"/>
  <c r="I38" i="41" s="1"/>
  <c r="C82" i="49"/>
  <c r="B45" i="49"/>
  <c r="J38" i="16"/>
  <c r="C85" i="50"/>
  <c r="C117" i="50"/>
  <c r="L38" i="17"/>
  <c r="E105" i="50"/>
  <c r="K64" i="46"/>
  <c r="I64" i="46"/>
  <c r="G64" i="46"/>
  <c r="E64" i="46"/>
  <c r="W64" i="46"/>
  <c r="T2" i="46"/>
  <c r="Q64" i="46"/>
  <c r="M64" i="46"/>
  <c r="B64" i="49"/>
  <c r="AC20" i="34"/>
  <c r="AD20" i="34" s="1"/>
  <c r="AF20" i="34" s="1"/>
  <c r="L11" i="34"/>
  <c r="AE11" i="35"/>
  <c r="X20" i="34"/>
  <c r="R11" i="34"/>
  <c r="R20" i="34"/>
  <c r="F11" i="34"/>
  <c r="P20" i="34"/>
  <c r="I23" i="32"/>
  <c r="F20" i="34"/>
  <c r="L20" i="34"/>
  <c r="N20" i="34"/>
  <c r="K45" i="32"/>
  <c r="Z38" i="35"/>
  <c r="V20" i="34"/>
  <c r="J20" i="34"/>
  <c r="H20" i="34"/>
  <c r="I30" i="32"/>
  <c r="K43" i="32"/>
  <c r="F21" i="34"/>
  <c r="V21" i="34"/>
  <c r="H21" i="34"/>
  <c r="AB21" i="34"/>
  <c r="AC21" i="34"/>
  <c r="AD21" i="34" s="1"/>
  <c r="AF21" i="34" s="1"/>
  <c r="J21" i="34"/>
  <c r="X21" i="34"/>
  <c r="Z21" i="34"/>
  <c r="P21" i="34"/>
  <c r="T21" i="34"/>
  <c r="R21" i="34"/>
  <c r="L21" i="34"/>
  <c r="N21" i="34"/>
  <c r="Z12" i="35"/>
  <c r="AB12" i="35"/>
  <c r="F12" i="35"/>
  <c r="AB39" i="35"/>
  <c r="F155" i="31"/>
  <c r="C92" i="49" s="1"/>
  <c r="K29" i="32"/>
  <c r="I29" i="32"/>
  <c r="I152" i="31"/>
  <c r="I24" i="32"/>
  <c r="E147" i="16"/>
  <c r="H147" i="16" s="1"/>
  <c r="E43" i="43"/>
  <c r="I43" i="43" s="1"/>
  <c r="K152" i="31"/>
  <c r="B64" i="50"/>
  <c r="F17" i="31"/>
  <c r="F17" i="32" s="1"/>
  <c r="E30" i="2"/>
  <c r="H30" i="2" s="1"/>
  <c r="P39" i="35"/>
  <c r="I15" i="32"/>
  <c r="K36" i="32"/>
  <c r="J25" i="32"/>
  <c r="K25" i="32" s="1"/>
  <c r="I30" i="42"/>
  <c r="AE20" i="35"/>
  <c r="J20" i="35" s="1"/>
  <c r="B89" i="49"/>
  <c r="G152" i="31"/>
  <c r="E155" i="31"/>
  <c r="AE26" i="35"/>
  <c r="P26" i="35" s="1"/>
  <c r="T10" i="35"/>
  <c r="L10" i="35"/>
  <c r="R10" i="35"/>
  <c r="H13" i="34"/>
  <c r="X13" i="34"/>
  <c r="F13" i="34"/>
  <c r="V13" i="34"/>
  <c r="J13" i="34"/>
  <c r="L13" i="34"/>
  <c r="P13" i="34"/>
  <c r="AC13" i="34"/>
  <c r="AD13" i="34" s="1"/>
  <c r="AF13" i="34" s="1"/>
  <c r="T13" i="34"/>
  <c r="N13" i="34"/>
  <c r="AB13" i="34"/>
  <c r="E25" i="41"/>
  <c r="I25" i="41" s="1"/>
  <c r="I25" i="30"/>
  <c r="E25" i="17"/>
  <c r="H25" i="17" s="1"/>
  <c r="F12" i="34"/>
  <c r="V12" i="34"/>
  <c r="Z12" i="34"/>
  <c r="AB12" i="34"/>
  <c r="P12" i="34"/>
  <c r="T12" i="34"/>
  <c r="R12" i="34"/>
  <c r="H12" i="34"/>
  <c r="AC12" i="34"/>
  <c r="AD12" i="34" s="1"/>
  <c r="AF12" i="34" s="1"/>
  <c r="N12" i="34"/>
  <c r="X12" i="34"/>
  <c r="J12" i="34"/>
  <c r="L12" i="34"/>
  <c r="G21" i="30"/>
  <c r="E21" i="32"/>
  <c r="G21" i="32" s="1"/>
  <c r="K21" i="30"/>
  <c r="H21" i="32"/>
  <c r="E23" i="43"/>
  <c r="I23" i="43" s="1"/>
  <c r="E32" i="43"/>
  <c r="I32" i="43" s="1"/>
  <c r="I118" i="30"/>
  <c r="AC12" i="35"/>
  <c r="AD12" i="35" s="1"/>
  <c r="AF12" i="35" s="1"/>
  <c r="V12" i="35"/>
  <c r="E34" i="2"/>
  <c r="H34" i="2" s="1"/>
  <c r="H30" i="17"/>
  <c r="E62" i="2"/>
  <c r="H62" i="2" s="1"/>
  <c r="H61" i="17"/>
  <c r="H12" i="35"/>
  <c r="B48" i="49"/>
  <c r="R39" i="35"/>
  <c r="L12" i="35"/>
  <c r="I34" i="32"/>
  <c r="F39" i="35"/>
  <c r="P12" i="35"/>
  <c r="X12" i="35"/>
  <c r="H82" i="29"/>
  <c r="Z39" i="35"/>
  <c r="N12" i="35"/>
  <c r="I13" i="41"/>
  <c r="J21" i="32"/>
  <c r="H39" i="35"/>
  <c r="J12" i="35"/>
  <c r="E68" i="2"/>
  <c r="H68" i="2" s="1"/>
  <c r="I15" i="41"/>
  <c r="X39" i="35"/>
  <c r="R12" i="35"/>
  <c r="AE22" i="35"/>
  <c r="AB22" i="35" s="1"/>
  <c r="N39" i="35"/>
  <c r="T12" i="35"/>
  <c r="E37" i="43"/>
  <c r="I37" i="43" s="1"/>
  <c r="G85" i="30"/>
  <c r="E26" i="30"/>
  <c r="B81" i="50" s="1"/>
  <c r="D85" i="51"/>
  <c r="G40" i="42"/>
  <c r="G47" i="42" s="1"/>
  <c r="Z20" i="46"/>
  <c r="Z27" i="45"/>
  <c r="J20" i="46"/>
  <c r="F27" i="45"/>
  <c r="K33" i="43"/>
  <c r="AB13" i="46"/>
  <c r="L13" i="46"/>
  <c r="K30" i="43"/>
  <c r="AC31" i="46"/>
  <c r="AD31" i="46" s="1"/>
  <c r="AF31" i="46" s="1"/>
  <c r="V20" i="46"/>
  <c r="J27" i="45"/>
  <c r="N13" i="46"/>
  <c r="M23" i="43"/>
  <c r="J31" i="46"/>
  <c r="AE10" i="45"/>
  <c r="X10" i="45" s="1"/>
  <c r="H20" i="46"/>
  <c r="T27" i="45"/>
  <c r="R13" i="46"/>
  <c r="F12" i="45"/>
  <c r="Z13" i="46"/>
  <c r="AB31" i="46"/>
  <c r="AB20" i="46"/>
  <c r="T31" i="46"/>
  <c r="K15" i="43"/>
  <c r="H27" i="45"/>
  <c r="F13" i="46"/>
  <c r="Z31" i="46"/>
  <c r="L20" i="46"/>
  <c r="N20" i="46"/>
  <c r="V27" i="45"/>
  <c r="AE27" i="46"/>
  <c r="P27" i="46" s="1"/>
  <c r="R20" i="46"/>
  <c r="P31" i="46"/>
  <c r="N27" i="45"/>
  <c r="AE30" i="46"/>
  <c r="AC27" i="45"/>
  <c r="AD27" i="45" s="1"/>
  <c r="AF27" i="45" s="1"/>
  <c r="V13" i="46"/>
  <c r="H13" i="46"/>
  <c r="Z28" i="45"/>
  <c r="J28" i="45"/>
  <c r="AC28" i="45"/>
  <c r="AD28" i="45" s="1"/>
  <c r="AF28" i="45" s="1"/>
  <c r="L28" i="45"/>
  <c r="J26" i="42"/>
  <c r="M17" i="42"/>
  <c r="J20" i="43"/>
  <c r="AE17" i="46" s="1"/>
  <c r="E117" i="51"/>
  <c r="H25" i="42"/>
  <c r="G45" i="43"/>
  <c r="M114" i="42"/>
  <c r="E155" i="42"/>
  <c r="I155" i="42" s="1"/>
  <c r="H17" i="42"/>
  <c r="K17" i="42" s="1"/>
  <c r="F147" i="42"/>
  <c r="G21" i="43"/>
  <c r="AE33" i="45"/>
  <c r="Z33" i="45" s="1"/>
  <c r="I21" i="42"/>
  <c r="H45" i="43"/>
  <c r="K45" i="43" s="1"/>
  <c r="F138" i="42"/>
  <c r="L25" i="43"/>
  <c r="E44" i="43"/>
  <c r="I44" i="43" s="1"/>
  <c r="F114" i="42"/>
  <c r="D117" i="51"/>
  <c r="AE39" i="45"/>
  <c r="N39" i="45" s="1"/>
  <c r="T39" i="46"/>
  <c r="C117" i="51"/>
  <c r="AE20" i="45"/>
  <c r="L20" i="45" s="1"/>
  <c r="H21" i="42"/>
  <c r="K21" i="42" s="1"/>
  <c r="AB11" i="45"/>
  <c r="L11" i="45"/>
  <c r="V11" i="45"/>
  <c r="T11" i="45"/>
  <c r="AC11" i="45"/>
  <c r="AD11" i="45" s="1"/>
  <c r="AF11" i="45" s="1"/>
  <c r="F11" i="45"/>
  <c r="H11" i="45"/>
  <c r="L30" i="45"/>
  <c r="F30" i="45"/>
  <c r="Z30" i="45"/>
  <c r="AC30" i="45"/>
  <c r="AD30" i="45" s="1"/>
  <c r="AF30" i="45" s="1"/>
  <c r="R30" i="45"/>
  <c r="AB30" i="45"/>
  <c r="J30" i="45"/>
  <c r="N30" i="45"/>
  <c r="V30" i="45"/>
  <c r="X30" i="45"/>
  <c r="H30" i="45"/>
  <c r="T30" i="45"/>
  <c r="P30" i="45"/>
  <c r="R28" i="45"/>
  <c r="V26" i="45"/>
  <c r="Z11" i="46"/>
  <c r="AC11" i="46"/>
  <c r="AD11" i="46" s="1"/>
  <c r="AF11" i="46" s="1"/>
  <c r="Z12" i="45"/>
  <c r="J45" i="43"/>
  <c r="M45" i="43" s="1"/>
  <c r="M85" i="41"/>
  <c r="I70" i="41"/>
  <c r="AE34" i="46"/>
  <c r="X34" i="46" s="1"/>
  <c r="V28" i="45"/>
  <c r="AC26" i="45"/>
  <c r="AD26" i="45" s="1"/>
  <c r="AF26" i="45" s="1"/>
  <c r="J38" i="43"/>
  <c r="J12" i="45"/>
  <c r="V34" i="45"/>
  <c r="AB33" i="46"/>
  <c r="AE21" i="46"/>
  <c r="AC21" i="46" s="1"/>
  <c r="AD21" i="46" s="1"/>
  <c r="AF21" i="46" s="1"/>
  <c r="V12" i="45"/>
  <c r="P26" i="45"/>
  <c r="N26" i="45"/>
  <c r="J88" i="41"/>
  <c r="F45" i="41"/>
  <c r="P11" i="46"/>
  <c r="G82" i="40"/>
  <c r="C124" i="51" s="1"/>
  <c r="X28" i="45"/>
  <c r="T12" i="45"/>
  <c r="J25" i="43"/>
  <c r="M25" i="43" s="1"/>
  <c r="T28" i="45"/>
  <c r="J26" i="45"/>
  <c r="J11" i="46"/>
  <c r="AE28" i="46"/>
  <c r="V28" i="46" s="1"/>
  <c r="AE26" i="46"/>
  <c r="F26" i="46" s="1"/>
  <c r="E118" i="41"/>
  <c r="I118" i="41" s="1"/>
  <c r="E29" i="43"/>
  <c r="E34" i="43"/>
  <c r="I34" i="43" s="1"/>
  <c r="P28" i="45"/>
  <c r="X26" i="45"/>
  <c r="K29" i="43"/>
  <c r="L38" i="43"/>
  <c r="F11" i="46"/>
  <c r="N28" i="45"/>
  <c r="R26" i="45"/>
  <c r="M38" i="41"/>
  <c r="AB28" i="45"/>
  <c r="F26" i="45"/>
  <c r="X33" i="46"/>
  <c r="I16" i="41"/>
  <c r="E60" i="43"/>
  <c r="I60" i="43" s="1"/>
  <c r="Z26" i="45"/>
  <c r="J33" i="46"/>
  <c r="R12" i="45"/>
  <c r="H12" i="45"/>
  <c r="H26" i="45"/>
  <c r="G38" i="43"/>
  <c r="E14" i="43"/>
  <c r="I14" i="43" s="1"/>
  <c r="G25" i="43"/>
  <c r="Z28" i="37"/>
  <c r="L28" i="37"/>
  <c r="X20" i="37"/>
  <c r="N20" i="37"/>
  <c r="R20" i="37"/>
  <c r="F20" i="37"/>
  <c r="K45" i="2"/>
  <c r="J38" i="38"/>
  <c r="J23" i="2"/>
  <c r="AE21" i="37"/>
  <c r="L21" i="37" s="1"/>
  <c r="R11" i="37"/>
  <c r="AE33" i="37"/>
  <c r="T33" i="37" s="1"/>
  <c r="AB11" i="37"/>
  <c r="H11" i="37"/>
  <c r="K82" i="21"/>
  <c r="F13" i="37"/>
  <c r="R13" i="37"/>
  <c r="X13" i="37"/>
  <c r="J31" i="2"/>
  <c r="F45" i="2"/>
  <c r="T13" i="37"/>
  <c r="J155" i="16"/>
  <c r="C92" i="50"/>
  <c r="L21" i="2"/>
  <c r="AE18" i="38"/>
  <c r="J18" i="38" s="1"/>
  <c r="T30" i="37"/>
  <c r="L30" i="37"/>
  <c r="AB30" i="37"/>
  <c r="J31" i="38"/>
  <c r="E138" i="16"/>
  <c r="H138" i="16" s="1"/>
  <c r="P31" i="38"/>
  <c r="Z31" i="38"/>
  <c r="F29" i="43"/>
  <c r="D64" i="50"/>
  <c r="D89" i="50"/>
  <c r="X33" i="37"/>
  <c r="L11" i="37"/>
  <c r="N31" i="38"/>
  <c r="E32" i="2"/>
  <c r="H32" i="2" s="1"/>
  <c r="C89" i="50"/>
  <c r="F51" i="2"/>
  <c r="V31" i="38"/>
  <c r="E43" i="2"/>
  <c r="H43" i="2" s="1"/>
  <c r="I25" i="16"/>
  <c r="AE34" i="38"/>
  <c r="L34" i="38" s="1"/>
  <c r="X11" i="37"/>
  <c r="L31" i="38"/>
  <c r="H38" i="38"/>
  <c r="F34" i="43"/>
  <c r="P31" i="37"/>
  <c r="H31" i="37"/>
  <c r="J29" i="2"/>
  <c r="J11" i="37"/>
  <c r="X28" i="37"/>
  <c r="AC31" i="38"/>
  <c r="AD31" i="38" s="1"/>
  <c r="AF31" i="38" s="1"/>
  <c r="P38" i="38"/>
  <c r="J152" i="16"/>
  <c r="D117" i="50"/>
  <c r="F31" i="43"/>
  <c r="J82" i="21"/>
  <c r="E124" i="50" s="1"/>
  <c r="R28" i="37"/>
  <c r="N31" i="37"/>
  <c r="I155" i="16"/>
  <c r="AC11" i="37"/>
  <c r="AD11" i="37" s="1"/>
  <c r="AF11" i="37" s="1"/>
  <c r="AC38" i="38"/>
  <c r="AD38" i="38" s="1"/>
  <c r="AF38" i="38" s="1"/>
  <c r="V27" i="37"/>
  <c r="T11" i="37"/>
  <c r="J28" i="37"/>
  <c r="F31" i="38"/>
  <c r="AE30" i="38"/>
  <c r="T30" i="38" s="1"/>
  <c r="F23" i="43"/>
  <c r="E114" i="16"/>
  <c r="H114" i="16" s="1"/>
  <c r="AB31" i="38"/>
  <c r="R31" i="38"/>
  <c r="L34" i="2"/>
  <c r="H13" i="37"/>
  <c r="T31" i="38"/>
  <c r="AE28" i="38"/>
  <c r="F28" i="38" s="1"/>
  <c r="V38" i="37"/>
  <c r="AB38" i="37"/>
  <c r="P38" i="37"/>
  <c r="J38" i="37"/>
  <c r="AC38" i="37"/>
  <c r="AD38" i="37" s="1"/>
  <c r="AF38" i="37" s="1"/>
  <c r="Z38" i="37"/>
  <c r="H38" i="37"/>
  <c r="N38" i="37"/>
  <c r="AE40" i="37"/>
  <c r="H40" i="37" s="1"/>
  <c r="R38" i="37"/>
  <c r="X38" i="37"/>
  <c r="F38" i="37"/>
  <c r="L38" i="37"/>
  <c r="T38" i="37"/>
  <c r="N39" i="37"/>
  <c r="T39" i="37"/>
  <c r="H39" i="37"/>
  <c r="P39" i="37"/>
  <c r="J39" i="37"/>
  <c r="L39" i="37"/>
  <c r="V39" i="37"/>
  <c r="X39" i="37"/>
  <c r="R39" i="37"/>
  <c r="AC39" i="37"/>
  <c r="Z39" i="37"/>
  <c r="F39" i="37"/>
  <c r="AB39" i="37"/>
  <c r="F26" i="37"/>
  <c r="Z26" i="37"/>
  <c r="P26" i="37"/>
  <c r="AC26" i="37"/>
  <c r="AD26" i="37" s="1"/>
  <c r="AF26" i="37" s="1"/>
  <c r="T26" i="37"/>
  <c r="J26" i="37"/>
  <c r="V26" i="37"/>
  <c r="N26" i="37"/>
  <c r="L26" i="37"/>
  <c r="AB26" i="37"/>
  <c r="X26" i="37"/>
  <c r="H26" i="37"/>
  <c r="R26" i="37"/>
  <c r="X29" i="38"/>
  <c r="I45" i="2"/>
  <c r="L45" i="2" s="1"/>
  <c r="AE27" i="38"/>
  <c r="AC27" i="38" s="1"/>
  <c r="AD27" i="38" s="1"/>
  <c r="AF27" i="38" s="1"/>
  <c r="V29" i="38"/>
  <c r="I17" i="2"/>
  <c r="Z27" i="37"/>
  <c r="G45" i="2"/>
  <c r="J45" i="2" s="1"/>
  <c r="G21" i="17"/>
  <c r="J43" i="2"/>
  <c r="AC27" i="37"/>
  <c r="AD27" i="37" s="1"/>
  <c r="AF27" i="37" s="1"/>
  <c r="AC29" i="38"/>
  <c r="AD29" i="38" s="1"/>
  <c r="AF29" i="38" s="1"/>
  <c r="V11" i="37"/>
  <c r="T38" i="38"/>
  <c r="G51" i="41"/>
  <c r="H67" i="17"/>
  <c r="E14" i="2"/>
  <c r="H14" i="2" s="1"/>
  <c r="T27" i="37"/>
  <c r="Z29" i="38"/>
  <c r="P11" i="37"/>
  <c r="N13" i="37"/>
  <c r="X38" i="38"/>
  <c r="I25" i="2"/>
  <c r="J14" i="2"/>
  <c r="J16" i="2"/>
  <c r="H36" i="17"/>
  <c r="F44" i="43"/>
  <c r="F45" i="43" s="1"/>
  <c r="P29" i="38"/>
  <c r="P27" i="37"/>
  <c r="L32" i="2"/>
  <c r="F29" i="38"/>
  <c r="N11" i="37"/>
  <c r="AC13" i="37"/>
  <c r="AD13" i="37" s="1"/>
  <c r="AF13" i="37" s="1"/>
  <c r="L38" i="38"/>
  <c r="G13" i="2"/>
  <c r="N29" i="38"/>
  <c r="J12" i="37"/>
  <c r="AB29" i="38"/>
  <c r="F11" i="37"/>
  <c r="V13" i="37"/>
  <c r="L12" i="37"/>
  <c r="AC33" i="38"/>
  <c r="AD33" i="38" s="1"/>
  <c r="AF33" i="38" s="1"/>
  <c r="Z12" i="38"/>
  <c r="R29" i="38"/>
  <c r="E23" i="2"/>
  <c r="H23" i="2" s="1"/>
  <c r="L85" i="17"/>
  <c r="Z13" i="37"/>
  <c r="V38" i="38"/>
  <c r="E31" i="2"/>
  <c r="H31" i="2" s="1"/>
  <c r="O64" i="38"/>
  <c r="N39" i="38"/>
  <c r="F12" i="38"/>
  <c r="N12" i="38"/>
  <c r="J12" i="38"/>
  <c r="W64" i="38"/>
  <c r="P12" i="38"/>
  <c r="R12" i="38"/>
  <c r="J21" i="38"/>
  <c r="L12" i="38"/>
  <c r="AC12" i="38"/>
  <c r="AD12" i="38" s="1"/>
  <c r="AF12" i="38" s="1"/>
  <c r="AB11" i="38"/>
  <c r="V12" i="38"/>
  <c r="AB33" i="38"/>
  <c r="F27" i="38"/>
  <c r="M64" i="38"/>
  <c r="T33" i="38"/>
  <c r="P39" i="38"/>
  <c r="N10" i="38"/>
  <c r="L21" i="38"/>
  <c r="AC11" i="38"/>
  <c r="AD11" i="38" s="1"/>
  <c r="AF11" i="38" s="1"/>
  <c r="AC39" i="38"/>
  <c r="H21" i="38"/>
  <c r="P11" i="38"/>
  <c r="T39" i="38"/>
  <c r="N21" i="38"/>
  <c r="R11" i="38"/>
  <c r="L39" i="38"/>
  <c r="V10" i="38"/>
  <c r="L10" i="38"/>
  <c r="V21" i="38"/>
  <c r="F11" i="38"/>
  <c r="T11" i="38"/>
  <c r="AE40" i="38"/>
  <c r="L40" i="38" s="1"/>
  <c r="J39" i="38"/>
  <c r="H39" i="38"/>
  <c r="AC21" i="38"/>
  <c r="AD21" i="38" s="1"/>
  <c r="AF21" i="38" s="1"/>
  <c r="Z11" i="38"/>
  <c r="S64" i="38"/>
  <c r="F39" i="38"/>
  <c r="P21" i="38"/>
  <c r="X11" i="38"/>
  <c r="AB39" i="38"/>
  <c r="Z21" i="38"/>
  <c r="H11" i="38"/>
  <c r="Z39" i="38"/>
  <c r="R21" i="38"/>
  <c r="J11" i="38"/>
  <c r="X39" i="38"/>
  <c r="L11" i="38"/>
  <c r="N11" i="38"/>
  <c r="V33" i="38"/>
  <c r="K64" i="38"/>
  <c r="Q64" i="38"/>
  <c r="Z33" i="38"/>
  <c r="V27" i="38"/>
  <c r="I64" i="38"/>
  <c r="E64" i="38"/>
  <c r="P10" i="38"/>
  <c r="F10" i="38"/>
  <c r="X33" i="38"/>
  <c r="R27" i="38"/>
  <c r="T20" i="38"/>
  <c r="L33" i="38"/>
  <c r="V28" i="38"/>
  <c r="Z10" i="38"/>
  <c r="R20" i="38"/>
  <c r="H33" i="38"/>
  <c r="L20" i="38"/>
  <c r="AC20" i="38"/>
  <c r="AD20" i="38" s="1"/>
  <c r="AF20" i="38" s="1"/>
  <c r="AF10" i="38"/>
  <c r="V20" i="38"/>
  <c r="F20" i="38"/>
  <c r="N38" i="38"/>
  <c r="F30" i="37"/>
  <c r="X30" i="37"/>
  <c r="Z30" i="37"/>
  <c r="V30" i="37"/>
  <c r="AC30" i="37"/>
  <c r="AD30" i="37" s="1"/>
  <c r="AF30" i="37" s="1"/>
  <c r="R30" i="37"/>
  <c r="J30" i="37"/>
  <c r="H30" i="37"/>
  <c r="N30" i="37"/>
  <c r="P30" i="37"/>
  <c r="I64" i="37"/>
  <c r="J31" i="37"/>
  <c r="Z31" i="37"/>
  <c r="AC20" i="37"/>
  <c r="AD20" i="37" s="1"/>
  <c r="AF20" i="37" s="1"/>
  <c r="Z20" i="37"/>
  <c r="L31" i="37"/>
  <c r="P20" i="37"/>
  <c r="AC31" i="37"/>
  <c r="AD31" i="37" s="1"/>
  <c r="AF31" i="37" s="1"/>
  <c r="T20" i="37"/>
  <c r="V31" i="37"/>
  <c r="J20" i="37"/>
  <c r="X31" i="37"/>
  <c r="AB20" i="37"/>
  <c r="AB31" i="37"/>
  <c r="H20" i="37"/>
  <c r="T31" i="37"/>
  <c r="V20" i="37"/>
  <c r="F31" i="37"/>
  <c r="L20" i="37"/>
  <c r="R12" i="37"/>
  <c r="V28" i="37"/>
  <c r="N12" i="37"/>
  <c r="P12" i="37"/>
  <c r="AC28" i="37"/>
  <c r="AD28" i="37" s="1"/>
  <c r="AF28" i="37" s="1"/>
  <c r="Y64" i="37"/>
  <c r="AB12" i="37"/>
  <c r="N28" i="37"/>
  <c r="S64" i="37"/>
  <c r="H12" i="37"/>
  <c r="T28" i="37"/>
  <c r="AB28" i="37"/>
  <c r="Q64" i="37"/>
  <c r="O64" i="37"/>
  <c r="AC12" i="37"/>
  <c r="AD12" i="37" s="1"/>
  <c r="AF12" i="37" s="1"/>
  <c r="F28" i="37"/>
  <c r="T12" i="37"/>
  <c r="H28" i="37"/>
  <c r="F12" i="37"/>
  <c r="P28" i="37"/>
  <c r="O64" i="34"/>
  <c r="M64" i="34"/>
  <c r="G64" i="34"/>
  <c r="W64" i="34"/>
  <c r="U64" i="34"/>
  <c r="H10" i="30"/>
  <c r="H6" i="40"/>
  <c r="G12" i="44" s="1"/>
  <c r="F10" i="30"/>
  <c r="M20" i="43"/>
  <c r="AF38" i="45"/>
  <c r="AE18" i="34"/>
  <c r="A2" i="16"/>
  <c r="A2" i="40"/>
  <c r="A2" i="17"/>
  <c r="A2" i="42"/>
  <c r="P21" i="37"/>
  <c r="M88" i="41"/>
  <c r="J19" i="41"/>
  <c r="T21" i="45"/>
  <c r="V38" i="46"/>
  <c r="F38" i="46"/>
  <c r="H38" i="46"/>
  <c r="J38" i="46"/>
  <c r="N38" i="46"/>
  <c r="X38" i="46"/>
  <c r="T38" i="46"/>
  <c r="P38" i="46"/>
  <c r="R38" i="46"/>
  <c r="Z38" i="46"/>
  <c r="AE40" i="46"/>
  <c r="L38" i="46"/>
  <c r="AC38" i="46"/>
  <c r="AB38" i="46"/>
  <c r="Z21" i="45"/>
  <c r="AC21" i="45"/>
  <c r="AD21" i="45" s="1"/>
  <c r="AF21" i="45" s="1"/>
  <c r="H21" i="45"/>
  <c r="P21" i="45"/>
  <c r="L21" i="45"/>
  <c r="AB21" i="45"/>
  <c r="J40" i="42"/>
  <c r="M26" i="42"/>
  <c r="D84" i="51"/>
  <c r="V21" i="45"/>
  <c r="AB21" i="37"/>
  <c r="R21" i="45"/>
  <c r="X21" i="45"/>
  <c r="E21" i="2"/>
  <c r="H21" i="2" s="1"/>
  <c r="H21" i="16"/>
  <c r="T21" i="37"/>
  <c r="F21" i="45"/>
  <c r="H21" i="37"/>
  <c r="A2" i="43"/>
  <c r="R30" i="38"/>
  <c r="H19" i="41"/>
  <c r="X27" i="37"/>
  <c r="P10" i="35"/>
  <c r="J10" i="35"/>
  <c r="H10" i="35"/>
  <c r="X10" i="35"/>
  <c r="V10" i="35"/>
  <c r="AC10" i="35"/>
  <c r="N10" i="35"/>
  <c r="A3" i="40"/>
  <c r="A3" i="21"/>
  <c r="I2" i="39"/>
  <c r="A3" i="16"/>
  <c r="I2" i="14"/>
  <c r="A3" i="43"/>
  <c r="A3" i="41"/>
  <c r="A3" i="42"/>
  <c r="A3" i="2"/>
  <c r="A3" i="17"/>
  <c r="L117" i="42"/>
  <c r="L20" i="42" s="1"/>
  <c r="L88" i="41"/>
  <c r="L19" i="41" s="1"/>
  <c r="F38" i="41"/>
  <c r="Z11" i="45"/>
  <c r="R11" i="45"/>
  <c r="N11" i="45"/>
  <c r="P11" i="45"/>
  <c r="J17" i="16"/>
  <c r="F17" i="42"/>
  <c r="F17" i="43" s="1"/>
  <c r="U64" i="37"/>
  <c r="G17" i="2"/>
  <c r="J17" i="17"/>
  <c r="E109" i="41"/>
  <c r="I109" i="41" s="1"/>
  <c r="H117" i="42"/>
  <c r="F74" i="43"/>
  <c r="R27" i="37"/>
  <c r="L31" i="46"/>
  <c r="U64" i="46"/>
  <c r="F26" i="17"/>
  <c r="F40" i="17" s="1"/>
  <c r="F47" i="17" s="1"/>
  <c r="F81" i="2" s="1"/>
  <c r="F17" i="2"/>
  <c r="F26" i="2" s="1"/>
  <c r="I25" i="31"/>
  <c r="F25" i="32"/>
  <c r="E25" i="42"/>
  <c r="E25" i="16"/>
  <c r="J17" i="43"/>
  <c r="M64" i="37"/>
  <c r="R21" i="14"/>
  <c r="Q22" i="14"/>
  <c r="V22" i="14" s="1"/>
  <c r="L27" i="37"/>
  <c r="N31" i="46"/>
  <c r="K37" i="43"/>
  <c r="T34" i="45"/>
  <c r="R34" i="45"/>
  <c r="AC34" i="45"/>
  <c r="AD34" i="45" s="1"/>
  <c r="AF34" i="45" s="1"/>
  <c r="J34" i="45"/>
  <c r="X34" i="45"/>
  <c r="P34" i="45"/>
  <c r="G23" i="40"/>
  <c r="F31" i="46"/>
  <c r="G51" i="42"/>
  <c r="H51" i="42"/>
  <c r="C63" i="51" s="1"/>
  <c r="F51" i="43"/>
  <c r="S73" i="39"/>
  <c r="N75" i="39"/>
  <c r="F21" i="38"/>
  <c r="X21" i="38"/>
  <c r="T21" i="38"/>
  <c r="I62" i="41"/>
  <c r="H33" i="46"/>
  <c r="T33" i="46"/>
  <c r="R33" i="46"/>
  <c r="V33" i="46"/>
  <c r="H33" i="16"/>
  <c r="E33" i="2"/>
  <c r="M13" i="41"/>
  <c r="J13" i="43"/>
  <c r="D70" i="51"/>
  <c r="H34" i="45"/>
  <c r="F34" i="45"/>
  <c r="N26" i="38"/>
  <c r="AB26" i="38"/>
  <c r="V26" i="38"/>
  <c r="P26" i="38"/>
  <c r="AF26" i="38"/>
  <c r="T26" i="38"/>
  <c r="Z26" i="38"/>
  <c r="L26" i="38"/>
  <c r="F26" i="38"/>
  <c r="X26" i="38"/>
  <c r="H31" i="46"/>
  <c r="R31" i="46"/>
  <c r="J27" i="37"/>
  <c r="Z12" i="37"/>
  <c r="X11" i="45"/>
  <c r="X11" i="46"/>
  <c r="N11" i="46"/>
  <c r="T11" i="46"/>
  <c r="H11" i="46"/>
  <c r="L11" i="46"/>
  <c r="J10" i="38"/>
  <c r="X10" i="38"/>
  <c r="R10" i="38"/>
  <c r="H10" i="38"/>
  <c r="T10" i="38"/>
  <c r="AB34" i="45"/>
  <c r="H27" i="37"/>
  <c r="M65" i="14"/>
  <c r="M65" i="39"/>
  <c r="J11" i="45"/>
  <c r="Z34" i="45"/>
  <c r="J26" i="38"/>
  <c r="L74" i="43"/>
  <c r="E75" i="51" s="1"/>
  <c r="N27" i="37"/>
  <c r="V12" i="37"/>
  <c r="V39" i="38"/>
  <c r="F13" i="45"/>
  <c r="V11" i="46"/>
  <c r="AB10" i="38"/>
  <c r="H17" i="43"/>
  <c r="N34" i="45"/>
  <c r="H26" i="38"/>
  <c r="L12" i="45"/>
  <c r="N12" i="45"/>
  <c r="AC12" i="45"/>
  <c r="AD12" i="45" s="1"/>
  <c r="AB12" i="45"/>
  <c r="P12" i="45"/>
  <c r="E6" i="51"/>
  <c r="F27" i="37"/>
  <c r="N33" i="46"/>
  <c r="P33" i="46"/>
  <c r="R26" i="38"/>
  <c r="T12" i="38"/>
  <c r="X12" i="38"/>
  <c r="H12" i="38"/>
  <c r="M109" i="41"/>
  <c r="J21" i="41"/>
  <c r="Q62" i="39"/>
  <c r="V62" i="39" s="1"/>
  <c r="R61" i="39"/>
  <c r="AB11" i="46"/>
  <c r="H38" i="43"/>
  <c r="T20" i="45"/>
  <c r="Z10" i="35"/>
  <c r="I17" i="41"/>
  <c r="E138" i="42"/>
  <c r="G22" i="40"/>
  <c r="I22" i="40" s="1"/>
  <c r="K64" i="37"/>
  <c r="H21" i="41"/>
  <c r="K109" i="41"/>
  <c r="F109" i="41"/>
  <c r="E64" i="37"/>
  <c r="E66" i="37" s="1"/>
  <c r="U76" i="14"/>
  <c r="J22" i="21"/>
  <c r="J23" i="21" s="1"/>
  <c r="I49" i="14"/>
  <c r="K32" i="43"/>
  <c r="AE29" i="45"/>
  <c r="P20" i="46"/>
  <c r="T20" i="46"/>
  <c r="G64" i="38"/>
  <c r="J29" i="38"/>
  <c r="T29" i="38"/>
  <c r="AE29" i="37"/>
  <c r="J32" i="2"/>
  <c r="Q75" i="39"/>
  <c r="V73" i="39"/>
  <c r="H28" i="45"/>
  <c r="F28" i="45"/>
  <c r="K17" i="31"/>
  <c r="H17" i="32"/>
  <c r="H53" i="41"/>
  <c r="F53" i="43"/>
  <c r="G114" i="31"/>
  <c r="E17" i="31"/>
  <c r="V39" i="35"/>
  <c r="P33" i="38"/>
  <c r="J33" i="38"/>
  <c r="N33" i="38"/>
  <c r="F33" i="38"/>
  <c r="V38" i="45"/>
  <c r="J39" i="35"/>
  <c r="I43" i="32"/>
  <c r="I45" i="32"/>
  <c r="AE38" i="34"/>
  <c r="J38" i="45"/>
  <c r="AC20" i="46"/>
  <c r="AD20" i="46" s="1"/>
  <c r="AF20" i="46" s="1"/>
  <c r="S64" i="46"/>
  <c r="Q22" i="39"/>
  <c r="V22" i="39" s="1"/>
  <c r="R21" i="39"/>
  <c r="H37" i="17"/>
  <c r="G53" i="41"/>
  <c r="G53" i="43" s="1"/>
  <c r="F85" i="41"/>
  <c r="F30" i="43"/>
  <c r="J11" i="34"/>
  <c r="Z11" i="34"/>
  <c r="H11" i="34"/>
  <c r="N11" i="34"/>
  <c r="X11" i="34"/>
  <c r="AC11" i="34"/>
  <c r="AD11" i="34" s="1"/>
  <c r="AF11" i="34" s="1"/>
  <c r="E85" i="41"/>
  <c r="I85" i="41" s="1"/>
  <c r="I63" i="41"/>
  <c r="E63" i="43"/>
  <c r="I63" i="43" s="1"/>
  <c r="P13" i="37"/>
  <c r="J13" i="37"/>
  <c r="AF39" i="35"/>
  <c r="T39" i="35"/>
  <c r="AB13" i="37"/>
  <c r="R38" i="45"/>
  <c r="X20" i="46"/>
  <c r="L17" i="43"/>
  <c r="E105" i="51"/>
  <c r="G54" i="41"/>
  <c r="G54" i="43" s="1"/>
  <c r="K38" i="41"/>
  <c r="S47" i="39"/>
  <c r="U64" i="38"/>
  <c r="AA64" i="37"/>
  <c r="K36" i="28"/>
  <c r="L36" i="28" s="1"/>
  <c r="K34" i="39"/>
  <c r="P34" i="39" s="1"/>
  <c r="H20" i="38"/>
  <c r="Z38" i="38"/>
  <c r="R13" i="34"/>
  <c r="AE34" i="37"/>
  <c r="Q49" i="14"/>
  <c r="V49" i="14" s="1"/>
  <c r="V47" i="14"/>
  <c r="S67" i="28"/>
  <c r="N73" i="28"/>
  <c r="I34" i="39"/>
  <c r="M34" i="28"/>
  <c r="M26" i="14"/>
  <c r="W64" i="37"/>
  <c r="AE39" i="34"/>
  <c r="I44" i="32"/>
  <c r="P67" i="28"/>
  <c r="K67" i="39"/>
  <c r="P67" i="39" s="1"/>
  <c r="K67" i="14"/>
  <c r="P67" i="14" s="1"/>
  <c r="K73" i="28"/>
  <c r="G17" i="30"/>
  <c r="B67" i="51"/>
  <c r="B67" i="50"/>
  <c r="V35" i="39"/>
  <c r="M52" i="14"/>
  <c r="S21" i="14"/>
  <c r="K32" i="32"/>
  <c r="K74" i="28"/>
  <c r="K66" i="39"/>
  <c r="P66" i="39" s="1"/>
  <c r="R13" i="35"/>
  <c r="P20" i="38"/>
  <c r="AA64" i="46"/>
  <c r="O21" i="39"/>
  <c r="K25" i="2"/>
  <c r="V68" i="14"/>
  <c r="I45" i="30"/>
  <c r="E45" i="41"/>
  <c r="Y64" i="46"/>
  <c r="G17" i="43"/>
  <c r="G26" i="43" s="1"/>
  <c r="G26" i="41"/>
  <c r="G40" i="41" s="1"/>
  <c r="G47" i="41" s="1"/>
  <c r="G81" i="43" s="1"/>
  <c r="G64" i="37"/>
  <c r="I14" i="32"/>
  <c r="M60" i="28"/>
  <c r="I60" i="14"/>
  <c r="I62" i="28"/>
  <c r="J62" i="28" s="1"/>
  <c r="L36" i="39"/>
  <c r="L36" i="14"/>
  <c r="Q73" i="14"/>
  <c r="AA64" i="35"/>
  <c r="Q36" i="28"/>
  <c r="R36" i="28" s="1"/>
  <c r="R35" i="28"/>
  <c r="N20" i="38"/>
  <c r="L16" i="2"/>
  <c r="AE13" i="38"/>
  <c r="K60" i="14"/>
  <c r="P60" i="14" s="1"/>
  <c r="Y64" i="35"/>
  <c r="P30" i="46"/>
  <c r="L25" i="16"/>
  <c r="AB20" i="38"/>
  <c r="I44" i="41"/>
  <c r="M40" i="14"/>
  <c r="B67" i="49"/>
  <c r="W64" i="35"/>
  <c r="S64" i="34"/>
  <c r="H155" i="42"/>
  <c r="K152" i="42"/>
  <c r="C89" i="51"/>
  <c r="L13" i="43"/>
  <c r="I92" i="41"/>
  <c r="T22" i="14"/>
  <c r="F25" i="41"/>
  <c r="T22" i="39"/>
  <c r="O48" i="14"/>
  <c r="S64" i="35"/>
  <c r="Q64" i="34"/>
  <c r="K118" i="41"/>
  <c r="N22" i="14"/>
  <c r="S22" i="14" s="1"/>
  <c r="Q64" i="35"/>
  <c r="AB38" i="38"/>
  <c r="AE31" i="45"/>
  <c r="K34" i="43"/>
  <c r="K34" i="14"/>
  <c r="P34" i="14" s="1"/>
  <c r="O64" i="35"/>
  <c r="J20" i="38"/>
  <c r="S47" i="14"/>
  <c r="J48" i="39"/>
  <c r="T36" i="39"/>
  <c r="G25" i="16"/>
  <c r="R74" i="14"/>
  <c r="K64" i="34"/>
  <c r="AA64" i="38"/>
  <c r="E24" i="2"/>
  <c r="H24" i="2" s="1"/>
  <c r="H24" i="16"/>
  <c r="B105" i="49"/>
  <c r="B82" i="50"/>
  <c r="B105" i="51"/>
  <c r="B105" i="50"/>
  <c r="B82" i="49"/>
  <c r="B82" i="51"/>
  <c r="K62" i="28"/>
  <c r="L62" i="28" s="1"/>
  <c r="Z13" i="34"/>
  <c r="R38" i="38"/>
  <c r="F54" i="43"/>
  <c r="I113" i="41"/>
  <c r="V74" i="39"/>
  <c r="Q36" i="39"/>
  <c r="V36" i="39" s="1"/>
  <c r="Y64" i="38"/>
  <c r="V39" i="46"/>
  <c r="AE12" i="46"/>
  <c r="E67" i="43"/>
  <c r="I67" i="43" s="1"/>
  <c r="L45" i="43"/>
  <c r="I66" i="41"/>
  <c r="N36" i="39"/>
  <c r="S36" i="39" s="1"/>
  <c r="N74" i="14"/>
  <c r="C117" i="49"/>
  <c r="C85" i="49"/>
  <c r="I38" i="31"/>
  <c r="B48" i="51"/>
  <c r="N74" i="28"/>
  <c r="M70" i="28"/>
  <c r="J10" i="30"/>
  <c r="B85" i="51"/>
  <c r="J13" i="32"/>
  <c r="K13" i="32" s="1"/>
  <c r="S35" i="28"/>
  <c r="Q22" i="28"/>
  <c r="R22" i="28" s="1"/>
  <c r="G38" i="31"/>
  <c r="K38" i="30"/>
  <c r="B64" i="51"/>
  <c r="P72" i="28"/>
  <c r="B117" i="50"/>
  <c r="G6" i="21"/>
  <c r="E12" i="15" s="1"/>
  <c r="I70" i="14"/>
  <c r="E12" i="36"/>
  <c r="M46" i="39"/>
  <c r="A2" i="15"/>
  <c r="I73" i="28"/>
  <c r="B85" i="50"/>
  <c r="K72" i="14"/>
  <c r="P72" i="14" s="1"/>
  <c r="F10" i="35" l="1"/>
  <c r="I13" i="32"/>
  <c r="AB38" i="35"/>
  <c r="T38" i="35"/>
  <c r="V38" i="35"/>
  <c r="J38" i="35"/>
  <c r="P38" i="35"/>
  <c r="AE40" i="35"/>
  <c r="T40" i="35" s="1"/>
  <c r="AC38" i="35"/>
  <c r="AD38" i="35" s="1"/>
  <c r="AF38" i="35" s="1"/>
  <c r="N38" i="35"/>
  <c r="R38" i="35"/>
  <c r="H38" i="35"/>
  <c r="L38" i="35"/>
  <c r="X38" i="35"/>
  <c r="G25" i="32"/>
  <c r="K21" i="32"/>
  <c r="I21" i="32"/>
  <c r="E26" i="32"/>
  <c r="T33" i="34"/>
  <c r="F33" i="34"/>
  <c r="N33" i="34"/>
  <c r="R33" i="34"/>
  <c r="AC33" i="34"/>
  <c r="AD33" i="34" s="1"/>
  <c r="AF33" i="34" s="1"/>
  <c r="H33" i="34"/>
  <c r="V33" i="34"/>
  <c r="P33" i="34"/>
  <c r="J33" i="34"/>
  <c r="X33" i="34"/>
  <c r="Z33" i="34"/>
  <c r="L33" i="34"/>
  <c r="AB33" i="34"/>
  <c r="P34" i="35"/>
  <c r="T34" i="35"/>
  <c r="X34" i="35"/>
  <c r="V34" i="35"/>
  <c r="R34" i="35"/>
  <c r="AC34" i="35"/>
  <c r="AD34" i="35" s="1"/>
  <c r="AF34" i="35" s="1"/>
  <c r="F34" i="35"/>
  <c r="H34" i="35"/>
  <c r="Z34" i="35"/>
  <c r="L34" i="35"/>
  <c r="J34" i="35"/>
  <c r="AB34" i="35"/>
  <c r="N34" i="35"/>
  <c r="S62" i="28"/>
  <c r="O62" i="28"/>
  <c r="L61" i="14"/>
  <c r="L61" i="39"/>
  <c r="L62" i="39"/>
  <c r="L62" i="14"/>
  <c r="M66" i="14"/>
  <c r="M61" i="14"/>
  <c r="M61" i="39"/>
  <c r="J62" i="14"/>
  <c r="J62" i="39"/>
  <c r="Q75" i="28"/>
  <c r="J20" i="29" s="1"/>
  <c r="L49" i="39"/>
  <c r="L49" i="14"/>
  <c r="M49" i="28"/>
  <c r="M49" i="39" s="1"/>
  <c r="I49" i="39"/>
  <c r="M48" i="39"/>
  <c r="M48" i="14"/>
  <c r="J49" i="14"/>
  <c r="J49" i="39"/>
  <c r="S36" i="28"/>
  <c r="O36" i="28"/>
  <c r="M35" i="14"/>
  <c r="M35" i="39"/>
  <c r="S22" i="28"/>
  <c r="O22" i="28"/>
  <c r="J36" i="14"/>
  <c r="J36" i="39"/>
  <c r="M72" i="14"/>
  <c r="M72" i="39"/>
  <c r="M22" i="39"/>
  <c r="J22" i="39"/>
  <c r="J21" i="39"/>
  <c r="J21" i="14"/>
  <c r="M67" i="39"/>
  <c r="M67" i="14"/>
  <c r="J74" i="28"/>
  <c r="I74" i="39"/>
  <c r="I74" i="14"/>
  <c r="M74" i="28"/>
  <c r="Z26" i="34"/>
  <c r="AB26" i="34"/>
  <c r="AC26" i="34"/>
  <c r="AD26" i="34" s="1"/>
  <c r="AF26" i="34" s="1"/>
  <c r="G82" i="29"/>
  <c r="C124" i="49" s="1"/>
  <c r="AE35" i="34"/>
  <c r="V35" i="34" s="1"/>
  <c r="H26" i="34"/>
  <c r="J26" i="34"/>
  <c r="L26" i="34"/>
  <c r="N26" i="34"/>
  <c r="V26" i="34"/>
  <c r="P26" i="34"/>
  <c r="R26" i="34"/>
  <c r="T26" i="34"/>
  <c r="X26" i="34"/>
  <c r="AB28" i="35"/>
  <c r="H28" i="35"/>
  <c r="Z28" i="35"/>
  <c r="N28" i="35"/>
  <c r="P28" i="35"/>
  <c r="T28" i="35"/>
  <c r="F28" i="35"/>
  <c r="L28" i="35"/>
  <c r="J28" i="35"/>
  <c r="X28" i="35"/>
  <c r="R28" i="35"/>
  <c r="AC28" i="35"/>
  <c r="AD28" i="35" s="1"/>
  <c r="AF28" i="35" s="1"/>
  <c r="V28" i="35"/>
  <c r="X27" i="35"/>
  <c r="J27" i="35"/>
  <c r="P27" i="35"/>
  <c r="N27" i="35"/>
  <c r="R27" i="35"/>
  <c r="T27" i="35"/>
  <c r="AC27" i="35"/>
  <c r="AD27" i="35" s="1"/>
  <c r="AF27" i="35" s="1"/>
  <c r="L27" i="35"/>
  <c r="H27" i="35"/>
  <c r="Z27" i="35"/>
  <c r="AB27" i="35"/>
  <c r="V27" i="35"/>
  <c r="F27" i="35"/>
  <c r="AB29" i="34"/>
  <c r="AC29" i="34"/>
  <c r="AD29" i="34" s="1"/>
  <c r="AF29" i="34" s="1"/>
  <c r="L29" i="34"/>
  <c r="F29" i="34"/>
  <c r="Z29" i="34"/>
  <c r="V29" i="34"/>
  <c r="X29" i="34"/>
  <c r="P29" i="34"/>
  <c r="T29" i="34"/>
  <c r="H29" i="34"/>
  <c r="R29" i="34"/>
  <c r="N29" i="34"/>
  <c r="J29" i="34"/>
  <c r="B81" i="49"/>
  <c r="I82" i="29"/>
  <c r="E13" i="2"/>
  <c r="H13" i="2" s="1"/>
  <c r="H13" i="17"/>
  <c r="B81" i="51"/>
  <c r="R13" i="45"/>
  <c r="AB13" i="45"/>
  <c r="P13" i="45"/>
  <c r="T13" i="45"/>
  <c r="N13" i="45"/>
  <c r="L13" i="45"/>
  <c r="X13" i="45"/>
  <c r="H13" i="45"/>
  <c r="AB29" i="46"/>
  <c r="X29" i="46"/>
  <c r="J28" i="46"/>
  <c r="F28" i="46"/>
  <c r="X28" i="46"/>
  <c r="J29" i="46"/>
  <c r="V29" i="46"/>
  <c r="H29" i="46"/>
  <c r="AC29" i="46"/>
  <c r="AD29" i="46" s="1"/>
  <c r="AF29" i="46" s="1"/>
  <c r="Z33" i="46"/>
  <c r="P28" i="46"/>
  <c r="N30" i="38"/>
  <c r="J30" i="38"/>
  <c r="F30" i="38"/>
  <c r="AB30" i="38"/>
  <c r="L18" i="38"/>
  <c r="H30" i="38"/>
  <c r="P34" i="38"/>
  <c r="V34" i="38"/>
  <c r="L30" i="38"/>
  <c r="X40" i="37"/>
  <c r="F33" i="37"/>
  <c r="Z21" i="37"/>
  <c r="T40" i="37"/>
  <c r="AC21" i="37"/>
  <c r="AD21" i="37" s="1"/>
  <c r="AF21" i="37" s="1"/>
  <c r="N21" i="37"/>
  <c r="V21" i="37"/>
  <c r="AB40" i="35"/>
  <c r="N22" i="35"/>
  <c r="AE52" i="34"/>
  <c r="G38" i="32"/>
  <c r="L33" i="46"/>
  <c r="T29" i="46"/>
  <c r="L29" i="46"/>
  <c r="P29" i="46"/>
  <c r="F21" i="46"/>
  <c r="Z29" i="46"/>
  <c r="R29" i="46"/>
  <c r="AC33" i="46"/>
  <c r="AD33" i="46" s="1"/>
  <c r="AF33" i="46" s="1"/>
  <c r="V27" i="46"/>
  <c r="F29" i="46"/>
  <c r="AC13" i="45"/>
  <c r="AD13" i="45" s="1"/>
  <c r="AF13" i="45" s="1"/>
  <c r="Z13" i="45"/>
  <c r="J13" i="45"/>
  <c r="AC33" i="45"/>
  <c r="AD33" i="45" s="1"/>
  <c r="AF33" i="45" s="1"/>
  <c r="K38" i="43"/>
  <c r="G6" i="45"/>
  <c r="G66" i="45" s="1"/>
  <c r="H26" i="35"/>
  <c r="AC40" i="35"/>
  <c r="T22" i="35"/>
  <c r="T26" i="35"/>
  <c r="P22" i="35"/>
  <c r="AB26" i="35"/>
  <c r="L26" i="35"/>
  <c r="X26" i="35"/>
  <c r="F22" i="35"/>
  <c r="R22" i="35"/>
  <c r="V22" i="35"/>
  <c r="H22" i="35"/>
  <c r="AC26" i="35"/>
  <c r="AD26" i="35" s="1"/>
  <c r="AF26" i="35" s="1"/>
  <c r="AC22" i="35"/>
  <c r="AD22" i="35" s="1"/>
  <c r="AF22" i="35" s="1"/>
  <c r="N26" i="35"/>
  <c r="X22" i="35"/>
  <c r="Z26" i="35"/>
  <c r="Z22" i="35"/>
  <c r="R26" i="35"/>
  <c r="M38" i="43"/>
  <c r="G40" i="43"/>
  <c r="G47" i="43" s="1"/>
  <c r="K38" i="32"/>
  <c r="I38" i="32"/>
  <c r="L38" i="2"/>
  <c r="J38" i="2"/>
  <c r="H26" i="46"/>
  <c r="L26" i="46"/>
  <c r="X26" i="46"/>
  <c r="N26" i="46"/>
  <c r="F32" i="45"/>
  <c r="AB32" i="45"/>
  <c r="Z32" i="45"/>
  <c r="V32" i="45"/>
  <c r="T32" i="45"/>
  <c r="R32" i="45"/>
  <c r="P32" i="45"/>
  <c r="N32" i="45"/>
  <c r="L32" i="45"/>
  <c r="H32" i="45"/>
  <c r="J32" i="45"/>
  <c r="X32" i="45"/>
  <c r="N20" i="45"/>
  <c r="J20" i="45"/>
  <c r="J10" i="45"/>
  <c r="J39" i="45"/>
  <c r="V10" i="45"/>
  <c r="N10" i="45"/>
  <c r="Z10" i="45"/>
  <c r="X20" i="45"/>
  <c r="AC20" i="45"/>
  <c r="AD20" i="45" s="1"/>
  <c r="AF20" i="45" s="1"/>
  <c r="H20" i="45"/>
  <c r="P20" i="45"/>
  <c r="V20" i="45"/>
  <c r="Z20" i="45"/>
  <c r="R10" i="45"/>
  <c r="F20" i="45"/>
  <c r="AB20" i="45"/>
  <c r="F20" i="35"/>
  <c r="L22" i="35"/>
  <c r="H11" i="35"/>
  <c r="R11" i="35"/>
  <c r="J11" i="35"/>
  <c r="AB11" i="35"/>
  <c r="V11" i="35"/>
  <c r="X11" i="35"/>
  <c r="L11" i="35"/>
  <c r="N11" i="35"/>
  <c r="T11" i="35"/>
  <c r="AC11" i="35"/>
  <c r="AD11" i="35" s="1"/>
  <c r="AF11" i="35" s="1"/>
  <c r="P11" i="35"/>
  <c r="Z11" i="35"/>
  <c r="F11" i="35"/>
  <c r="AD40" i="35"/>
  <c r="AF40" i="35"/>
  <c r="T20" i="35"/>
  <c r="J22" i="35"/>
  <c r="Z20" i="35"/>
  <c r="H20" i="35"/>
  <c r="AB20" i="35"/>
  <c r="N10" i="34"/>
  <c r="N20" i="35"/>
  <c r="AC20" i="35"/>
  <c r="AD20" i="35" s="1"/>
  <c r="AF20" i="35" s="1"/>
  <c r="P20" i="35"/>
  <c r="R20" i="35"/>
  <c r="E17" i="42"/>
  <c r="I17" i="31"/>
  <c r="E17" i="16"/>
  <c r="L20" i="35"/>
  <c r="V20" i="35"/>
  <c r="X20" i="35"/>
  <c r="J26" i="35"/>
  <c r="F26" i="35"/>
  <c r="V26" i="35"/>
  <c r="E155" i="16"/>
  <c r="H155" i="16" s="1"/>
  <c r="B92" i="49"/>
  <c r="AB10" i="34"/>
  <c r="E40" i="30"/>
  <c r="L35" i="34"/>
  <c r="T10" i="34"/>
  <c r="R10" i="34"/>
  <c r="H40" i="35"/>
  <c r="F40" i="35"/>
  <c r="V40" i="35"/>
  <c r="P40" i="35"/>
  <c r="J40" i="35"/>
  <c r="X40" i="35"/>
  <c r="F10" i="34"/>
  <c r="J10" i="34"/>
  <c r="Z10" i="34"/>
  <c r="AE18" i="35"/>
  <c r="L18" i="35" s="1"/>
  <c r="L10" i="34"/>
  <c r="AC10" i="34"/>
  <c r="AD10" i="34" s="1"/>
  <c r="P10" i="34"/>
  <c r="X10" i="34"/>
  <c r="V10" i="34"/>
  <c r="D124" i="49"/>
  <c r="V33" i="45"/>
  <c r="L39" i="45"/>
  <c r="F33" i="45"/>
  <c r="T27" i="46"/>
  <c r="H27" i="46"/>
  <c r="L33" i="45"/>
  <c r="F10" i="45"/>
  <c r="AC27" i="46"/>
  <c r="AD27" i="46" s="1"/>
  <c r="N27" i="46"/>
  <c r="F27" i="46"/>
  <c r="X27" i="46"/>
  <c r="H33" i="45"/>
  <c r="R27" i="46"/>
  <c r="Z30" i="46"/>
  <c r="N30" i="46"/>
  <c r="X30" i="46"/>
  <c r="AC30" i="46"/>
  <c r="AD30" i="46" s="1"/>
  <c r="AF30" i="46" s="1"/>
  <c r="J30" i="46"/>
  <c r="AB30" i="46"/>
  <c r="R30" i="46"/>
  <c r="T30" i="46"/>
  <c r="L30" i="46"/>
  <c r="H30" i="46"/>
  <c r="V30" i="46"/>
  <c r="F30" i="46"/>
  <c r="H10" i="45"/>
  <c r="AB10" i="45"/>
  <c r="P10" i="45"/>
  <c r="T10" i="45"/>
  <c r="H39" i="45"/>
  <c r="AB33" i="45"/>
  <c r="AF27" i="46"/>
  <c r="R33" i="45"/>
  <c r="L10" i="45"/>
  <c r="AB27" i="46"/>
  <c r="J33" i="45"/>
  <c r="N33" i="45"/>
  <c r="Z27" i="46"/>
  <c r="L27" i="46"/>
  <c r="J27" i="46"/>
  <c r="AC10" i="45"/>
  <c r="AD10" i="45" s="1"/>
  <c r="AF10" i="45" s="1"/>
  <c r="AE22" i="46"/>
  <c r="H22" i="46" s="1"/>
  <c r="R20" i="45"/>
  <c r="I82" i="40"/>
  <c r="X33" i="45"/>
  <c r="P33" i="45"/>
  <c r="T33" i="45"/>
  <c r="H25" i="43"/>
  <c r="K25" i="42"/>
  <c r="AE40" i="45"/>
  <c r="V39" i="45"/>
  <c r="F39" i="45"/>
  <c r="Z39" i="45"/>
  <c r="AC39" i="45"/>
  <c r="P39" i="45"/>
  <c r="T39" i="45"/>
  <c r="X39" i="45"/>
  <c r="AB39" i="45"/>
  <c r="R39" i="45"/>
  <c r="R26" i="46"/>
  <c r="AB26" i="46"/>
  <c r="T26" i="46"/>
  <c r="R28" i="46"/>
  <c r="J26" i="46"/>
  <c r="V26" i="46"/>
  <c r="AB28" i="46"/>
  <c r="Z34" i="46"/>
  <c r="J34" i="46"/>
  <c r="P34" i="46"/>
  <c r="T34" i="46"/>
  <c r="AC34" i="46"/>
  <c r="AD34" i="46" s="1"/>
  <c r="AF34" i="46" s="1"/>
  <c r="V34" i="46"/>
  <c r="F34" i="46"/>
  <c r="H34" i="46"/>
  <c r="R34" i="46"/>
  <c r="N34" i="46"/>
  <c r="AB34" i="46"/>
  <c r="L34" i="46"/>
  <c r="AE35" i="46"/>
  <c r="V35" i="46" s="1"/>
  <c r="AC26" i="46"/>
  <c r="AD26" i="46" s="1"/>
  <c r="AC28" i="46"/>
  <c r="AD28" i="46" s="1"/>
  <c r="AF28" i="46" s="1"/>
  <c r="P26" i="46"/>
  <c r="T28" i="46"/>
  <c r="H28" i="46"/>
  <c r="L21" i="46"/>
  <c r="N21" i="46"/>
  <c r="X21" i="46"/>
  <c r="T21" i="46"/>
  <c r="Z21" i="46"/>
  <c r="P21" i="46"/>
  <c r="H21" i="46"/>
  <c r="R21" i="46"/>
  <c r="V21" i="46"/>
  <c r="J21" i="46"/>
  <c r="AB21" i="46"/>
  <c r="Z28" i="46"/>
  <c r="N28" i="46"/>
  <c r="L28" i="46"/>
  <c r="F38" i="43"/>
  <c r="I29" i="43"/>
  <c r="E38" i="43"/>
  <c r="I38" i="43" s="1"/>
  <c r="Z26" i="46"/>
  <c r="AC28" i="38"/>
  <c r="AD28" i="38" s="1"/>
  <c r="AF28" i="38" s="1"/>
  <c r="R33" i="37"/>
  <c r="P30" i="38"/>
  <c r="N28" i="38"/>
  <c r="AB33" i="37"/>
  <c r="V30" i="38"/>
  <c r="F21" i="37"/>
  <c r="T28" i="38"/>
  <c r="R28" i="38"/>
  <c r="AC33" i="37"/>
  <c r="AD33" i="37" s="1"/>
  <c r="AF33" i="37" s="1"/>
  <c r="AB28" i="38"/>
  <c r="X28" i="38"/>
  <c r="P33" i="37"/>
  <c r="V33" i="37"/>
  <c r="L33" i="37"/>
  <c r="H33" i="37"/>
  <c r="AC30" i="38"/>
  <c r="AD30" i="38" s="1"/>
  <c r="J21" i="37"/>
  <c r="Z28" i="38"/>
  <c r="N33" i="37"/>
  <c r="H28" i="38"/>
  <c r="J28" i="38"/>
  <c r="L28" i="38"/>
  <c r="X30" i="38"/>
  <c r="Z30" i="38"/>
  <c r="R21" i="37"/>
  <c r="Z33" i="37"/>
  <c r="X21" i="37"/>
  <c r="P28" i="38"/>
  <c r="J33" i="37"/>
  <c r="V18" i="38"/>
  <c r="Z34" i="38"/>
  <c r="X18" i="38"/>
  <c r="F18" i="38"/>
  <c r="D92" i="50"/>
  <c r="L155" i="16"/>
  <c r="Z18" i="38"/>
  <c r="F34" i="38"/>
  <c r="X34" i="38"/>
  <c r="AC18" i="38"/>
  <c r="AD18" i="38" s="1"/>
  <c r="AF18" i="38" s="1"/>
  <c r="L40" i="37"/>
  <c r="T34" i="38"/>
  <c r="N18" i="38"/>
  <c r="J40" i="37"/>
  <c r="H34" i="38"/>
  <c r="AB40" i="37"/>
  <c r="P27" i="38"/>
  <c r="H18" i="38"/>
  <c r="R34" i="38"/>
  <c r="N40" i="37"/>
  <c r="AC34" i="38"/>
  <c r="AD34" i="38" s="1"/>
  <c r="AF34" i="38" s="1"/>
  <c r="J34" i="38"/>
  <c r="AB18" i="38"/>
  <c r="P18" i="38"/>
  <c r="R18" i="38"/>
  <c r="T18" i="38"/>
  <c r="AB34" i="38"/>
  <c r="Z40" i="37"/>
  <c r="V40" i="37"/>
  <c r="N34" i="38"/>
  <c r="AE14" i="38"/>
  <c r="L17" i="2"/>
  <c r="G51" i="43"/>
  <c r="R40" i="37"/>
  <c r="L27" i="38"/>
  <c r="J13" i="2"/>
  <c r="AE10" i="37"/>
  <c r="G82" i="21"/>
  <c r="AE35" i="38"/>
  <c r="X35" i="38" s="1"/>
  <c r="P40" i="37"/>
  <c r="F40" i="37"/>
  <c r="AB27" i="38"/>
  <c r="X27" i="38"/>
  <c r="N27" i="38"/>
  <c r="L25" i="2"/>
  <c r="AE22" i="38"/>
  <c r="T27" i="38"/>
  <c r="H27" i="38"/>
  <c r="Z27" i="38"/>
  <c r="F21" i="41"/>
  <c r="F21" i="43" s="1"/>
  <c r="J21" i="17"/>
  <c r="G21" i="2"/>
  <c r="J27" i="38"/>
  <c r="AC40" i="37"/>
  <c r="AD39" i="37"/>
  <c r="X40" i="38"/>
  <c r="J40" i="38"/>
  <c r="N40" i="38"/>
  <c r="F40" i="38"/>
  <c r="T40" i="38"/>
  <c r="AD39" i="38"/>
  <c r="AC40" i="38"/>
  <c r="AB40" i="38"/>
  <c r="H40" i="38"/>
  <c r="Z40" i="38"/>
  <c r="R40" i="38"/>
  <c r="V40" i="38"/>
  <c r="P40" i="38"/>
  <c r="AF30" i="38"/>
  <c r="J10" i="42"/>
  <c r="J10" i="41"/>
  <c r="I10" i="17"/>
  <c r="I10" i="16" s="1"/>
  <c r="I10" i="2" s="1"/>
  <c r="H10" i="31"/>
  <c r="H10" i="32" s="1"/>
  <c r="J10" i="43"/>
  <c r="E10" i="43"/>
  <c r="F10" i="43" s="1"/>
  <c r="H10" i="43" s="1"/>
  <c r="F10" i="31"/>
  <c r="F10" i="32" s="1"/>
  <c r="E10" i="17"/>
  <c r="E10" i="42"/>
  <c r="F10" i="42" s="1"/>
  <c r="H10" i="42" s="1"/>
  <c r="E10" i="41"/>
  <c r="F10" i="41" s="1"/>
  <c r="H10" i="41" s="1"/>
  <c r="J26" i="21"/>
  <c r="J26" i="41"/>
  <c r="J19" i="43"/>
  <c r="J26" i="43" s="1"/>
  <c r="M19" i="41"/>
  <c r="K117" i="42"/>
  <c r="H20" i="42"/>
  <c r="Z18" i="34"/>
  <c r="N18" i="34"/>
  <c r="X18" i="34"/>
  <c r="L18" i="34"/>
  <c r="P18" i="34"/>
  <c r="AB18" i="34"/>
  <c r="R18" i="34"/>
  <c r="J18" i="34"/>
  <c r="V18" i="34"/>
  <c r="H18" i="34"/>
  <c r="F18" i="34"/>
  <c r="AC18" i="34"/>
  <c r="AD18" i="34" s="1"/>
  <c r="AF18" i="34" s="1"/>
  <c r="T18" i="34"/>
  <c r="M70" i="39"/>
  <c r="M70" i="14"/>
  <c r="AE14" i="46"/>
  <c r="M17" i="43"/>
  <c r="J21" i="43"/>
  <c r="M21" i="41"/>
  <c r="K36" i="39"/>
  <c r="P36" i="39" s="1"/>
  <c r="P36" i="28"/>
  <c r="K36" i="14"/>
  <c r="P36" i="14" s="1"/>
  <c r="O74" i="14"/>
  <c r="S74" i="14"/>
  <c r="N75" i="14"/>
  <c r="F29" i="45"/>
  <c r="AC29" i="45"/>
  <c r="L29" i="45"/>
  <c r="X29" i="45"/>
  <c r="H29" i="45"/>
  <c r="AE35" i="45"/>
  <c r="N29" i="45"/>
  <c r="R29" i="45"/>
  <c r="P29" i="45"/>
  <c r="T29" i="45"/>
  <c r="J29" i="45"/>
  <c r="V29" i="45"/>
  <c r="AB29" i="45"/>
  <c r="Z29" i="45"/>
  <c r="H25" i="16"/>
  <c r="E25" i="2"/>
  <c r="H25" i="2" s="1"/>
  <c r="AE14" i="37"/>
  <c r="J17" i="2"/>
  <c r="K21" i="41"/>
  <c r="H21" i="43"/>
  <c r="K17" i="43"/>
  <c r="AE14" i="45"/>
  <c r="I45" i="41"/>
  <c r="E45" i="43"/>
  <c r="I45" i="43" s="1"/>
  <c r="K75" i="28"/>
  <c r="L75" i="28" s="1"/>
  <c r="P73" i="28"/>
  <c r="K73" i="39"/>
  <c r="P73" i="39" s="1"/>
  <c r="K73" i="14"/>
  <c r="P73" i="14" s="1"/>
  <c r="S75" i="39"/>
  <c r="G20" i="40"/>
  <c r="E25" i="43"/>
  <c r="I25" i="43" s="1"/>
  <c r="I25" i="42"/>
  <c r="AD10" i="35"/>
  <c r="I25" i="32"/>
  <c r="AE22" i="34"/>
  <c r="M40" i="42"/>
  <c r="J47" i="42"/>
  <c r="M47" i="42" s="1"/>
  <c r="H22" i="21"/>
  <c r="R76" i="14"/>
  <c r="C143" i="49"/>
  <c r="G6" i="34"/>
  <c r="G66" i="34" s="1"/>
  <c r="F25" i="42"/>
  <c r="F25" i="43" s="1"/>
  <c r="J25" i="16"/>
  <c r="H33" i="2"/>
  <c r="E38" i="2"/>
  <c r="H38" i="2" s="1"/>
  <c r="I75" i="28"/>
  <c r="J75" i="28" s="1"/>
  <c r="M73" i="28"/>
  <c r="I73" i="14"/>
  <c r="I73" i="39"/>
  <c r="AE14" i="34"/>
  <c r="I17" i="32"/>
  <c r="R13" i="38"/>
  <c r="AC13" i="38"/>
  <c r="P13" i="38"/>
  <c r="F13" i="38"/>
  <c r="J13" i="38"/>
  <c r="V13" i="38"/>
  <c r="AB13" i="38"/>
  <c r="Z13" i="38"/>
  <c r="X13" i="38"/>
  <c r="T13" i="38"/>
  <c r="N13" i="38"/>
  <c r="L13" i="38"/>
  <c r="H13" i="38"/>
  <c r="P39" i="34"/>
  <c r="AC39" i="34"/>
  <c r="AD39" i="34" s="1"/>
  <c r="AF39" i="34" s="1"/>
  <c r="N39" i="34"/>
  <c r="F39" i="34"/>
  <c r="J39" i="34"/>
  <c r="X39" i="34"/>
  <c r="H39" i="34"/>
  <c r="Z39" i="34"/>
  <c r="AB39" i="34"/>
  <c r="T39" i="34"/>
  <c r="L39" i="34"/>
  <c r="V39" i="34"/>
  <c r="R39" i="34"/>
  <c r="G17" i="31"/>
  <c r="E17" i="32"/>
  <c r="E26" i="31"/>
  <c r="H51" i="43"/>
  <c r="P17" i="46"/>
  <c r="R17" i="46"/>
  <c r="AC17" i="46"/>
  <c r="AD17" i="46" s="1"/>
  <c r="AF17" i="46" s="1"/>
  <c r="V17" i="46"/>
  <c r="T17" i="46"/>
  <c r="F17" i="46"/>
  <c r="N17" i="46"/>
  <c r="L17" i="46"/>
  <c r="X17" i="46"/>
  <c r="H17" i="46"/>
  <c r="AB17" i="46"/>
  <c r="J17" i="46"/>
  <c r="Z17" i="46"/>
  <c r="M34" i="14"/>
  <c r="M34" i="39"/>
  <c r="H53" i="43"/>
  <c r="C46" i="51"/>
  <c r="J82" i="40"/>
  <c r="E124" i="51" s="1"/>
  <c r="AE14" i="35"/>
  <c r="K17" i="32"/>
  <c r="AF12" i="45"/>
  <c r="L26" i="41"/>
  <c r="L19" i="43"/>
  <c r="L26" i="43" s="1"/>
  <c r="L40" i="43" s="1"/>
  <c r="L47" i="43" s="1"/>
  <c r="H19" i="43"/>
  <c r="H26" i="43" s="1"/>
  <c r="K19" i="41"/>
  <c r="H26" i="41"/>
  <c r="AC40" i="46"/>
  <c r="AD38" i="46"/>
  <c r="S74" i="28"/>
  <c r="O74" i="28"/>
  <c r="P29" i="37"/>
  <c r="Z29" i="37"/>
  <c r="R29" i="37"/>
  <c r="F29" i="37"/>
  <c r="AB29" i="37"/>
  <c r="X29" i="37"/>
  <c r="J29" i="37"/>
  <c r="T29" i="37"/>
  <c r="H29" i="37"/>
  <c r="V29" i="37"/>
  <c r="N29" i="37"/>
  <c r="L29" i="37"/>
  <c r="AC29" i="37"/>
  <c r="AE35" i="37"/>
  <c r="J82" i="29"/>
  <c r="E124" i="49" s="1"/>
  <c r="Q75" i="14"/>
  <c r="V73" i="14"/>
  <c r="AE35" i="35"/>
  <c r="E6" i="50"/>
  <c r="K88" i="17"/>
  <c r="K19" i="17" s="1"/>
  <c r="K117" i="16"/>
  <c r="K20" i="16" s="1"/>
  <c r="K74" i="2"/>
  <c r="E75" i="50" s="1"/>
  <c r="Z40" i="46"/>
  <c r="N40" i="46"/>
  <c r="J40" i="46"/>
  <c r="F40" i="46"/>
  <c r="L40" i="46"/>
  <c r="P40" i="46"/>
  <c r="X40" i="46"/>
  <c r="R40" i="46"/>
  <c r="H40" i="46"/>
  <c r="AB40" i="46"/>
  <c r="T40" i="46"/>
  <c r="V40" i="46"/>
  <c r="P74" i="28"/>
  <c r="L74" i="28"/>
  <c r="K74" i="14"/>
  <c r="P74" i="14" s="1"/>
  <c r="K74" i="39"/>
  <c r="P74" i="39" s="1"/>
  <c r="G26" i="40"/>
  <c r="I23" i="40"/>
  <c r="L26" i="42"/>
  <c r="L20" i="43"/>
  <c r="C92" i="51"/>
  <c r="K155" i="42"/>
  <c r="G6" i="37"/>
  <c r="G66" i="37" s="1"/>
  <c r="C143" i="50"/>
  <c r="M60" i="14"/>
  <c r="M60" i="39"/>
  <c r="V12" i="46"/>
  <c r="H12" i="46"/>
  <c r="X12" i="46"/>
  <c r="R12" i="46"/>
  <c r="AB12" i="46"/>
  <c r="T12" i="46"/>
  <c r="F12" i="46"/>
  <c r="N12" i="46"/>
  <c r="J12" i="46"/>
  <c r="P12" i="46"/>
  <c r="AC12" i="46"/>
  <c r="AD12" i="46" s="1"/>
  <c r="AF12" i="46" s="1"/>
  <c r="Z12" i="46"/>
  <c r="L12" i="46"/>
  <c r="N75" i="28"/>
  <c r="O75" i="28" s="1"/>
  <c r="H21" i="29" s="1"/>
  <c r="S73" i="28"/>
  <c r="K22" i="21"/>
  <c r="T31" i="45"/>
  <c r="F31" i="45"/>
  <c r="P31" i="45"/>
  <c r="AB31" i="45"/>
  <c r="J31" i="45"/>
  <c r="H31" i="45"/>
  <c r="AC31" i="45"/>
  <c r="AD31" i="45" s="1"/>
  <c r="AF31" i="45" s="1"/>
  <c r="X31" i="45"/>
  <c r="N31" i="45"/>
  <c r="L31" i="45"/>
  <c r="R31" i="45"/>
  <c r="Z31" i="45"/>
  <c r="V31" i="45"/>
  <c r="K10" i="17"/>
  <c r="K10" i="16" s="1"/>
  <c r="K10" i="2" s="1"/>
  <c r="L10" i="41"/>
  <c r="L10" i="42"/>
  <c r="L10" i="43"/>
  <c r="J10" i="31"/>
  <c r="J10" i="32" s="1"/>
  <c r="K62" i="14"/>
  <c r="P62" i="14" s="1"/>
  <c r="K62" i="39"/>
  <c r="P62" i="39" s="1"/>
  <c r="P62" i="28"/>
  <c r="G25" i="2"/>
  <c r="Z38" i="34"/>
  <c r="P38" i="34"/>
  <c r="N38" i="34"/>
  <c r="R38" i="34"/>
  <c r="L38" i="34"/>
  <c r="H38" i="34"/>
  <c r="F38" i="34"/>
  <c r="AB38" i="34"/>
  <c r="T38" i="34"/>
  <c r="V38" i="34"/>
  <c r="X38" i="34"/>
  <c r="AE40" i="34"/>
  <c r="J38" i="34"/>
  <c r="AC38" i="34"/>
  <c r="I62" i="14"/>
  <c r="I62" i="39"/>
  <c r="M62" i="28"/>
  <c r="Z34" i="37"/>
  <c r="P34" i="37"/>
  <c r="H34" i="37"/>
  <c r="N34" i="37"/>
  <c r="AC34" i="37"/>
  <c r="AD34" i="37" s="1"/>
  <c r="AF34" i="37" s="1"/>
  <c r="R34" i="37"/>
  <c r="J34" i="37"/>
  <c r="L34" i="37"/>
  <c r="V34" i="37"/>
  <c r="X34" i="37"/>
  <c r="F34" i="37"/>
  <c r="T34" i="37"/>
  <c r="AB34" i="37"/>
  <c r="H20" i="40"/>
  <c r="V75" i="39"/>
  <c r="AE10" i="46"/>
  <c r="M13" i="43"/>
  <c r="H82" i="40"/>
  <c r="N40" i="35" l="1"/>
  <c r="R40" i="35"/>
  <c r="L40" i="35"/>
  <c r="Z40" i="35"/>
  <c r="AC35" i="34"/>
  <c r="D48" i="35" s="1"/>
  <c r="Z48" i="35" s="1"/>
  <c r="Z35" i="34"/>
  <c r="H35" i="34"/>
  <c r="J35" i="34"/>
  <c r="X35" i="34"/>
  <c r="AB35" i="34"/>
  <c r="R35" i="34"/>
  <c r="P35" i="34"/>
  <c r="T35" i="34"/>
  <c r="K82" i="29"/>
  <c r="R75" i="28"/>
  <c r="J21" i="29" s="1"/>
  <c r="J23" i="29" s="1"/>
  <c r="J26" i="29" s="1"/>
  <c r="M49" i="14"/>
  <c r="L75" i="39"/>
  <c r="L75" i="14"/>
  <c r="G21" i="29"/>
  <c r="I21" i="29" s="1"/>
  <c r="M74" i="39"/>
  <c r="M74" i="14"/>
  <c r="J74" i="39"/>
  <c r="J74" i="14"/>
  <c r="J75" i="14"/>
  <c r="J76" i="28"/>
  <c r="J75" i="39"/>
  <c r="F35" i="34"/>
  <c r="N35" i="34"/>
  <c r="N48" i="35"/>
  <c r="AE48" i="35"/>
  <c r="J48" i="35"/>
  <c r="X48" i="35"/>
  <c r="V22" i="46"/>
  <c r="AF35" i="38"/>
  <c r="F22" i="46"/>
  <c r="T22" i="46"/>
  <c r="L22" i="46"/>
  <c r="T18" i="35"/>
  <c r="X18" i="35"/>
  <c r="P22" i="46"/>
  <c r="N22" i="46"/>
  <c r="AC22" i="46"/>
  <c r="AD22" i="46" s="1"/>
  <c r="AF22" i="46" s="1"/>
  <c r="R22" i="46"/>
  <c r="F35" i="46"/>
  <c r="X22" i="46"/>
  <c r="Z35" i="46"/>
  <c r="Z22" i="46"/>
  <c r="J22" i="46"/>
  <c r="AB22" i="46"/>
  <c r="E17" i="2"/>
  <c r="H17" i="2" s="1"/>
  <c r="H17" i="16"/>
  <c r="I17" i="42"/>
  <c r="E17" i="43"/>
  <c r="I17" i="43" s="1"/>
  <c r="R18" i="35"/>
  <c r="N18" i="35"/>
  <c r="J18" i="35"/>
  <c r="F18" i="35"/>
  <c r="Z18" i="35"/>
  <c r="H18" i="35"/>
  <c r="V18" i="35"/>
  <c r="AC18" i="35"/>
  <c r="AD18" i="35" s="1"/>
  <c r="AF18" i="35" s="1"/>
  <c r="E47" i="30"/>
  <c r="AB18" i="35"/>
  <c r="P18" i="35"/>
  <c r="T35" i="46"/>
  <c r="P35" i="46"/>
  <c r="X35" i="46"/>
  <c r="R40" i="45"/>
  <c r="X40" i="45"/>
  <c r="J40" i="45"/>
  <c r="T40" i="45"/>
  <c r="N40" i="45"/>
  <c r="Z40" i="45"/>
  <c r="F40" i="45"/>
  <c r="P40" i="45"/>
  <c r="V40" i="45"/>
  <c r="L40" i="45"/>
  <c r="H40" i="45"/>
  <c r="AB40" i="45"/>
  <c r="AE22" i="45"/>
  <c r="K25" i="43"/>
  <c r="AD39" i="45"/>
  <c r="AC40" i="45"/>
  <c r="AB35" i="46"/>
  <c r="AC35" i="46"/>
  <c r="R35" i="46"/>
  <c r="J35" i="46"/>
  <c r="L35" i="46"/>
  <c r="N35" i="46"/>
  <c r="H35" i="46"/>
  <c r="Z35" i="38"/>
  <c r="J35" i="38"/>
  <c r="AB35" i="38"/>
  <c r="AC35" i="38"/>
  <c r="AD35" i="38"/>
  <c r="J21" i="2"/>
  <c r="AE18" i="37"/>
  <c r="T35" i="38"/>
  <c r="C124" i="50"/>
  <c r="I82" i="21"/>
  <c r="AC10" i="37"/>
  <c r="AD10" i="37" s="1"/>
  <c r="AF10" i="37" s="1"/>
  <c r="P10" i="37"/>
  <c r="F10" i="37"/>
  <c r="H10" i="37"/>
  <c r="Z10" i="37"/>
  <c r="AB10" i="37"/>
  <c r="L10" i="37"/>
  <c r="J10" i="37"/>
  <c r="R10" i="37"/>
  <c r="V10" i="37"/>
  <c r="X10" i="37"/>
  <c r="T10" i="37"/>
  <c r="N10" i="37"/>
  <c r="F35" i="38"/>
  <c r="P35" i="38"/>
  <c r="V35" i="38"/>
  <c r="N35" i="38"/>
  <c r="R22" i="38"/>
  <c r="AC22" i="38"/>
  <c r="AD22" i="38" s="1"/>
  <c r="AF22" i="38" s="1"/>
  <c r="T22" i="38"/>
  <c r="N22" i="38"/>
  <c r="X22" i="38"/>
  <c r="AB22" i="38"/>
  <c r="H22" i="38"/>
  <c r="V22" i="38"/>
  <c r="L22" i="38"/>
  <c r="J22" i="38"/>
  <c r="P22" i="38"/>
  <c r="Z22" i="38"/>
  <c r="F22" i="38"/>
  <c r="H35" i="38"/>
  <c r="L35" i="38"/>
  <c r="R35" i="38"/>
  <c r="AF39" i="37"/>
  <c r="AF40" i="37" s="1"/>
  <c r="AD40" i="37"/>
  <c r="P14" i="38"/>
  <c r="F14" i="38"/>
  <c r="V14" i="38"/>
  <c r="Z14" i="38"/>
  <c r="L14" i="38"/>
  <c r="AC14" i="38"/>
  <c r="AD14" i="38" s="1"/>
  <c r="AF14" i="38" s="1"/>
  <c r="T14" i="38"/>
  <c r="AB14" i="38"/>
  <c r="J14" i="38"/>
  <c r="R14" i="38"/>
  <c r="H14" i="38"/>
  <c r="X14" i="38"/>
  <c r="N14" i="38"/>
  <c r="AD40" i="38"/>
  <c r="AF39" i="38"/>
  <c r="AF40" i="38" s="1"/>
  <c r="E10" i="16"/>
  <c r="G10" i="17"/>
  <c r="H40" i="43"/>
  <c r="K26" i="43"/>
  <c r="AC35" i="35"/>
  <c r="K19" i="2"/>
  <c r="K26" i="2" s="1"/>
  <c r="K26" i="17"/>
  <c r="J35" i="37"/>
  <c r="V35" i="37"/>
  <c r="T35" i="37"/>
  <c r="Z35" i="37"/>
  <c r="N35" i="37"/>
  <c r="AB35" i="37"/>
  <c r="R35" i="37"/>
  <c r="L35" i="37"/>
  <c r="X35" i="37"/>
  <c r="P35" i="37"/>
  <c r="H35" i="37"/>
  <c r="F35" i="37"/>
  <c r="R40" i="34"/>
  <c r="Z40" i="34"/>
  <c r="L40" i="34"/>
  <c r="J40" i="34"/>
  <c r="T40" i="34"/>
  <c r="N40" i="34"/>
  <c r="X40" i="34"/>
  <c r="V40" i="34"/>
  <c r="P40" i="34"/>
  <c r="H40" i="34"/>
  <c r="AB40" i="34"/>
  <c r="F40" i="34"/>
  <c r="AD29" i="37"/>
  <c r="AC35" i="37"/>
  <c r="I22" i="21"/>
  <c r="H23" i="21"/>
  <c r="N14" i="35"/>
  <c r="H14" i="35"/>
  <c r="T14" i="35"/>
  <c r="AB14" i="35"/>
  <c r="F14" i="35"/>
  <c r="V14" i="35"/>
  <c r="R14" i="35"/>
  <c r="P14" i="35"/>
  <c r="AC14" i="35"/>
  <c r="Z14" i="35"/>
  <c r="J14" i="35"/>
  <c r="X14" i="35"/>
  <c r="L14" i="35"/>
  <c r="AF10" i="34"/>
  <c r="N22" i="34"/>
  <c r="H22" i="34"/>
  <c r="F22" i="34"/>
  <c r="P22" i="34"/>
  <c r="T22" i="34"/>
  <c r="V22" i="34"/>
  <c r="Z22" i="34"/>
  <c r="J22" i="34"/>
  <c r="R22" i="34"/>
  <c r="L22" i="34"/>
  <c r="AC22" i="34"/>
  <c r="AD22" i="34" s="1"/>
  <c r="AF22" i="34" s="1"/>
  <c r="X22" i="34"/>
  <c r="AB22" i="34"/>
  <c r="N14" i="37"/>
  <c r="P14" i="37"/>
  <c r="AB14" i="37"/>
  <c r="T14" i="37"/>
  <c r="J14" i="37"/>
  <c r="L14" i="37"/>
  <c r="AC14" i="37"/>
  <c r="V14" i="37"/>
  <c r="Z14" i="37"/>
  <c r="X14" i="37"/>
  <c r="R14" i="37"/>
  <c r="H14" i="37"/>
  <c r="F14" i="37"/>
  <c r="AE18" i="46"/>
  <c r="M21" i="43"/>
  <c r="C144" i="50"/>
  <c r="I6" i="37"/>
  <c r="I66" i="37" s="1"/>
  <c r="J14" i="46"/>
  <c r="F14" i="46"/>
  <c r="AC14" i="46"/>
  <c r="AD14" i="46" s="1"/>
  <c r="AF14" i="46" s="1"/>
  <c r="L14" i="46"/>
  <c r="Z14" i="46"/>
  <c r="V14" i="46"/>
  <c r="H14" i="46"/>
  <c r="T14" i="46"/>
  <c r="X14" i="46"/>
  <c r="N14" i="46"/>
  <c r="R14" i="46"/>
  <c r="AB14" i="46"/>
  <c r="P14" i="46"/>
  <c r="AF10" i="35"/>
  <c r="H20" i="43"/>
  <c r="K20" i="42"/>
  <c r="H26" i="42"/>
  <c r="J25" i="2"/>
  <c r="AE22" i="37"/>
  <c r="P35" i="45"/>
  <c r="R35" i="45"/>
  <c r="H35" i="45"/>
  <c r="V35" i="45"/>
  <c r="F35" i="45"/>
  <c r="L35" i="45"/>
  <c r="T35" i="45"/>
  <c r="Z35" i="45"/>
  <c r="AB35" i="45"/>
  <c r="X35" i="45"/>
  <c r="J35" i="45"/>
  <c r="N35" i="45"/>
  <c r="S75" i="28"/>
  <c r="H20" i="29"/>
  <c r="AD35" i="46"/>
  <c r="AF26" i="46"/>
  <c r="AF35" i="46" s="1"/>
  <c r="AD40" i="46"/>
  <c r="AF38" i="46"/>
  <c r="AF40" i="46" s="1"/>
  <c r="L14" i="34"/>
  <c r="N14" i="34"/>
  <c r="X14" i="34"/>
  <c r="J14" i="34"/>
  <c r="R14" i="34"/>
  <c r="T14" i="34"/>
  <c r="V14" i="34"/>
  <c r="AB14" i="34"/>
  <c r="AC14" i="34"/>
  <c r="F14" i="34"/>
  <c r="P14" i="34"/>
  <c r="H14" i="34"/>
  <c r="Z14" i="34"/>
  <c r="Z35" i="35"/>
  <c r="N35" i="35"/>
  <c r="T35" i="35"/>
  <c r="L35" i="35"/>
  <c r="X35" i="35"/>
  <c r="AB35" i="35"/>
  <c r="R35" i="35"/>
  <c r="H35" i="35"/>
  <c r="V35" i="35"/>
  <c r="F35" i="35"/>
  <c r="P35" i="35"/>
  <c r="J35" i="35"/>
  <c r="AD35" i="34"/>
  <c r="AF35" i="34"/>
  <c r="G22" i="29"/>
  <c r="L74" i="14"/>
  <c r="L74" i="39"/>
  <c r="L76" i="28"/>
  <c r="E84" i="51"/>
  <c r="L40" i="42"/>
  <c r="L47" i="42" s="1"/>
  <c r="H22" i="29"/>
  <c r="O76" i="28"/>
  <c r="B84" i="50"/>
  <c r="B84" i="51"/>
  <c r="E40" i="31"/>
  <c r="B84" i="49"/>
  <c r="M62" i="39"/>
  <c r="M62" i="14"/>
  <c r="V75" i="14"/>
  <c r="H20" i="21"/>
  <c r="C81" i="51"/>
  <c r="K26" i="41"/>
  <c r="H40" i="41"/>
  <c r="G17" i="32"/>
  <c r="AD29" i="45"/>
  <c r="AC35" i="45"/>
  <c r="I6" i="45"/>
  <c r="I66" i="45" s="1"/>
  <c r="C144" i="51"/>
  <c r="G20" i="29"/>
  <c r="P75" i="28"/>
  <c r="K75" i="14"/>
  <c r="P75" i="14" s="1"/>
  <c r="K75" i="39"/>
  <c r="P75" i="39" s="1"/>
  <c r="M26" i="43"/>
  <c r="J40" i="43"/>
  <c r="I6" i="34"/>
  <c r="I66" i="34" s="1"/>
  <c r="C144" i="49"/>
  <c r="M19" i="43"/>
  <c r="AE16" i="46"/>
  <c r="AE23" i="46" s="1"/>
  <c r="K82" i="40"/>
  <c r="D124" i="51"/>
  <c r="AE16" i="45"/>
  <c r="AE23" i="45" s="1"/>
  <c r="K19" i="43"/>
  <c r="M26" i="41"/>
  <c r="D81" i="51"/>
  <c r="J40" i="41"/>
  <c r="AB10" i="46"/>
  <c r="T10" i="46"/>
  <c r="Z10" i="46"/>
  <c r="R10" i="46"/>
  <c r="L10" i="46"/>
  <c r="P10" i="46"/>
  <c r="X10" i="46"/>
  <c r="F10" i="46"/>
  <c r="AC10" i="46"/>
  <c r="V10" i="46"/>
  <c r="H10" i="46"/>
  <c r="N10" i="46"/>
  <c r="J10" i="46"/>
  <c r="AC40" i="34"/>
  <c r="AD38" i="34"/>
  <c r="E81" i="51"/>
  <c r="L40" i="41"/>
  <c r="L47" i="41" s="1"/>
  <c r="L81" i="43" s="1"/>
  <c r="M73" i="14"/>
  <c r="M73" i="39"/>
  <c r="T14" i="45"/>
  <c r="L14" i="45"/>
  <c r="R14" i="45"/>
  <c r="F14" i="45"/>
  <c r="H14" i="45"/>
  <c r="AB14" i="45"/>
  <c r="X14" i="45"/>
  <c r="V14" i="45"/>
  <c r="P14" i="45"/>
  <c r="Z14" i="45"/>
  <c r="N14" i="45"/>
  <c r="AC14" i="45"/>
  <c r="J14" i="45"/>
  <c r="G20" i="21"/>
  <c r="S75" i="14"/>
  <c r="K20" i="2"/>
  <c r="K26" i="16"/>
  <c r="M75" i="28"/>
  <c r="I75" i="39"/>
  <c r="I75" i="14"/>
  <c r="I20" i="40"/>
  <c r="K20" i="40"/>
  <c r="AD13" i="38"/>
  <c r="D6" i="50"/>
  <c r="I88" i="17"/>
  <c r="I74" i="2"/>
  <c r="D75" i="50" s="1"/>
  <c r="I117" i="16"/>
  <c r="AE18" i="45"/>
  <c r="K21" i="43"/>
  <c r="O76" i="14"/>
  <c r="G22" i="21"/>
  <c r="G23" i="21" s="1"/>
  <c r="G26" i="21" s="1"/>
  <c r="K21" i="29" l="1"/>
  <c r="AB48" i="35"/>
  <c r="AG48" i="35"/>
  <c r="AH48" i="35"/>
  <c r="H48" i="35"/>
  <c r="P48" i="35"/>
  <c r="R48" i="35"/>
  <c r="F48" i="35"/>
  <c r="T48" i="35"/>
  <c r="V48" i="35"/>
  <c r="L48" i="35"/>
  <c r="R76" i="28"/>
  <c r="G23" i="29"/>
  <c r="G26" i="29" s="1"/>
  <c r="B6" i="51"/>
  <c r="B6" i="50"/>
  <c r="B6" i="49"/>
  <c r="E74" i="32"/>
  <c r="F26" i="29"/>
  <c r="J76" i="14"/>
  <c r="F26" i="21" s="1"/>
  <c r="J76" i="39"/>
  <c r="F26" i="40" s="1"/>
  <c r="E56" i="30"/>
  <c r="E81" i="32"/>
  <c r="AF39" i="45"/>
  <c r="AF40" i="45" s="1"/>
  <c r="AD40" i="45"/>
  <c r="AB22" i="45"/>
  <c r="L22" i="45"/>
  <c r="F22" i="45"/>
  <c r="T22" i="45"/>
  <c r="Z22" i="45"/>
  <c r="AC22" i="45"/>
  <c r="AD22" i="45" s="1"/>
  <c r="AF22" i="45" s="1"/>
  <c r="R22" i="45"/>
  <c r="X22" i="45"/>
  <c r="V22" i="45"/>
  <c r="J22" i="45"/>
  <c r="H22" i="45"/>
  <c r="P22" i="45"/>
  <c r="N22" i="45"/>
  <c r="AC18" i="37"/>
  <c r="AD18" i="37" s="1"/>
  <c r="AF18" i="37" s="1"/>
  <c r="P18" i="37"/>
  <c r="AB18" i="37"/>
  <c r="V18" i="37"/>
  <c r="F18" i="37"/>
  <c r="H18" i="37"/>
  <c r="T18" i="37"/>
  <c r="R18" i="37"/>
  <c r="X18" i="37"/>
  <c r="Z18" i="37"/>
  <c r="J18" i="37"/>
  <c r="N18" i="37"/>
  <c r="L18" i="37"/>
  <c r="E10" i="2"/>
  <c r="G10" i="16"/>
  <c r="G10" i="2" s="1"/>
  <c r="V23" i="46"/>
  <c r="X23" i="46"/>
  <c r="H23" i="46"/>
  <c r="AB23" i="46"/>
  <c r="L23" i="46"/>
  <c r="Z23" i="46"/>
  <c r="J23" i="46"/>
  <c r="F23" i="46"/>
  <c r="R23" i="46"/>
  <c r="T23" i="46"/>
  <c r="N23" i="46"/>
  <c r="P23" i="46"/>
  <c r="N23" i="45"/>
  <c r="R23" i="45"/>
  <c r="P23" i="45"/>
  <c r="H23" i="45"/>
  <c r="AB23" i="45"/>
  <c r="F23" i="45"/>
  <c r="T23" i="45"/>
  <c r="V23" i="45"/>
  <c r="X23" i="45"/>
  <c r="J23" i="45"/>
  <c r="Z23" i="45"/>
  <c r="L23" i="45"/>
  <c r="AB18" i="45"/>
  <c r="L18" i="45"/>
  <c r="F18" i="45"/>
  <c r="Z18" i="45"/>
  <c r="N18" i="45"/>
  <c r="V18" i="45"/>
  <c r="X18" i="45"/>
  <c r="T18" i="45"/>
  <c r="P18" i="45"/>
  <c r="H18" i="45"/>
  <c r="J18" i="45"/>
  <c r="R18" i="45"/>
  <c r="AC18" i="45"/>
  <c r="AD18" i="45" s="1"/>
  <c r="AF18" i="45" s="1"/>
  <c r="L117" i="16"/>
  <c r="I20" i="16"/>
  <c r="AD14" i="34"/>
  <c r="AD14" i="35"/>
  <c r="E40" i="32"/>
  <c r="E47" i="32" s="1"/>
  <c r="T16" i="45"/>
  <c r="R16" i="45"/>
  <c r="Z16" i="45"/>
  <c r="AC16" i="45"/>
  <c r="AD16" i="45" s="1"/>
  <c r="AF16" i="45" s="1"/>
  <c r="J16" i="45"/>
  <c r="F16" i="45"/>
  <c r="V16" i="45"/>
  <c r="AB16" i="45"/>
  <c r="P16" i="45"/>
  <c r="L16" i="45"/>
  <c r="N16" i="45"/>
  <c r="X16" i="45"/>
  <c r="H16" i="45"/>
  <c r="K40" i="41"/>
  <c r="H47" i="41"/>
  <c r="AF13" i="38"/>
  <c r="E79" i="51"/>
  <c r="C145" i="50"/>
  <c r="K6" i="37"/>
  <c r="K66" i="37" s="1"/>
  <c r="AD35" i="45"/>
  <c r="AF29" i="45"/>
  <c r="AF35" i="45" s="1"/>
  <c r="E84" i="50"/>
  <c r="K40" i="16"/>
  <c r="K47" i="16" s="1"/>
  <c r="M75" i="39"/>
  <c r="M75" i="14"/>
  <c r="K20" i="21"/>
  <c r="I20" i="21"/>
  <c r="AD40" i="34"/>
  <c r="AF38" i="34"/>
  <c r="AF40" i="34" s="1"/>
  <c r="H26" i="21"/>
  <c r="I23" i="21"/>
  <c r="K23" i="21"/>
  <c r="H18" i="46"/>
  <c r="AC18" i="46"/>
  <c r="AD18" i="46" s="1"/>
  <c r="AF18" i="46" s="1"/>
  <c r="Z18" i="46"/>
  <c r="T18" i="46"/>
  <c r="V18" i="46"/>
  <c r="J18" i="46"/>
  <c r="X18" i="46"/>
  <c r="P18" i="46"/>
  <c r="AB18" i="46"/>
  <c r="N18" i="46"/>
  <c r="R18" i="46"/>
  <c r="F18" i="46"/>
  <c r="L18" i="46"/>
  <c r="I20" i="29"/>
  <c r="K20" i="29"/>
  <c r="AD35" i="37"/>
  <c r="AF29" i="37"/>
  <c r="AF35" i="37" s="1"/>
  <c r="K6" i="45"/>
  <c r="K66" i="45" s="1"/>
  <c r="C145" i="51"/>
  <c r="J47" i="41"/>
  <c r="M40" i="41"/>
  <c r="X22" i="37"/>
  <c r="J22" i="37"/>
  <c r="H22" i="37"/>
  <c r="L22" i="37"/>
  <c r="AC22" i="37"/>
  <c r="AD22" i="37" s="1"/>
  <c r="AF22" i="37" s="1"/>
  <c r="T22" i="37"/>
  <c r="R22" i="37"/>
  <c r="AB22" i="37"/>
  <c r="V22" i="37"/>
  <c r="P22" i="37"/>
  <c r="F22" i="37"/>
  <c r="Z22" i="37"/>
  <c r="N22" i="37"/>
  <c r="K6" i="34"/>
  <c r="K66" i="34" s="1"/>
  <c r="C145" i="49"/>
  <c r="M40" i="43"/>
  <c r="J47" i="43"/>
  <c r="M47" i="43" s="1"/>
  <c r="K26" i="42"/>
  <c r="C84" i="51"/>
  <c r="H40" i="42"/>
  <c r="AD14" i="45"/>
  <c r="E47" i="31"/>
  <c r="E56" i="31" s="1"/>
  <c r="AE17" i="45"/>
  <c r="K20" i="43"/>
  <c r="E81" i="50"/>
  <c r="K40" i="17"/>
  <c r="K47" i="17" s="1"/>
  <c r="F16" i="46"/>
  <c r="L16" i="46"/>
  <c r="P16" i="46"/>
  <c r="V16" i="46"/>
  <c r="N16" i="46"/>
  <c r="H16" i="46"/>
  <c r="R16" i="46"/>
  <c r="Z16" i="46"/>
  <c r="X16" i="46"/>
  <c r="AB16" i="46"/>
  <c r="T16" i="46"/>
  <c r="J16" i="46"/>
  <c r="AC16" i="46"/>
  <c r="AD16" i="46" s="1"/>
  <c r="AF16" i="46" s="1"/>
  <c r="AD35" i="35"/>
  <c r="AF35" i="35"/>
  <c r="H117" i="31"/>
  <c r="H88" i="30"/>
  <c r="D6" i="49"/>
  <c r="H74" i="32"/>
  <c r="D75" i="49" s="1"/>
  <c r="L88" i="17"/>
  <c r="I19" i="17"/>
  <c r="F74" i="2"/>
  <c r="C6" i="50"/>
  <c r="G117" i="16"/>
  <c r="G74" i="2"/>
  <c r="C75" i="50" s="1"/>
  <c r="G88" i="17"/>
  <c r="C6" i="49"/>
  <c r="L76" i="39"/>
  <c r="E74" i="43" s="1"/>
  <c r="L76" i="14"/>
  <c r="F74" i="32"/>
  <c r="F88" i="30"/>
  <c r="G88" i="30" s="1"/>
  <c r="F117" i="31"/>
  <c r="AD10" i="46"/>
  <c r="K22" i="29"/>
  <c r="I22" i="29"/>
  <c r="H23" i="29"/>
  <c r="AD14" i="37"/>
  <c r="K40" i="43"/>
  <c r="H47" i="43"/>
  <c r="K47" i="43" s="1"/>
  <c r="J88" i="30" l="1"/>
  <c r="J19" i="30" s="1"/>
  <c r="J117" i="31"/>
  <c r="J20" i="31" s="1"/>
  <c r="E6" i="49"/>
  <c r="J74" i="32"/>
  <c r="E75" i="49" s="1"/>
  <c r="B75" i="50"/>
  <c r="B75" i="49"/>
  <c r="B75" i="51"/>
  <c r="E71" i="30"/>
  <c r="F50" i="30"/>
  <c r="G50" i="30" s="1"/>
  <c r="B49" i="49"/>
  <c r="B49" i="50"/>
  <c r="B49" i="51"/>
  <c r="B79" i="49"/>
  <c r="B79" i="50"/>
  <c r="B79" i="51"/>
  <c r="AC23" i="46"/>
  <c r="AC64" i="46" s="1"/>
  <c r="AC23" i="45"/>
  <c r="AC64" i="45" s="1"/>
  <c r="C146" i="49"/>
  <c r="M6" i="34"/>
  <c r="M66" i="34" s="1"/>
  <c r="C146" i="50"/>
  <c r="M6" i="37"/>
  <c r="M66" i="37" s="1"/>
  <c r="AF14" i="35"/>
  <c r="G20" i="16"/>
  <c r="J117" i="16"/>
  <c r="F117" i="42"/>
  <c r="I117" i="42" s="1"/>
  <c r="L20" i="16"/>
  <c r="I26" i="16"/>
  <c r="I20" i="2"/>
  <c r="AF14" i="37"/>
  <c r="K81" i="2"/>
  <c r="K47" i="41"/>
  <c r="H81" i="43"/>
  <c r="M47" i="41"/>
  <c r="J81" i="43"/>
  <c r="AF14" i="34"/>
  <c r="L19" i="17"/>
  <c r="I26" i="17"/>
  <c r="I19" i="2"/>
  <c r="F88" i="41"/>
  <c r="G19" i="17"/>
  <c r="J88" i="17"/>
  <c r="H19" i="30"/>
  <c r="K88" i="30"/>
  <c r="AD23" i="45"/>
  <c r="AF14" i="45"/>
  <c r="AF23" i="45" s="1"/>
  <c r="F17" i="45"/>
  <c r="V17" i="45"/>
  <c r="R17" i="45"/>
  <c r="Z17" i="45"/>
  <c r="H17" i="45"/>
  <c r="J17" i="45"/>
  <c r="N17" i="45"/>
  <c r="T17" i="45"/>
  <c r="L17" i="45"/>
  <c r="AC17" i="45"/>
  <c r="AD17" i="45" s="1"/>
  <c r="AF17" i="45" s="1"/>
  <c r="P17" i="45"/>
  <c r="AB17" i="45"/>
  <c r="X17" i="45"/>
  <c r="AD23" i="46"/>
  <c r="AF10" i="46"/>
  <c r="AF23" i="46" s="1"/>
  <c r="E117" i="42"/>
  <c r="I117" i="31"/>
  <c r="E117" i="16"/>
  <c r="H117" i="16" s="1"/>
  <c r="F20" i="31"/>
  <c r="H47" i="42"/>
  <c r="K47" i="42" s="1"/>
  <c r="K40" i="42"/>
  <c r="H26" i="29"/>
  <c r="K23" i="29"/>
  <c r="I23" i="29"/>
  <c r="H20" i="31"/>
  <c r="K117" i="31"/>
  <c r="C146" i="51"/>
  <c r="M6" i="45"/>
  <c r="M66" i="45" s="1"/>
  <c r="E88" i="41"/>
  <c r="I88" i="41" s="1"/>
  <c r="I88" i="30"/>
  <c r="F19" i="30"/>
  <c r="G19" i="30" s="1"/>
  <c r="E74" i="2"/>
  <c r="C75" i="49"/>
  <c r="J26" i="31" l="1"/>
  <c r="J20" i="32"/>
  <c r="J26" i="30"/>
  <c r="J19" i="32"/>
  <c r="J26" i="32" s="1"/>
  <c r="J40" i="32" s="1"/>
  <c r="J47" i="32" s="1"/>
  <c r="B59" i="49"/>
  <c r="B59" i="50"/>
  <c r="E71" i="32"/>
  <c r="B59" i="51"/>
  <c r="C43" i="49"/>
  <c r="C45" i="49" s="1"/>
  <c r="E50" i="17"/>
  <c r="F50" i="17" s="1"/>
  <c r="E50" i="41"/>
  <c r="H19" i="32"/>
  <c r="K19" i="30"/>
  <c r="H26" i="30"/>
  <c r="F19" i="41"/>
  <c r="G19" i="2"/>
  <c r="G26" i="17"/>
  <c r="J19" i="17"/>
  <c r="I40" i="16"/>
  <c r="L26" i="16"/>
  <c r="D84" i="50"/>
  <c r="O6" i="45"/>
  <c r="O66" i="45" s="1"/>
  <c r="C147" i="51"/>
  <c r="C79" i="51"/>
  <c r="E79" i="50"/>
  <c r="L20" i="2"/>
  <c r="AE17" i="38"/>
  <c r="AE16" i="38"/>
  <c r="L19" i="2"/>
  <c r="I26" i="2"/>
  <c r="F20" i="32"/>
  <c r="G20" i="32" s="1"/>
  <c r="F26" i="31"/>
  <c r="G26" i="31" s="1"/>
  <c r="E20" i="42"/>
  <c r="E20" i="16"/>
  <c r="I19" i="30"/>
  <c r="E19" i="41"/>
  <c r="E19" i="17"/>
  <c r="F26" i="30"/>
  <c r="G26" i="30" s="1"/>
  <c r="F19" i="32"/>
  <c r="L26" i="17"/>
  <c r="D81" i="50"/>
  <c r="I40" i="17"/>
  <c r="J20" i="16"/>
  <c r="F20" i="42"/>
  <c r="G20" i="2"/>
  <c r="G26" i="16"/>
  <c r="K20" i="31"/>
  <c r="H20" i="32"/>
  <c r="H26" i="31"/>
  <c r="C147" i="50"/>
  <c r="O6" i="37"/>
  <c r="O66" i="37" s="1"/>
  <c r="O6" i="34"/>
  <c r="O66" i="34" s="1"/>
  <c r="C147" i="49"/>
  <c r="D79" i="51"/>
  <c r="B68" i="51"/>
  <c r="B68" i="50"/>
  <c r="F50" i="31"/>
  <c r="G50" i="31" s="1"/>
  <c r="E64" i="31"/>
  <c r="E90" i="31" s="1"/>
  <c r="B68" i="49"/>
  <c r="E56" i="32"/>
  <c r="J40" i="30" l="1"/>
  <c r="J47" i="30" s="1"/>
  <c r="J81" i="32" s="1"/>
  <c r="E79" i="49" s="1"/>
  <c r="E81" i="49"/>
  <c r="E84" i="49"/>
  <c r="J40" i="31"/>
  <c r="J47" i="31" s="1"/>
  <c r="H26" i="32"/>
  <c r="F26" i="32"/>
  <c r="G26" i="32" s="1"/>
  <c r="G19" i="32"/>
  <c r="G50" i="41"/>
  <c r="G52" i="41" s="1"/>
  <c r="G55" i="41" s="1"/>
  <c r="G56" i="41" s="1"/>
  <c r="H50" i="41"/>
  <c r="E72" i="32"/>
  <c r="G50" i="17"/>
  <c r="F52" i="17"/>
  <c r="F55" i="17" s="1"/>
  <c r="F56" i="17" s="1"/>
  <c r="J20" i="2"/>
  <c r="AE17" i="37"/>
  <c r="F20" i="43"/>
  <c r="F26" i="42"/>
  <c r="F40" i="42" s="1"/>
  <c r="F47" i="42" s="1"/>
  <c r="C62" i="49"/>
  <c r="C64" i="49" s="1"/>
  <c r="E50" i="16"/>
  <c r="E50" i="42"/>
  <c r="F50" i="32"/>
  <c r="G50" i="32" s="1"/>
  <c r="E26" i="17"/>
  <c r="H26" i="17" s="1"/>
  <c r="E26" i="41"/>
  <c r="I26" i="41" s="1"/>
  <c r="I26" i="30"/>
  <c r="C81" i="49"/>
  <c r="F40" i="30"/>
  <c r="G40" i="30" s="1"/>
  <c r="Q6" i="45"/>
  <c r="Q66" i="45" s="1"/>
  <c r="C148" i="51"/>
  <c r="J26" i="16"/>
  <c r="G40" i="16"/>
  <c r="C84" i="50"/>
  <c r="L40" i="17"/>
  <c r="I47" i="17"/>
  <c r="I26" i="31"/>
  <c r="F40" i="31"/>
  <c r="G40" i="31" s="1"/>
  <c r="E26" i="16"/>
  <c r="H26" i="16" s="1"/>
  <c r="E26" i="42"/>
  <c r="I26" i="42" s="1"/>
  <c r="C84" i="49"/>
  <c r="E64" i="32"/>
  <c r="E19" i="2"/>
  <c r="H19" i="17"/>
  <c r="E19" i="43"/>
  <c r="I19" i="41"/>
  <c r="L26" i="2"/>
  <c r="J19" i="2"/>
  <c r="AE16" i="37"/>
  <c r="G26" i="2"/>
  <c r="AE16" i="34"/>
  <c r="I19" i="32"/>
  <c r="E20" i="2"/>
  <c r="H20" i="2" s="1"/>
  <c r="H20" i="16"/>
  <c r="E20" i="43"/>
  <c r="I20" i="43" s="1"/>
  <c r="I20" i="42"/>
  <c r="L40" i="16"/>
  <c r="I47" i="16"/>
  <c r="L47" i="16" s="1"/>
  <c r="I20" i="32"/>
  <c r="AE17" i="34"/>
  <c r="C81" i="50"/>
  <c r="G40" i="17"/>
  <c r="J26" i="17"/>
  <c r="C148" i="49"/>
  <c r="Q6" i="34"/>
  <c r="Q66" i="34" s="1"/>
  <c r="Q6" i="37"/>
  <c r="Q66" i="37" s="1"/>
  <c r="C148" i="50"/>
  <c r="AC16" i="38"/>
  <c r="R16" i="38"/>
  <c r="H16" i="38"/>
  <c r="T16" i="38"/>
  <c r="N16" i="38"/>
  <c r="L16" i="38"/>
  <c r="V16" i="38"/>
  <c r="P16" i="38"/>
  <c r="AB16" i="38"/>
  <c r="F16" i="38"/>
  <c r="J16" i="38"/>
  <c r="X16" i="38"/>
  <c r="Z16" i="38"/>
  <c r="AE23" i="38"/>
  <c r="F19" i="43"/>
  <c r="F26" i="43" s="1"/>
  <c r="F40" i="43" s="1"/>
  <c r="F47" i="43" s="1"/>
  <c r="F26" i="41"/>
  <c r="F40" i="41" s="1"/>
  <c r="F47" i="41" s="1"/>
  <c r="R17" i="38"/>
  <c r="H17" i="38"/>
  <c r="N17" i="38"/>
  <c r="Z17" i="38"/>
  <c r="X17" i="38"/>
  <c r="V17" i="38"/>
  <c r="L17" i="38"/>
  <c r="AB17" i="38"/>
  <c r="J17" i="38"/>
  <c r="F17" i="38"/>
  <c r="AC17" i="38"/>
  <c r="AD17" i="38" s="1"/>
  <c r="AF17" i="38" s="1"/>
  <c r="P17" i="38"/>
  <c r="T17" i="38"/>
  <c r="H40" i="30"/>
  <c r="K26" i="30"/>
  <c r="D81" i="49"/>
  <c r="H40" i="31"/>
  <c r="D84" i="49"/>
  <c r="K26" i="31"/>
  <c r="K20" i="32"/>
  <c r="AE17" i="35"/>
  <c r="K19" i="32"/>
  <c r="AE16" i="35"/>
  <c r="AC73" i="34" l="1"/>
  <c r="AC74" i="34" s="1"/>
  <c r="AD69" i="34"/>
  <c r="C43" i="50"/>
  <c r="F50" i="41"/>
  <c r="G52" i="17"/>
  <c r="E76" i="32"/>
  <c r="B77" i="49"/>
  <c r="B77" i="51"/>
  <c r="B77" i="50"/>
  <c r="E82" i="32"/>
  <c r="H52" i="41"/>
  <c r="C43" i="51"/>
  <c r="AD16" i="38"/>
  <c r="AC23" i="38"/>
  <c r="AC64" i="38" s="1"/>
  <c r="J26" i="2"/>
  <c r="F71" i="17"/>
  <c r="F71" i="2" s="1"/>
  <c r="F72" i="2" s="1"/>
  <c r="C149" i="49"/>
  <c r="S6" i="34"/>
  <c r="S66" i="34" s="1"/>
  <c r="F47" i="30"/>
  <c r="G47" i="30" s="1"/>
  <c r="E40" i="41"/>
  <c r="I40" i="41" s="1"/>
  <c r="E40" i="17"/>
  <c r="H40" i="17" s="1"/>
  <c r="I40" i="30"/>
  <c r="J16" i="35"/>
  <c r="V16" i="35"/>
  <c r="R16" i="35"/>
  <c r="N16" i="35"/>
  <c r="AB16" i="35"/>
  <c r="F16" i="35"/>
  <c r="T16" i="35"/>
  <c r="L16" i="35"/>
  <c r="H16" i="35"/>
  <c r="P16" i="35"/>
  <c r="Z16" i="35"/>
  <c r="AC16" i="35"/>
  <c r="X16" i="35"/>
  <c r="AE23" i="35"/>
  <c r="H50" i="42"/>
  <c r="F50" i="42"/>
  <c r="G50" i="42"/>
  <c r="E50" i="43"/>
  <c r="S6" i="45"/>
  <c r="S66" i="45" s="1"/>
  <c r="C149" i="51"/>
  <c r="S6" i="37"/>
  <c r="S66" i="37" s="1"/>
  <c r="C149" i="50"/>
  <c r="K26" i="32"/>
  <c r="H40" i="32"/>
  <c r="H47" i="32" s="1"/>
  <c r="H19" i="2"/>
  <c r="E26" i="2"/>
  <c r="E40" i="2" s="1"/>
  <c r="F50" i="16"/>
  <c r="G50" i="16"/>
  <c r="E50" i="2"/>
  <c r="E40" i="16"/>
  <c r="H40" i="16" s="1"/>
  <c r="E40" i="42"/>
  <c r="I40" i="42" s="1"/>
  <c r="I40" i="31"/>
  <c r="F47" i="31"/>
  <c r="L47" i="2"/>
  <c r="L40" i="2"/>
  <c r="I19" i="43"/>
  <c r="E26" i="43"/>
  <c r="Z23" i="38"/>
  <c r="P23" i="38"/>
  <c r="R23" i="38"/>
  <c r="H23" i="38"/>
  <c r="AB23" i="38"/>
  <c r="N23" i="38"/>
  <c r="L23" i="38"/>
  <c r="F23" i="38"/>
  <c r="X23" i="38"/>
  <c r="T23" i="38"/>
  <c r="J23" i="38"/>
  <c r="V23" i="38"/>
  <c r="K40" i="31"/>
  <c r="H47" i="31"/>
  <c r="K47" i="31" s="1"/>
  <c r="K40" i="30"/>
  <c r="H47" i="30"/>
  <c r="G71" i="41"/>
  <c r="G71" i="43" s="1"/>
  <c r="G72" i="43" s="1"/>
  <c r="F40" i="32"/>
  <c r="G40" i="32" s="1"/>
  <c r="I26" i="32"/>
  <c r="Z16" i="37"/>
  <c r="V16" i="37"/>
  <c r="P16" i="37"/>
  <c r="R16" i="37"/>
  <c r="AC16" i="37"/>
  <c r="L16" i="37"/>
  <c r="T16" i="37"/>
  <c r="F16" i="37"/>
  <c r="J16" i="37"/>
  <c r="X16" i="37"/>
  <c r="AB16" i="37"/>
  <c r="N16" i="37"/>
  <c r="H16" i="37"/>
  <c r="AE23" i="37"/>
  <c r="G47" i="17"/>
  <c r="J40" i="17"/>
  <c r="AB17" i="34"/>
  <c r="H17" i="34"/>
  <c r="F17" i="34"/>
  <c r="V17" i="34"/>
  <c r="X17" i="34"/>
  <c r="J17" i="34"/>
  <c r="Z17" i="34"/>
  <c r="P17" i="34"/>
  <c r="N17" i="34"/>
  <c r="L17" i="34"/>
  <c r="AC17" i="34"/>
  <c r="AD17" i="34" s="1"/>
  <c r="AF17" i="34" s="1"/>
  <c r="T17" i="34"/>
  <c r="R17" i="34"/>
  <c r="J17" i="35"/>
  <c r="T17" i="35"/>
  <c r="R17" i="35"/>
  <c r="AB17" i="35"/>
  <c r="Z17" i="35"/>
  <c r="AC17" i="35"/>
  <c r="AD17" i="35" s="1"/>
  <c r="AF17" i="35" s="1"/>
  <c r="V17" i="35"/>
  <c r="H17" i="35"/>
  <c r="X17" i="35"/>
  <c r="F17" i="35"/>
  <c r="L17" i="35"/>
  <c r="N17" i="35"/>
  <c r="P17" i="35"/>
  <c r="L47" i="17"/>
  <c r="I81" i="2"/>
  <c r="P16" i="34"/>
  <c r="Z16" i="34"/>
  <c r="AC16" i="34"/>
  <c r="AB16" i="34"/>
  <c r="J16" i="34"/>
  <c r="N16" i="34"/>
  <c r="R16" i="34"/>
  <c r="X16" i="34"/>
  <c r="V16" i="34"/>
  <c r="T16" i="34"/>
  <c r="L16" i="34"/>
  <c r="F16" i="34"/>
  <c r="H16" i="34"/>
  <c r="AE23" i="34"/>
  <c r="V17" i="37"/>
  <c r="H17" i="37"/>
  <c r="P17" i="37"/>
  <c r="L17" i="37"/>
  <c r="Z17" i="37"/>
  <c r="F17" i="37"/>
  <c r="AC17" i="37"/>
  <c r="AD17" i="37" s="1"/>
  <c r="AF17" i="37" s="1"/>
  <c r="R17" i="37"/>
  <c r="AB17" i="37"/>
  <c r="X17" i="37"/>
  <c r="J17" i="37"/>
  <c r="N17" i="37"/>
  <c r="T17" i="37"/>
  <c r="G47" i="16"/>
  <c r="J47" i="16" s="1"/>
  <c r="J40" i="16"/>
  <c r="F56" i="31" l="1"/>
  <c r="G56" i="31" s="1"/>
  <c r="G47" i="31"/>
  <c r="H55" i="41"/>
  <c r="C45" i="51"/>
  <c r="E83" i="32"/>
  <c r="B78" i="51"/>
  <c r="B78" i="49"/>
  <c r="B78" i="50"/>
  <c r="G55" i="17"/>
  <c r="G56" i="17" s="1"/>
  <c r="I55" i="17" s="1"/>
  <c r="F52" i="41"/>
  <c r="C45" i="50"/>
  <c r="F23" i="37"/>
  <c r="AB23" i="37"/>
  <c r="H23" i="37"/>
  <c r="J23" i="37"/>
  <c r="P23" i="37"/>
  <c r="T23" i="37"/>
  <c r="L23" i="37"/>
  <c r="X23" i="37"/>
  <c r="N23" i="37"/>
  <c r="Z23" i="37"/>
  <c r="R23" i="37"/>
  <c r="V23" i="37"/>
  <c r="J47" i="17"/>
  <c r="G81" i="2"/>
  <c r="E47" i="42"/>
  <c r="I47" i="42" s="1"/>
  <c r="I47" i="31"/>
  <c r="E47" i="16"/>
  <c r="H47" i="16" s="1"/>
  <c r="C62" i="50"/>
  <c r="C64" i="50" s="1"/>
  <c r="G52" i="16"/>
  <c r="G50" i="2"/>
  <c r="J50" i="2" s="1"/>
  <c r="H26" i="2"/>
  <c r="F52" i="16"/>
  <c r="F50" i="2"/>
  <c r="F81" i="32"/>
  <c r="E47" i="41"/>
  <c r="I47" i="41" s="1"/>
  <c r="E47" i="17"/>
  <c r="H47" i="17" s="1"/>
  <c r="I47" i="30"/>
  <c r="F56" i="30"/>
  <c r="G56" i="30" s="1"/>
  <c r="E40" i="43"/>
  <c r="I26" i="43"/>
  <c r="C150" i="51"/>
  <c r="U6" i="45"/>
  <c r="U66" i="45" s="1"/>
  <c r="C150" i="49"/>
  <c r="U6" i="34"/>
  <c r="U66" i="34" s="1"/>
  <c r="AD16" i="37"/>
  <c r="AC23" i="37"/>
  <c r="K47" i="32"/>
  <c r="K40" i="32"/>
  <c r="U6" i="37"/>
  <c r="U66" i="37" s="1"/>
  <c r="C150" i="50"/>
  <c r="G82" i="43"/>
  <c r="G83" i="43" s="1"/>
  <c r="G76" i="43"/>
  <c r="F52" i="42"/>
  <c r="F50" i="43"/>
  <c r="F76" i="2"/>
  <c r="F82" i="2"/>
  <c r="F83" i="2" s="1"/>
  <c r="I40" i="32"/>
  <c r="F47" i="32"/>
  <c r="C62" i="51"/>
  <c r="C64" i="51" s="1"/>
  <c r="H52" i="42"/>
  <c r="H50" i="43"/>
  <c r="I50" i="43" s="1"/>
  <c r="AD16" i="34"/>
  <c r="AC23" i="34"/>
  <c r="D79" i="50"/>
  <c r="G52" i="42"/>
  <c r="G50" i="43"/>
  <c r="K47" i="30"/>
  <c r="H81" i="32"/>
  <c r="R23" i="34"/>
  <c r="V23" i="34"/>
  <c r="H23" i="34"/>
  <c r="T23" i="34"/>
  <c r="X23" i="34"/>
  <c r="Z23" i="34"/>
  <c r="AB23" i="34"/>
  <c r="J23" i="34"/>
  <c r="N23" i="34"/>
  <c r="P23" i="34"/>
  <c r="L23" i="34"/>
  <c r="F23" i="34"/>
  <c r="J40" i="2"/>
  <c r="J47" i="2"/>
  <c r="H23" i="35"/>
  <c r="P23" i="35"/>
  <c r="R23" i="35"/>
  <c r="Z23" i="35"/>
  <c r="T23" i="35"/>
  <c r="X23" i="35"/>
  <c r="F23" i="35"/>
  <c r="AB23" i="35"/>
  <c r="L23" i="35"/>
  <c r="V23" i="35"/>
  <c r="N23" i="35"/>
  <c r="J23" i="35"/>
  <c r="AD16" i="35"/>
  <c r="AC23" i="35"/>
  <c r="AC64" i="35" s="1"/>
  <c r="AD23" i="38"/>
  <c r="AF16" i="38"/>
  <c r="AF23" i="38" s="1"/>
  <c r="I47" i="32" l="1"/>
  <c r="G47" i="32"/>
  <c r="H50" i="2"/>
  <c r="AC64" i="34"/>
  <c r="D45" i="35"/>
  <c r="AC64" i="37"/>
  <c r="J56" i="17"/>
  <c r="C49" i="50"/>
  <c r="F55" i="41"/>
  <c r="F56" i="41" s="1"/>
  <c r="C48" i="50"/>
  <c r="G71" i="17"/>
  <c r="J71" i="17" s="1"/>
  <c r="C48" i="51"/>
  <c r="H56" i="41"/>
  <c r="C68" i="49"/>
  <c r="E56" i="16"/>
  <c r="F64" i="31"/>
  <c r="H50" i="31"/>
  <c r="E56" i="42"/>
  <c r="G55" i="16"/>
  <c r="G52" i="2"/>
  <c r="AD23" i="34"/>
  <c r="AD64" i="34" s="1"/>
  <c r="AF16" i="34"/>
  <c r="AF23" i="34" s="1"/>
  <c r="C151" i="49"/>
  <c r="W6" i="34"/>
  <c r="W66" i="34" s="1"/>
  <c r="E47" i="43"/>
  <c r="I47" i="43" s="1"/>
  <c r="I40" i="43"/>
  <c r="W6" i="37"/>
  <c r="W66" i="37" s="1"/>
  <c r="C151" i="50"/>
  <c r="G55" i="42"/>
  <c r="G52" i="43"/>
  <c r="E56" i="17"/>
  <c r="H50" i="30"/>
  <c r="I50" i="30" s="1"/>
  <c r="F71" i="30"/>
  <c r="G71" i="30" s="1"/>
  <c r="C49" i="49"/>
  <c r="F56" i="32"/>
  <c r="G56" i="32" s="1"/>
  <c r="E56" i="41"/>
  <c r="D79" i="49"/>
  <c r="AD23" i="37"/>
  <c r="AF16" i="37"/>
  <c r="AF23" i="37" s="1"/>
  <c r="C79" i="50"/>
  <c r="H55" i="42"/>
  <c r="H52" i="43"/>
  <c r="AD23" i="35"/>
  <c r="AD64" i="35" s="1"/>
  <c r="AF16" i="35"/>
  <c r="AF23" i="35" s="1"/>
  <c r="C151" i="51"/>
  <c r="W6" i="45"/>
  <c r="W66" i="45" s="1"/>
  <c r="F55" i="42"/>
  <c r="F52" i="43"/>
  <c r="F55" i="16"/>
  <c r="F52" i="2"/>
  <c r="I56" i="17"/>
  <c r="D48" i="50"/>
  <c r="E81" i="43"/>
  <c r="C79" i="49"/>
  <c r="E81" i="2"/>
  <c r="H40" i="2"/>
  <c r="E47" i="2"/>
  <c r="H47" i="2" s="1"/>
  <c r="F90" i="31" l="1"/>
  <c r="G64" i="31"/>
  <c r="H56" i="31"/>
  <c r="I56" i="31" s="1"/>
  <c r="I50" i="31"/>
  <c r="F45" i="35"/>
  <c r="AG45" i="35"/>
  <c r="Z45" i="35"/>
  <c r="AH45" i="35"/>
  <c r="L45" i="35"/>
  <c r="J45" i="35"/>
  <c r="AB45" i="35"/>
  <c r="H45" i="35"/>
  <c r="X45" i="35"/>
  <c r="V45" i="35"/>
  <c r="P45" i="35"/>
  <c r="AE45" i="35"/>
  <c r="AE52" i="35" s="1"/>
  <c r="T45" i="35"/>
  <c r="D52" i="35"/>
  <c r="N45" i="35"/>
  <c r="R45" i="35"/>
  <c r="G71" i="2"/>
  <c r="G72" i="2" s="1"/>
  <c r="F71" i="41"/>
  <c r="F71" i="43" s="1"/>
  <c r="F72" i="43" s="1"/>
  <c r="F76" i="43" s="1"/>
  <c r="C49" i="51"/>
  <c r="H71" i="41"/>
  <c r="K56" i="41"/>
  <c r="J55" i="41"/>
  <c r="C59" i="50"/>
  <c r="Y6" i="45"/>
  <c r="Y66" i="45" s="1"/>
  <c r="C152" i="51"/>
  <c r="G56" i="42"/>
  <c r="G55" i="43"/>
  <c r="Y6" i="34"/>
  <c r="Y66" i="34" s="1"/>
  <c r="C152" i="49"/>
  <c r="F56" i="42"/>
  <c r="F55" i="43"/>
  <c r="C67" i="51"/>
  <c r="H56" i="42"/>
  <c r="I56" i="42" s="1"/>
  <c r="H55" i="43"/>
  <c r="E56" i="2"/>
  <c r="E71" i="17"/>
  <c r="H56" i="17"/>
  <c r="C152" i="50"/>
  <c r="Y6" i="37"/>
  <c r="Y66" i="37" s="1"/>
  <c r="E64" i="42"/>
  <c r="E90" i="42" s="1"/>
  <c r="L56" i="17"/>
  <c r="D49" i="50"/>
  <c r="K55" i="17"/>
  <c r="I71" i="17"/>
  <c r="D62" i="49"/>
  <c r="D64" i="49" s="1"/>
  <c r="F56" i="16"/>
  <c r="F55" i="2"/>
  <c r="C59" i="49"/>
  <c r="F71" i="32"/>
  <c r="G71" i="32" s="1"/>
  <c r="E64" i="16"/>
  <c r="E90" i="16" s="1"/>
  <c r="C67" i="50"/>
  <c r="G56" i="16"/>
  <c r="H56" i="16" s="1"/>
  <c r="G55" i="2"/>
  <c r="AC73" i="37" s="1"/>
  <c r="AC74" i="37" s="1"/>
  <c r="E56" i="43"/>
  <c r="E71" i="41"/>
  <c r="I56" i="41"/>
  <c r="AC68" i="34"/>
  <c r="C155" i="49" s="1"/>
  <c r="F64" i="32"/>
  <c r="D43" i="49"/>
  <c r="D45" i="49" s="1"/>
  <c r="H56" i="30"/>
  <c r="I56" i="30" s="1"/>
  <c r="H50" i="32"/>
  <c r="J71" i="2" l="1"/>
  <c r="G64" i="32"/>
  <c r="AC73" i="35"/>
  <c r="I50" i="32"/>
  <c r="AC73" i="45"/>
  <c r="AC74" i="45" s="1"/>
  <c r="AD69" i="45"/>
  <c r="AD69" i="37"/>
  <c r="J56" i="41"/>
  <c r="D48" i="51"/>
  <c r="C59" i="51"/>
  <c r="K71" i="41"/>
  <c r="H71" i="43"/>
  <c r="F72" i="32"/>
  <c r="AA6" i="37"/>
  <c r="AA66" i="37" s="1"/>
  <c r="C153" i="50"/>
  <c r="K56" i="42"/>
  <c r="C68" i="51"/>
  <c r="H64" i="42"/>
  <c r="H90" i="42" s="1"/>
  <c r="J55" i="42"/>
  <c r="H56" i="43"/>
  <c r="AC68" i="45" s="1"/>
  <c r="C77" i="50"/>
  <c r="G82" i="2"/>
  <c r="G76" i="2"/>
  <c r="E64" i="2"/>
  <c r="F64" i="42"/>
  <c r="F90" i="42" s="1"/>
  <c r="F56" i="43"/>
  <c r="J50" i="30"/>
  <c r="K50" i="30" s="1"/>
  <c r="D49" i="49"/>
  <c r="H71" i="30"/>
  <c r="I71" i="30" s="1"/>
  <c r="H56" i="32"/>
  <c r="I56" i="32" s="1"/>
  <c r="E64" i="43"/>
  <c r="C68" i="50"/>
  <c r="G64" i="16"/>
  <c r="G90" i="16" s="1"/>
  <c r="J56" i="16"/>
  <c r="I55" i="16"/>
  <c r="G56" i="2"/>
  <c r="H56" i="2" s="1"/>
  <c r="F64" i="16"/>
  <c r="F90" i="16" s="1"/>
  <c r="F56" i="2"/>
  <c r="D68" i="49"/>
  <c r="J50" i="31"/>
  <c r="H64" i="31"/>
  <c r="AA6" i="34"/>
  <c r="AA66" i="34" s="1"/>
  <c r="C153" i="49"/>
  <c r="E48" i="50"/>
  <c r="K56" i="17"/>
  <c r="I71" i="41"/>
  <c r="E71" i="43"/>
  <c r="H71" i="17"/>
  <c r="E71" i="2"/>
  <c r="I71" i="2"/>
  <c r="D59" i="50"/>
  <c r="L71" i="17"/>
  <c r="G64" i="42"/>
  <c r="G64" i="43" s="1"/>
  <c r="G56" i="43"/>
  <c r="AA6" i="45"/>
  <c r="AA66" i="45" s="1"/>
  <c r="C153" i="51"/>
  <c r="I64" i="42" l="1"/>
  <c r="H64" i="16"/>
  <c r="I56" i="43"/>
  <c r="H90" i="31"/>
  <c r="I64" i="31"/>
  <c r="J56" i="31"/>
  <c r="K56" i="31" s="1"/>
  <c r="K50" i="31"/>
  <c r="K71" i="43"/>
  <c r="H72" i="43"/>
  <c r="J71" i="41"/>
  <c r="M56" i="41"/>
  <c r="L55" i="41"/>
  <c r="D49" i="51"/>
  <c r="J50" i="32"/>
  <c r="K50" i="32" s="1"/>
  <c r="E43" i="49"/>
  <c r="E45" i="49" s="1"/>
  <c r="J56" i="30"/>
  <c r="K56" i="30" s="1"/>
  <c r="C78" i="50"/>
  <c r="G83" i="2"/>
  <c r="D59" i="49"/>
  <c r="H71" i="32"/>
  <c r="I71" i="32" s="1"/>
  <c r="H64" i="32"/>
  <c r="F64" i="2"/>
  <c r="K56" i="43"/>
  <c r="J55" i="43"/>
  <c r="AC73" i="46" s="1"/>
  <c r="AC68" i="37"/>
  <c r="J56" i="2"/>
  <c r="I56" i="16"/>
  <c r="D67" i="50"/>
  <c r="I55" i="2"/>
  <c r="AC6" i="34"/>
  <c r="AC66" i="34" s="1"/>
  <c r="C154" i="49"/>
  <c r="E6" i="35"/>
  <c r="K64" i="42"/>
  <c r="H64" i="43"/>
  <c r="K64" i="43" s="1"/>
  <c r="E6" i="46"/>
  <c r="E66" i="46" s="1"/>
  <c r="C154" i="51"/>
  <c r="AC6" i="45"/>
  <c r="AC66" i="45" s="1"/>
  <c r="C154" i="50"/>
  <c r="E6" i="38"/>
  <c r="AC72" i="38" s="1"/>
  <c r="AC6" i="37"/>
  <c r="AC66" i="37" s="1"/>
  <c r="H71" i="2"/>
  <c r="E72" i="2"/>
  <c r="AC68" i="35"/>
  <c r="K71" i="17"/>
  <c r="E49" i="50"/>
  <c r="F64" i="43"/>
  <c r="E62" i="49"/>
  <c r="E64" i="49" s="1"/>
  <c r="D67" i="51"/>
  <c r="J56" i="42"/>
  <c r="J64" i="16"/>
  <c r="G64" i="2"/>
  <c r="J64" i="2" s="1"/>
  <c r="L71" i="2"/>
  <c r="I72" i="2"/>
  <c r="F82" i="32"/>
  <c r="F76" i="32"/>
  <c r="C77" i="49"/>
  <c r="I71" i="43"/>
  <c r="E72" i="43"/>
  <c r="I64" i="43" l="1"/>
  <c r="H64" i="2"/>
  <c r="I64" i="32"/>
  <c r="AC73" i="38"/>
  <c r="AC74" i="38" s="1"/>
  <c r="J55" i="2"/>
  <c r="AC72" i="46"/>
  <c r="AC74" i="46" s="1"/>
  <c r="AD69" i="46"/>
  <c r="AD69" i="35"/>
  <c r="AC72" i="35"/>
  <c r="AC74" i="35" s="1"/>
  <c r="L55" i="2"/>
  <c r="AD69" i="38"/>
  <c r="AC69" i="34"/>
  <c r="AC76" i="34" s="1"/>
  <c r="L56" i="41"/>
  <c r="E48" i="51"/>
  <c r="J71" i="43"/>
  <c r="D59" i="51"/>
  <c r="M71" i="41"/>
  <c r="H82" i="43"/>
  <c r="H76" i="43"/>
  <c r="C77" i="51"/>
  <c r="D142" i="50"/>
  <c r="E66" i="38"/>
  <c r="M55" i="43"/>
  <c r="J56" i="43"/>
  <c r="AC68" i="46" s="1"/>
  <c r="E59" i="50"/>
  <c r="K71" i="2"/>
  <c r="K72" i="2" s="1"/>
  <c r="K55" i="16"/>
  <c r="D68" i="50"/>
  <c r="L56" i="16"/>
  <c r="I64" i="16"/>
  <c r="I90" i="16" s="1"/>
  <c r="I56" i="2"/>
  <c r="AC69" i="45" s="1"/>
  <c r="AC69" i="37"/>
  <c r="E76" i="43"/>
  <c r="E76" i="2"/>
  <c r="C78" i="49"/>
  <c r="E82" i="43"/>
  <c r="E82" i="2"/>
  <c r="F83" i="32"/>
  <c r="D142" i="51"/>
  <c r="I82" i="2"/>
  <c r="I76" i="2"/>
  <c r="D77" i="50"/>
  <c r="H72" i="32"/>
  <c r="D142" i="49"/>
  <c r="E66" i="35"/>
  <c r="M56" i="42"/>
  <c r="D68" i="51"/>
  <c r="J64" i="42"/>
  <c r="J90" i="42" s="1"/>
  <c r="L55" i="42"/>
  <c r="J56" i="32"/>
  <c r="K56" i="32" s="1"/>
  <c r="E49" i="49"/>
  <c r="J71" i="30"/>
  <c r="K71" i="30" s="1"/>
  <c r="J64" i="31"/>
  <c r="E68" i="49"/>
  <c r="J90" i="31" l="1"/>
  <c r="K64" i="31"/>
  <c r="AC76" i="37"/>
  <c r="C155" i="50"/>
  <c r="AC76" i="45"/>
  <c r="C155" i="51"/>
  <c r="C78" i="51"/>
  <c r="H83" i="43"/>
  <c r="J72" i="43"/>
  <c r="M71" i="43"/>
  <c r="E49" i="51"/>
  <c r="L71" i="41"/>
  <c r="L56" i="2"/>
  <c r="AC68" i="38"/>
  <c r="G6" i="46"/>
  <c r="G66" i="46" s="1"/>
  <c r="D143" i="51"/>
  <c r="J64" i="32"/>
  <c r="K64" i="32" s="1"/>
  <c r="E83" i="2"/>
  <c r="E83" i="43"/>
  <c r="L56" i="42"/>
  <c r="E67" i="51"/>
  <c r="D78" i="50"/>
  <c r="I83" i="2"/>
  <c r="E59" i="49"/>
  <c r="J71" i="32"/>
  <c r="L64" i="16"/>
  <c r="I64" i="2"/>
  <c r="L64" i="2" s="1"/>
  <c r="E77" i="50"/>
  <c r="K76" i="2"/>
  <c r="K82" i="2"/>
  <c r="H76" i="32"/>
  <c r="D77" i="49"/>
  <c r="H82" i="32"/>
  <c r="G6" i="38"/>
  <c r="G66" i="38" s="1"/>
  <c r="D143" i="50"/>
  <c r="J64" i="43"/>
  <c r="M64" i="43" s="1"/>
  <c r="M64" i="42"/>
  <c r="K56" i="16"/>
  <c r="E67" i="50"/>
  <c r="K55" i="2"/>
  <c r="D143" i="49"/>
  <c r="G6" i="35"/>
  <c r="G66" i="35" s="1"/>
  <c r="M56" i="43"/>
  <c r="L55" i="43"/>
  <c r="L56" i="43" s="1"/>
  <c r="J72" i="32" l="1"/>
  <c r="J82" i="32" s="1"/>
  <c r="K71" i="32"/>
  <c r="L71" i="43"/>
  <c r="L72" i="43" s="1"/>
  <c r="E59" i="51"/>
  <c r="J82" i="43"/>
  <c r="J76" i="43"/>
  <c r="D77" i="51"/>
  <c r="I6" i="46"/>
  <c r="I66" i="46" s="1"/>
  <c r="D144" i="51"/>
  <c r="I6" i="35"/>
  <c r="I66" i="35" s="1"/>
  <c r="D144" i="49"/>
  <c r="L64" i="42"/>
  <c r="L90" i="42" s="1"/>
  <c r="E68" i="51"/>
  <c r="K64" i="16"/>
  <c r="K90" i="16" s="1"/>
  <c r="E68" i="50"/>
  <c r="K56" i="2"/>
  <c r="E78" i="50"/>
  <c r="K83" i="2"/>
  <c r="I6" i="38"/>
  <c r="I66" i="38" s="1"/>
  <c r="D144" i="50"/>
  <c r="D78" i="49"/>
  <c r="H83" i="32"/>
  <c r="J76" i="32" l="1"/>
  <c r="E77" i="49"/>
  <c r="D78" i="51"/>
  <c r="J83" i="43"/>
  <c r="L82" i="43"/>
  <c r="L76" i="43"/>
  <c r="E77" i="51"/>
  <c r="D145" i="50"/>
  <c r="K6" i="38"/>
  <c r="K66" i="38" s="1"/>
  <c r="K64" i="2"/>
  <c r="K6" i="35"/>
  <c r="K66" i="35" s="1"/>
  <c r="D145" i="49"/>
  <c r="L64" i="43"/>
  <c r="K6" i="46"/>
  <c r="K66" i="46" s="1"/>
  <c r="D145" i="51"/>
  <c r="E78" i="49"/>
  <c r="J83" i="32"/>
  <c r="E78" i="51" l="1"/>
  <c r="L83" i="43"/>
  <c r="M6" i="46"/>
  <c r="M66" i="46" s="1"/>
  <c r="D146" i="51"/>
  <c r="D146" i="49"/>
  <c r="M6" i="35"/>
  <c r="M66" i="35" s="1"/>
  <c r="D146" i="50"/>
  <c r="M6" i="38"/>
  <c r="M66" i="38" s="1"/>
  <c r="O6" i="38" l="1"/>
  <c r="O66" i="38" s="1"/>
  <c r="D147" i="50"/>
  <c r="O6" i="35"/>
  <c r="O66" i="35" s="1"/>
  <c r="D147" i="49"/>
  <c r="D147" i="51"/>
  <c r="O6" i="46"/>
  <c r="O66" i="46" s="1"/>
  <c r="Q6" i="46" l="1"/>
  <c r="Q66" i="46" s="1"/>
  <c r="D148" i="51"/>
  <c r="D148" i="49"/>
  <c r="Q6" i="35"/>
  <c r="Q66" i="35" s="1"/>
  <c r="Q6" i="38"/>
  <c r="Q66" i="38" s="1"/>
  <c r="D148" i="50"/>
  <c r="D149" i="50" l="1"/>
  <c r="S6" i="38"/>
  <c r="S66" i="38" s="1"/>
  <c r="S6" i="35"/>
  <c r="S66" i="35" s="1"/>
  <c r="D149" i="49"/>
  <c r="D149" i="51"/>
  <c r="S6" i="46"/>
  <c r="S66" i="46" s="1"/>
  <c r="U6" i="46" l="1"/>
  <c r="U66" i="46" s="1"/>
  <c r="D150" i="51"/>
  <c r="U6" i="35"/>
  <c r="U66" i="35" s="1"/>
  <c r="D150" i="49"/>
  <c r="D150" i="50"/>
  <c r="U6" i="38"/>
  <c r="U66" i="38" s="1"/>
  <c r="D151" i="50" l="1"/>
  <c r="W6" i="38"/>
  <c r="W66" i="38" s="1"/>
  <c r="W6" i="35"/>
  <c r="W66" i="35" s="1"/>
  <c r="D151" i="49"/>
  <c r="D151" i="51"/>
  <c r="W6" i="46"/>
  <c r="W66" i="46" s="1"/>
  <c r="Y6" i="46" l="1"/>
  <c r="Y66" i="46" s="1"/>
  <c r="D152" i="51"/>
  <c r="Y6" i="35"/>
  <c r="Y66" i="35" s="1"/>
  <c r="D152" i="49"/>
  <c r="D152" i="50"/>
  <c r="Y6" i="38"/>
  <c r="Y66" i="38" s="1"/>
  <c r="AA6" i="38" l="1"/>
  <c r="AA66" i="38" s="1"/>
  <c r="D153" i="50"/>
  <c r="AA6" i="35"/>
  <c r="AA66" i="35" s="1"/>
  <c r="D153" i="49"/>
  <c r="D153" i="51"/>
  <c r="AA6" i="46"/>
  <c r="AA66" i="46" s="1"/>
  <c r="D154" i="51" l="1"/>
  <c r="AC6" i="46"/>
  <c r="AC66" i="46" s="1"/>
  <c r="AC69" i="46" s="1"/>
  <c r="AC6" i="35"/>
  <c r="AC66" i="35" s="1"/>
  <c r="D154" i="49"/>
  <c r="AC6" i="38"/>
  <c r="AC66" i="38" s="1"/>
  <c r="D154" i="50"/>
  <c r="AC76" i="46" l="1"/>
  <c r="D155" i="51"/>
  <c r="AC69" i="35"/>
  <c r="AC69" i="38"/>
  <c r="AC76" i="35" l="1"/>
  <c r="D155" i="49"/>
  <c r="AC76" i="38"/>
  <c r="D15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50" authorId="0" shapeId="0" xr:uid="{00000000-0006-0000-05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50" authorId="0" shapeId="0" xr:uid="{00000000-0006-0000-06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0900-000001000000}">
      <text>
        <r>
          <rPr>
            <b/>
            <sz val="9"/>
            <color indexed="81"/>
            <rFont val="Tahoma"/>
            <family val="2"/>
          </rPr>
          <t>A. Kerber:</t>
        </r>
        <r>
          <rPr>
            <sz val="9"/>
            <color indexed="81"/>
            <rFont val="Tahoma"/>
            <family val="2"/>
          </rPr>
          <t xml:space="preserve">
Enter </t>
        </r>
      </text>
    </comment>
    <comment ref="E44" authorId="1" shapeId="0" xr:uid="{DFBFA023-A8CF-42BA-8688-49EC15C49C78}">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1" shapeId="0" xr:uid="{AEB8B857-5435-44C6-9680-5C6A88F2C80A}">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1" shapeId="0" xr:uid="{AEE195EB-4134-4040-90D3-4C8B37881651}">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1" shapeId="0" xr:uid="{DE23AADC-9D23-4151-BC3B-C88E3C5DB57B}">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1" shapeId="0" xr:uid="{CCFA5681-D9B4-4114-A355-09E33CB5B00A}">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1" shapeId="0" xr:uid="{4A11E9BB-E684-439C-97FA-1D0D421587B9}">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1" shapeId="0" xr:uid="{E3E9CE55-17EC-4328-9FAA-CC306D0477A1}">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1" shapeId="0" xr:uid="{228FCFF0-FAA4-4349-BB70-3D73BEEDD994}">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1" shapeId="0" xr:uid="{AE7D2B24-1CDF-44ED-946B-3D5733680C9E}">
      <text>
        <r>
          <rPr>
            <b/>
            <sz val="9"/>
            <color indexed="81"/>
            <rFont val="Tahoma"/>
            <family val="2"/>
          </rPr>
          <t>Annette Baker:</t>
        </r>
        <r>
          <rPr>
            <sz val="9"/>
            <color indexed="81"/>
            <rFont val="Tahoma"/>
            <family val="2"/>
          </rPr>
          <t xml:space="preserve">
Ending Cash,
Plus Accruals,
PlusTotal Balance Sheet AE52.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E44" authorId="0" shapeId="0" xr:uid="{DF2EE7AF-A983-482C-A085-B3D167208CEC}">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0" shapeId="0" xr:uid="{7AEDD3B6-838C-4A8B-AFC9-B5B15746F394}">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0" shapeId="0" xr:uid="{A3800F26-D472-472D-BA9A-BAED96A22BF5}">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0" shapeId="0" xr:uid="{A9C644FF-B35A-4A70-BDAE-FF501294BB00}">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0" shapeId="0" xr:uid="{B5B193E2-B737-444D-974A-E863D5918BF5}">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0" shapeId="0" xr:uid="{2F598C8F-DB27-411E-B06F-7498870DAD03}">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0" shapeId="0" xr:uid="{B0F8FAC4-F390-4ABF-A6CC-73866939212F}">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0" shapeId="0" xr:uid="{0FCB5DB2-542D-4592-BCA4-038175AD855D}">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0" shapeId="0" xr:uid="{ECD68F04-5924-43F2-86B1-1BA705C56424}">
      <text>
        <r>
          <rPr>
            <b/>
            <sz val="9"/>
            <color indexed="81"/>
            <rFont val="Tahoma"/>
            <family val="2"/>
          </rPr>
          <t>Annette Baker:</t>
        </r>
        <r>
          <rPr>
            <sz val="9"/>
            <color indexed="81"/>
            <rFont val="Tahoma"/>
            <family val="2"/>
          </rPr>
          <t xml:space="preserve">
Ending Cash,
Plus Accruals,
PlusTotal Balance Sheet AE52.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1" authorId="0" shapeId="0" xr:uid="{00000000-0006-0000-1000-000001000000}">
      <text>
        <r>
          <rPr>
            <b/>
            <sz val="9"/>
            <color indexed="81"/>
            <rFont val="Tahoma"/>
            <family val="2"/>
          </rPr>
          <t>A. Baker:</t>
        </r>
        <r>
          <rPr>
            <sz val="9"/>
            <color indexed="81"/>
            <rFont val="Tahoma"/>
            <family val="2"/>
          </rPr>
          <t xml:space="preserve">
Input difference between Beg Bal at Adopted Budget and Unaudited Actual ending Fund Balance reported at year end.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1" authorId="0" shapeId="0" xr:uid="{00000000-0006-0000-1100-000001000000}">
      <text>
        <r>
          <rPr>
            <b/>
            <sz val="9"/>
            <color indexed="81"/>
            <rFont val="Tahoma"/>
            <family val="2"/>
          </rPr>
          <t xml:space="preserve">A. Baker:  </t>
        </r>
        <r>
          <rPr>
            <sz val="9"/>
            <color indexed="81"/>
            <rFont val="Tahoma"/>
            <family val="2"/>
          </rPr>
          <t>Input difference between Beg Bal at Adopted Budget and  Unaudited Actual ending Fund Balance reported at year end.</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1400-000001000000}">
      <text>
        <r>
          <rPr>
            <b/>
            <sz val="9"/>
            <color indexed="81"/>
            <rFont val="Tahoma"/>
            <family val="2"/>
          </rPr>
          <t>A. Kerber:</t>
        </r>
        <r>
          <rPr>
            <sz val="9"/>
            <color indexed="81"/>
            <rFont val="Tahoma"/>
            <family val="2"/>
          </rPr>
          <t xml:space="preserve">
Enter </t>
        </r>
      </text>
    </comment>
    <comment ref="D41" authorId="1" shapeId="0" xr:uid="{B097AF85-CF16-42BA-9C38-C6120E7C9709}">
      <text>
        <r>
          <rPr>
            <b/>
            <sz val="9"/>
            <color indexed="81"/>
            <rFont val="Tahoma"/>
            <charset val="1"/>
          </rPr>
          <t>Annette Baker:</t>
        </r>
        <r>
          <rPr>
            <sz val="9"/>
            <color indexed="81"/>
            <rFont val="Tahoma"/>
            <charset val="1"/>
          </rPr>
          <t xml:space="preserve">
Inclusive of any restatemehnts or audit adjustments.</t>
        </r>
      </text>
    </comment>
    <comment ref="E44" authorId="1" shapeId="0" xr:uid="{0E223DB7-0CD1-4AC2-AABD-A675C73D56EA}">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1" shapeId="0" xr:uid="{8AFE34EC-CA25-429F-B607-FC25B606A43E}">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1" shapeId="0" xr:uid="{78752967-BF67-4622-AE9D-A96DC2058A20}">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1" shapeId="0" xr:uid="{D0BEE569-09F6-4477-9B35-8E977D0BCF83}">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1" shapeId="0" xr:uid="{96CDD804-B022-4CF4-96FE-2640A92D5835}">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1" shapeId="0" xr:uid="{17F983E1-1647-49F4-9CAA-52E2392D3594}">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1" shapeId="0" xr:uid="{38A4E7E9-7D4C-4218-83B3-D2038D0EAE62}">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1" shapeId="0" xr:uid="{BA1E7431-C21E-4C0B-9FED-C4E7CFF753DA}">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1" shapeId="0" xr:uid="{291CC8C5-FD8E-4A2A-904C-44EBB7025954}">
      <text>
        <r>
          <rPr>
            <b/>
            <sz val="9"/>
            <color indexed="81"/>
            <rFont val="Tahoma"/>
            <family val="2"/>
          </rPr>
          <t>Annette Baker:</t>
        </r>
        <r>
          <rPr>
            <sz val="9"/>
            <color indexed="81"/>
            <rFont val="Tahoma"/>
            <family val="2"/>
          </rPr>
          <t xml:space="preserve">
Ending Cash,
Plus Accruals,
PlusTotal Balance Sheet AE52.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E44" authorId="0" shapeId="0" xr:uid="{1F1A05D4-83E0-4DBD-959B-0DA6597DCF0B}">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0" shapeId="0" xr:uid="{B963F094-6F07-48EB-BAE1-1FFA4D636817}">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0" shapeId="0" xr:uid="{F3D0EA4E-1FD7-4614-B3A1-7184B93172BA}">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0" shapeId="0" xr:uid="{E8B90F8B-DF6F-4C88-978A-0465526B07D5}">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0" shapeId="0" xr:uid="{D362DAF0-E9D6-4DE2-85B0-4332ED02F9B8}">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0" shapeId="0" xr:uid="{12BF0E54-A038-4A02-92A9-2CD3CBEB53D1}">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0" shapeId="0" xr:uid="{F43E5217-D1E2-4547-A39C-C1FA35A41971}">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0" shapeId="0" xr:uid="{A2E4E4FB-2BA3-4CDF-B8CF-02638865AFD4}">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0" shapeId="0" xr:uid="{2AD97695-0E30-4D2B-B883-A1BC348D38F6}">
      <text>
        <r>
          <rPr>
            <b/>
            <sz val="9"/>
            <color indexed="81"/>
            <rFont val="Tahoma"/>
            <family val="2"/>
          </rPr>
          <t>Annette Baker:</t>
        </r>
        <r>
          <rPr>
            <sz val="9"/>
            <color indexed="81"/>
            <rFont val="Tahoma"/>
            <family val="2"/>
          </rPr>
          <t xml:space="preserve">
Ending Cash,
Plus Accruals,
PlusTotal Balance Sheet AE52.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Kerber</author>
    <author>Annette Baker</author>
  </authors>
  <commentList>
    <comment ref="E6" authorId="0" shapeId="0" xr:uid="{00000000-0006-0000-1D00-000001000000}">
      <text>
        <r>
          <rPr>
            <b/>
            <sz val="9"/>
            <color indexed="81"/>
            <rFont val="Tahoma"/>
            <family val="2"/>
          </rPr>
          <t>A. Kerber:</t>
        </r>
        <r>
          <rPr>
            <sz val="9"/>
            <color indexed="81"/>
            <rFont val="Tahoma"/>
            <family val="2"/>
          </rPr>
          <t xml:space="preserve">
Enter </t>
        </r>
      </text>
    </comment>
    <comment ref="D41" authorId="1" shapeId="0" xr:uid="{9FE90B52-F34A-4E36-ABC8-8090DF235CB4}">
      <text>
        <r>
          <rPr>
            <b/>
            <sz val="9"/>
            <color indexed="81"/>
            <rFont val="Tahoma"/>
            <charset val="1"/>
          </rPr>
          <t>Annette Baker:</t>
        </r>
        <r>
          <rPr>
            <sz val="9"/>
            <color indexed="81"/>
            <rFont val="Tahoma"/>
            <charset val="1"/>
          </rPr>
          <t xml:space="preserve">
Inclusive of any restatemehnts or audit adjustments.</t>
        </r>
      </text>
    </comment>
    <comment ref="E44" authorId="1" shapeId="0" xr:uid="{39BD0726-015D-4E1C-8AAB-B62A7CFC95DB}">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1" shapeId="0" xr:uid="{19B24E82-DEAB-4942-9206-7CAFBAC122A3}">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1" shapeId="0" xr:uid="{3EA8BDF9-95F1-4277-9B86-D129A5D19760}">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1" shapeId="0" xr:uid="{CB13897F-0998-4267-9683-63F56FD85B74}">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1" shapeId="0" xr:uid="{0B466384-9691-4A02-A652-8311045AD978}">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1" shapeId="0" xr:uid="{A0B9B9B8-2138-48D7-9EB9-8EBF47B7E678}">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1" shapeId="0" xr:uid="{CB47C408-D43D-4B3F-B2BE-9AC64D654423}">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1" shapeId="0" xr:uid="{B5359034-7FF4-4DC1-BF52-F0E78A005C3C}">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1" shapeId="0" xr:uid="{3A6C22A3-3992-4E62-939F-A6C2361F1953}">
      <text>
        <r>
          <rPr>
            <b/>
            <sz val="9"/>
            <color indexed="81"/>
            <rFont val="Tahoma"/>
            <family val="2"/>
          </rPr>
          <t>Annette Baker:</t>
        </r>
        <r>
          <rPr>
            <sz val="9"/>
            <color indexed="81"/>
            <rFont val="Tahoma"/>
            <family val="2"/>
          </rPr>
          <t xml:space="preserve">
Ending Cash,
Plus Accruals,
PlusTotal Balance Sheet AE52.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Annette Baker</author>
  </authors>
  <commentList>
    <comment ref="D41" authorId="0" shapeId="0" xr:uid="{27FE2F79-AF45-4DFF-A2C0-0E188CF632CF}">
      <text>
        <r>
          <rPr>
            <b/>
            <sz val="9"/>
            <color indexed="81"/>
            <rFont val="Tahoma"/>
            <charset val="1"/>
          </rPr>
          <t>Annette Baker:</t>
        </r>
        <r>
          <rPr>
            <sz val="9"/>
            <color indexed="81"/>
            <rFont val="Tahoma"/>
            <charset val="1"/>
          </rPr>
          <t xml:space="preserve">
Inclusive of any restatemehnts or audit adjustments.</t>
        </r>
      </text>
    </comment>
    <comment ref="E44" authorId="0" shapeId="0" xr:uid="{015C4794-C1DA-4C31-AD71-7E55018772B7}">
      <text>
        <r>
          <rPr>
            <b/>
            <sz val="9"/>
            <color indexed="81"/>
            <rFont val="Tahoma"/>
            <family val="2"/>
          </rPr>
          <t>Annette Baker:</t>
        </r>
        <r>
          <rPr>
            <sz val="9"/>
            <color indexed="81"/>
            <rFont val="Tahoma"/>
            <family val="2"/>
          </rPr>
          <t xml:space="preserve">
Enter payments as a negative number.
Enter accumulated depreciation as a positive number.</t>
        </r>
      </text>
    </comment>
    <comment ref="E45" authorId="0" shapeId="0" xr:uid="{40A760B0-2CBB-4636-B837-064F0D21D2C3}">
      <text>
        <r>
          <rPr>
            <b/>
            <sz val="9"/>
            <color indexed="81"/>
            <rFont val="Tahoma"/>
            <family val="2"/>
          </rPr>
          <t>Annette Baker:</t>
        </r>
        <r>
          <rPr>
            <sz val="9"/>
            <color indexed="81"/>
            <rFont val="Tahoma"/>
            <family val="2"/>
          </rPr>
          <t xml:space="preserve">
Enter receipt of PY accrued revenue as a positive number.
Current year receivables will be entered as accruals in the revenue section above.
Remaining Balance will not include CY accruals.</t>
        </r>
      </text>
    </comment>
    <comment ref="E46" authorId="0" shapeId="0" xr:uid="{459370B4-F407-4CDE-BDF3-4AE9A6F1CF80}">
      <text>
        <r>
          <rPr>
            <b/>
            <sz val="9"/>
            <color indexed="81"/>
            <rFont val="Tahoma"/>
            <family val="2"/>
          </rPr>
          <t>Annette Baker:</t>
        </r>
        <r>
          <rPr>
            <sz val="9"/>
            <color indexed="81"/>
            <rFont val="Tahoma"/>
            <family val="2"/>
          </rPr>
          <t xml:space="preserve">
Enter CY recognition of expenditure paid in prior year (pre-paid expenditures) as a positive number.
Enter CY expenditures for future year recognition as a negative number.</t>
        </r>
      </text>
    </comment>
    <comment ref="E47" authorId="0" shapeId="0" xr:uid="{567C1555-4612-4521-9011-E2CF20D2333C}">
      <text>
        <r>
          <rPr>
            <b/>
            <sz val="9"/>
            <color indexed="81"/>
            <rFont val="Tahoma"/>
            <family val="2"/>
          </rPr>
          <t>Annette Baker:</t>
        </r>
        <r>
          <rPr>
            <sz val="9"/>
            <color indexed="81"/>
            <rFont val="Tahoma"/>
            <family val="2"/>
          </rPr>
          <t xml:space="preserve">
Enter amortization of asset(s) as a positive number.
Enter payment for new non-current assets as a negative number.</t>
        </r>
      </text>
    </comment>
    <comment ref="E48" authorId="0" shapeId="0" xr:uid="{568AE5B5-53D8-4AE3-AF2C-7339B955FB74}">
      <text>
        <r>
          <rPr>
            <b/>
            <sz val="9"/>
            <color indexed="81"/>
            <rFont val="Tahoma"/>
            <family val="2"/>
          </rPr>
          <t>Annette Baker:</t>
        </r>
        <r>
          <rPr>
            <sz val="9"/>
            <color indexed="81"/>
            <rFont val="Tahoma"/>
            <family val="2"/>
          </rPr>
          <t xml:space="preserve">
Enter payment of PY accrued expenditures as a positive number.
Current year payables will be entered as accruals in the revenue section above.
Remaining Balance will not include CY accruals.</t>
        </r>
      </text>
    </comment>
    <comment ref="E49" authorId="0" shapeId="0" xr:uid="{F84B1901-F02A-4838-9D67-40A478FB4EDE}">
      <text>
        <r>
          <rPr>
            <b/>
            <sz val="9"/>
            <color indexed="81"/>
            <rFont val="Tahoma"/>
            <family val="2"/>
          </rPr>
          <t>Annette Baker:</t>
        </r>
        <r>
          <rPr>
            <sz val="9"/>
            <color indexed="81"/>
            <rFont val="Tahoma"/>
            <family val="2"/>
          </rPr>
          <t xml:space="preserve">
Enter principal payments for Line of Credit as a positive number.  
Enter Interest as an expenditure above.
Enter draws on Line of Credit (increases to liability) as a negative number.</t>
        </r>
      </text>
    </comment>
    <comment ref="E50" authorId="0" shapeId="0" xr:uid="{641941E2-3862-4CC2-8882-F0DEC5021168}">
      <text>
        <r>
          <rPr>
            <b/>
            <sz val="9"/>
            <color indexed="81"/>
            <rFont val="Tahoma"/>
            <family val="2"/>
          </rPr>
          <t>Annette Baker:</t>
        </r>
        <r>
          <rPr>
            <sz val="9"/>
            <color indexed="81"/>
            <rFont val="Tahoma"/>
            <family val="2"/>
          </rPr>
          <t xml:space="preserve">
Enter CY recognition of revenue previously recongnized as deferred as a positive number.
Enter adjustments for revenue (in deferred revenue resources) received in CY but not spent by year end as negative accruals in revenue section above.
Remaining Balance will not include CY accruals.</t>
        </r>
      </text>
    </comment>
    <comment ref="E51" authorId="0" shapeId="0" xr:uid="{A8E7C124-7ED7-4A0A-A6AC-2FA54A307C34}">
      <text>
        <r>
          <rPr>
            <b/>
            <sz val="9"/>
            <color indexed="81"/>
            <rFont val="Tahoma"/>
            <family val="2"/>
          </rPr>
          <t>Annette Baker:</t>
        </r>
        <r>
          <rPr>
            <sz val="9"/>
            <color indexed="81"/>
            <rFont val="Tahoma"/>
            <family val="2"/>
          </rPr>
          <t xml:space="preserve">
Enter principal payments for Other Non-Current Liabilities as a positive number.  
Enter Interest as an expenditure above.
Enter increases to liability as a negative number.</t>
        </r>
      </text>
    </comment>
    <comment ref="AC66" authorId="0" shapeId="0" xr:uid="{083C5EA5-98BF-4CEA-8118-A4D875F2278B}">
      <text>
        <r>
          <rPr>
            <b/>
            <sz val="9"/>
            <color indexed="81"/>
            <rFont val="Tahoma"/>
            <family val="2"/>
          </rPr>
          <t>Annette Baker:</t>
        </r>
        <r>
          <rPr>
            <sz val="9"/>
            <color indexed="81"/>
            <rFont val="Tahoma"/>
            <family val="2"/>
          </rPr>
          <t xml:space="preserve">
Ending Cash,
Plus Accruals,
PlusTotal Balance Sheet AE52.</t>
        </r>
      </text>
    </comment>
  </commentList>
</comments>
</file>

<file path=xl/sharedStrings.xml><?xml version="1.0" encoding="utf-8"?>
<sst xmlns="http://schemas.openxmlformats.org/spreadsheetml/2006/main" count="3332" uniqueCount="558">
  <si>
    <t>Total</t>
  </si>
  <si>
    <t>REVENUES</t>
  </si>
  <si>
    <t xml:space="preserve"> </t>
  </si>
  <si>
    <t>EXPENDITURES</t>
  </si>
  <si>
    <t>Certificated Salaries</t>
  </si>
  <si>
    <t>Capital Outlay</t>
  </si>
  <si>
    <t>FUND BALANCE, RESERVES</t>
  </si>
  <si>
    <t>a.</t>
  </si>
  <si>
    <t>b.</t>
  </si>
  <si>
    <t>c.</t>
  </si>
  <si>
    <t>Stores</t>
  </si>
  <si>
    <t>Prepaid Expenditures</t>
  </si>
  <si>
    <t>Charter School Name:</t>
  </si>
  <si>
    <t>CDS #:</t>
  </si>
  <si>
    <t>County:</t>
  </si>
  <si>
    <t>Charter #:</t>
  </si>
  <si>
    <t>Budget</t>
  </si>
  <si>
    <t>Adopted</t>
  </si>
  <si>
    <t>Percent</t>
  </si>
  <si>
    <t>Projected</t>
  </si>
  <si>
    <t>Actuals</t>
  </si>
  <si>
    <t>DESCRIPTION</t>
  </si>
  <si>
    <t>Change</t>
  </si>
  <si>
    <t>Classified Salaries</t>
  </si>
  <si>
    <t>Benefits</t>
  </si>
  <si>
    <t>Books &amp; Supplies</t>
  </si>
  <si>
    <t>Contracts &amp; Services</t>
  </si>
  <si>
    <t>Other Outgo</t>
  </si>
  <si>
    <t>Total Expenditures</t>
  </si>
  <si>
    <t>OTHER SOURCES &amp; USES</t>
  </si>
  <si>
    <t>Other Uses</t>
  </si>
  <si>
    <t>Net Sources &amp; Uses</t>
  </si>
  <si>
    <t>NET INCREASE (DECREASE) IN FUND BALANCE</t>
  </si>
  <si>
    <t>Ending Balance</t>
  </si>
  <si>
    <t>Revolving Cash</t>
  </si>
  <si>
    <t>ASSUMPTIONS:</t>
  </si>
  <si>
    <t>Total Funded P-2 Attendance</t>
  </si>
  <si>
    <t>Line</t>
  </si>
  <si>
    <t>d.</t>
  </si>
  <si>
    <t>Charter School Attendance</t>
  </si>
  <si>
    <t>e.</t>
  </si>
  <si>
    <t>Oversight Fees to Sponsor</t>
  </si>
  <si>
    <t>Charter Schools</t>
  </si>
  <si>
    <t>CHARTER SCHOOL CERTIFICATION</t>
  </si>
  <si>
    <t>(</t>
  </si>
  <si>
    <t>Signed:</t>
  </si>
  <si>
    <t xml:space="preserve">      Date:</t>
  </si>
  <si>
    <t>Charter School Official</t>
  </si>
  <si>
    <t>(Original signature required)</t>
  </si>
  <si>
    <t>Printed
Name:</t>
  </si>
  <si>
    <t xml:space="preserve">       Title:</t>
  </si>
  <si>
    <t>To the County Superintendent of Schools:</t>
  </si>
  <si>
    <t>Authorized Representative of
Charter Approving Entity</t>
  </si>
  <si>
    <t>County Superintendent/Designee</t>
  </si>
  <si>
    <t>For Charter School:</t>
  </si>
  <si>
    <t>Name</t>
  </si>
  <si>
    <t>Title</t>
  </si>
  <si>
    <t>Telephone</t>
  </si>
  <si>
    <t>E-mail address</t>
  </si>
  <si>
    <t>For additional information on the budget report, please contact:</t>
  </si>
  <si>
    <t>CHARTER SCHOOL INTERIM REPORT</t>
  </si>
  <si>
    <t>Actual</t>
  </si>
  <si>
    <t>Revised</t>
  </si>
  <si>
    <t>Latest</t>
  </si>
  <si>
    <t>CERTIFICATION OF FINANCIAL CONDITION:</t>
  </si>
  <si>
    <t>)   NEGATIVE</t>
  </si>
  <si>
    <t>) QUALIFIED</t>
  </si>
  <si>
    <t>) POSITIVE</t>
  </si>
  <si>
    <t>As the Charter School Official, I certify that</t>
  </si>
  <si>
    <t>this Charter will be able to meet its financial</t>
  </si>
  <si>
    <t>subsequent fiscal years.</t>
  </si>
  <si>
    <t xml:space="preserve">this Charter may not meet its financial </t>
  </si>
  <si>
    <t>obligations for the current fiscal year or two</t>
  </si>
  <si>
    <t>obligations for the current fiscal year and two</t>
  </si>
  <si>
    <t>based upon current projections this charter</t>
  </si>
  <si>
    <t xml:space="preserve">will be unable to meet its financial </t>
  </si>
  <si>
    <t>or for the subsequent fiscal year.</t>
  </si>
  <si>
    <t>obligations for remainder of the fiscal year</t>
  </si>
  <si>
    <t>Interim Check List</t>
  </si>
  <si>
    <t>July</t>
  </si>
  <si>
    <t xml:space="preserve">% </t>
  </si>
  <si>
    <t>August</t>
  </si>
  <si>
    <t>%</t>
  </si>
  <si>
    <t>September</t>
  </si>
  <si>
    <t>October</t>
  </si>
  <si>
    <t>November</t>
  </si>
  <si>
    <t>December</t>
  </si>
  <si>
    <t>January</t>
  </si>
  <si>
    <t>February</t>
  </si>
  <si>
    <t>March</t>
  </si>
  <si>
    <t>April</t>
  </si>
  <si>
    <t>May</t>
  </si>
  <si>
    <t>June</t>
  </si>
  <si>
    <t>Estimated</t>
  </si>
  <si>
    <t>Bud</t>
  </si>
  <si>
    <t>Accrual</t>
  </si>
  <si>
    <t>Difference</t>
  </si>
  <si>
    <t>Beginning Cash Balance</t>
  </si>
  <si>
    <t>REVENUE</t>
  </si>
  <si>
    <t>8100-8299</t>
  </si>
  <si>
    <t>8300-8599</t>
  </si>
  <si>
    <t>8600-8799</t>
  </si>
  <si>
    <t>1000-1999</t>
  </si>
  <si>
    <t>2000-2999</t>
  </si>
  <si>
    <t>3000-3999</t>
  </si>
  <si>
    <t>4000-4999</t>
  </si>
  <si>
    <t>5000-5999</t>
  </si>
  <si>
    <t>6000-6599</t>
  </si>
  <si>
    <t>7100-7299</t>
  </si>
  <si>
    <t>OTHER SOURCES/USES</t>
  </si>
  <si>
    <t>ENDING CASH BALANCE</t>
  </si>
  <si>
    <t>7400-7499</t>
  </si>
  <si>
    <t>NET REVENUES LESS EXPENDITURES</t>
  </si>
  <si>
    <t>OTHER ADJUSTMENTS (LIST)</t>
  </si>
  <si>
    <t>DATE PREPARED:</t>
  </si>
  <si>
    <t>July 1 Cash  =</t>
  </si>
  <si>
    <t>DEBT -  Multiyear Commitments</t>
  </si>
  <si>
    <t>Object</t>
  </si>
  <si>
    <t>Payment</t>
  </si>
  <si>
    <t>Type of Commitment</t>
  </si>
  <si>
    <t># of Years</t>
  </si>
  <si>
    <t>Other Commitments:</t>
  </si>
  <si>
    <t xml:space="preserve">Comments:  </t>
  </si>
  <si>
    <t>Bank Line of Credit Loans</t>
  </si>
  <si>
    <t>Other Sources/Contributions to Restricted Programs</t>
  </si>
  <si>
    <t>Lottery Unrestricted Allocation per ADA</t>
  </si>
  <si>
    <t xml:space="preserve">LIST UNRESTRICTED STATE FUNDS BUDGETED IN OTHER STATE </t>
  </si>
  <si>
    <t>Municipal Lease</t>
  </si>
  <si>
    <t>State School Building Loans</t>
  </si>
  <si>
    <t>Charter School Start-up Loans</t>
  </si>
  <si>
    <t>Compensated Absences</t>
  </si>
  <si>
    <t>Other Post Employment Benefits</t>
  </si>
  <si>
    <t>thru October 31</t>
  </si>
  <si>
    <t>Adjustments for Unaudited Actuals</t>
  </si>
  <si>
    <t>Lottery Unrestricted Estimated Award</t>
  </si>
  <si>
    <t>DUE DATE:</t>
  </si>
  <si>
    <t>Complete your assumption for each applicable item (most will apply) for the light green colored boxes only.</t>
  </si>
  <si>
    <t>Estimated Enrollment</t>
  </si>
  <si>
    <t>GREEN CELLS ONLY</t>
  </si>
  <si>
    <t>Components of Ending Fund Balance (Budget):</t>
  </si>
  <si>
    <t>Nonspendable</t>
  </si>
  <si>
    <t>All Others</t>
  </si>
  <si>
    <t>Restricted</t>
  </si>
  <si>
    <t>Committed - Stabilization Arrangements</t>
  </si>
  <si>
    <t>Committed - Other</t>
  </si>
  <si>
    <t>Assignments</t>
  </si>
  <si>
    <t>Debt Service (see Debt Form)</t>
  </si>
  <si>
    <t xml:space="preserve">     Unrestricted</t>
  </si>
  <si>
    <t xml:space="preserve">     Restricted</t>
  </si>
  <si>
    <t>Total Non-Classroom Based (Independent Study) ADA</t>
  </si>
  <si>
    <t>Total Classroom Based ADA</t>
  </si>
  <si>
    <t xml:space="preserve">Total Funded Non-Classroom Based (Independent Study) ADA </t>
  </si>
  <si>
    <t>LCFF</t>
  </si>
  <si>
    <t>EPA</t>
  </si>
  <si>
    <t>`</t>
  </si>
  <si>
    <t>1st Interim as of October 31</t>
  </si>
  <si>
    <t xml:space="preserve">Note: These pages will bring forward some of your revenue totals based on cell references or formulas. </t>
  </si>
  <si>
    <t>There should be no dollars in the difference column.  If a dollar value is reflected you will need to adjust that line in the cash flow.</t>
  </si>
  <si>
    <t>Other</t>
  </si>
  <si>
    <t>Beginning Balance at Adopted Budget</t>
  </si>
  <si>
    <t>If you have an administrative service contract, enter the dollar amount of the contract.</t>
  </si>
  <si>
    <t>Second Interim</t>
  </si>
  <si>
    <t>2nd Interim as of January 31</t>
  </si>
  <si>
    <t xml:space="preserve">LCFF Calculator:  Use the FCMAT calculator which can be found at </t>
  </si>
  <si>
    <t>FCMAT » Fiscal Crisis &amp; Management Assistance Team</t>
  </si>
  <si>
    <t>First Interim</t>
  </si>
  <si>
    <t>Cash Flow Pages:</t>
  </si>
  <si>
    <t>P-2</t>
  </si>
  <si>
    <t>Regular ADA</t>
  </si>
  <si>
    <t>Extended Year Special Ed</t>
  </si>
  <si>
    <t>Special Ed - NPS</t>
  </si>
  <si>
    <t>TK/K-3:</t>
  </si>
  <si>
    <t>A-1</t>
  </si>
  <si>
    <t>A-2</t>
  </si>
  <si>
    <t>A-3</t>
  </si>
  <si>
    <t>A-4</t>
  </si>
  <si>
    <t>A-5</t>
  </si>
  <si>
    <t>Grades 4-6</t>
  </si>
  <si>
    <t>Grades 7-8</t>
  </si>
  <si>
    <t>Grades 9-12</t>
  </si>
  <si>
    <t>Totals</t>
  </si>
  <si>
    <t>Classroom-based ADA included in A-1</t>
  </si>
  <si>
    <t>Classroom-based ADA included in A-3</t>
  </si>
  <si>
    <t>Classroom-based ADA included in A-5</t>
  </si>
  <si>
    <t>Extended Year Special Ed - NPS</t>
  </si>
  <si>
    <t>Classroom-based ADA included in A-7</t>
  </si>
  <si>
    <t>ADA for Students in Transitional Kindergarten (Lines A-1, A-3, A-5, and A-7, TK/K-3 Column, First Year ADA Only)</t>
  </si>
  <si>
    <t>A-6</t>
  </si>
  <si>
    <t>A-7</t>
  </si>
  <si>
    <t>A-8</t>
  </si>
  <si>
    <t>A-9</t>
  </si>
  <si>
    <t>A-10</t>
  </si>
  <si>
    <t>B-1</t>
  </si>
  <si>
    <t>Actual ADA</t>
  </si>
  <si>
    <t>Projected ADA</t>
  </si>
  <si>
    <r>
      <rPr>
        <b/>
        <sz val="16"/>
        <color indexed="60"/>
        <rFont val="Arial Narrow"/>
        <family val="2"/>
      </rPr>
      <t>*</t>
    </r>
    <r>
      <rPr>
        <b/>
        <sz val="12"/>
        <rFont val="Arial Narrow"/>
        <family val="2"/>
      </rPr>
      <t xml:space="preserve"> For non-classroom, P-2 ADA multiplied by Funding Determination %.  Use this amount in the LCFF calculator and any other ADA based revenue calculations.</t>
    </r>
  </si>
  <si>
    <r>
      <t xml:space="preserve">Funded ADA </t>
    </r>
    <r>
      <rPr>
        <b/>
        <sz val="16"/>
        <color indexed="60"/>
        <rFont val="Arial Narrow"/>
        <family val="2"/>
      </rPr>
      <t>*</t>
    </r>
  </si>
  <si>
    <r>
      <t>Non Classroom Funding Determination Rate</t>
    </r>
    <r>
      <rPr>
        <b/>
        <sz val="16"/>
        <color indexed="60"/>
        <rFont val="Arial Narrow"/>
        <family val="2"/>
      </rPr>
      <t>*</t>
    </r>
  </si>
  <si>
    <t>ADA/Enrollment:</t>
  </si>
  <si>
    <t xml:space="preserve">  ADA to Enrollment Ratio</t>
  </si>
  <si>
    <t xml:space="preserve">  Enrollment Growth Over Prior Year</t>
  </si>
  <si>
    <t>Classroom Staffing Ratio - Students per FTE</t>
  </si>
  <si>
    <t>Certificated Salaries and Benefits:</t>
  </si>
  <si>
    <t>Administrative Service Agreements:</t>
  </si>
  <si>
    <t>Unrestricted MYP</t>
  </si>
  <si>
    <t>EXCESS (DEFICIENCY) OF REVENUES OVER EXPENDITURES</t>
  </si>
  <si>
    <t>Restricted MYP</t>
  </si>
  <si>
    <t>Lottery Prop 20 Restricted Allocation per ADA</t>
  </si>
  <si>
    <t>Lottery Estimated Prop 20 Restricted Award</t>
  </si>
  <si>
    <t>Summary MYP</t>
  </si>
  <si>
    <t>July 1 - Beginning Balances</t>
  </si>
  <si>
    <t>Remaining Balance</t>
  </si>
  <si>
    <t>Budget Submission Check List</t>
  </si>
  <si>
    <t xml:space="preserve">Complete light green highlighted cells for: </t>
  </si>
  <si>
    <t>Estimated ADA for current and subsequent years</t>
  </si>
  <si>
    <t>Enter any Federal, State and Local Revenues that you anticipate for each year presented by Title in the detail lines at the bottom of the page. The totals will post to the summary above. (Donations, Lottery, etc.)</t>
  </si>
  <si>
    <t xml:space="preserve">Enter Fund Balance: </t>
  </si>
  <si>
    <t>Adjustments for Audit and/or Restatements - At Interim, enter any audit adjustments identified in your prior year's final audit report, if available.  The audit report is generally not available until second interim.  This entry will go in the appropriate interim column and possibly the Latest Revised column.</t>
  </si>
  <si>
    <r>
      <t>At Interims, enter your Actual Expenses (</t>
    </r>
    <r>
      <rPr>
        <b/>
        <i/>
        <sz val="9"/>
        <rFont val="Arial"/>
        <family val="2"/>
      </rPr>
      <t>rounded to the nearest dollar, do not enter cents</t>
    </r>
    <r>
      <rPr>
        <sz val="9"/>
        <rFont val="Arial"/>
        <family val="2"/>
      </rPr>
      <t xml:space="preserve">) as of the date noted. </t>
    </r>
  </si>
  <si>
    <t>At Budget, enter your Estimated Year End Actuals (for budget year minus 1).</t>
  </si>
  <si>
    <t>a</t>
  </si>
  <si>
    <t>b</t>
  </si>
  <si>
    <t>c</t>
  </si>
  <si>
    <t>Don't forget to include the reductions of your prior year payables and receivable balances since there are additions and deductions of your current year cash.</t>
  </si>
  <si>
    <t>The total column MUST equal the Projected Budget column.</t>
  </si>
  <si>
    <t>BUDGET and INTERIM REPORTING INSTRUCTIONS</t>
  </si>
  <si>
    <t>Complete light green highlighted cells</t>
  </si>
  <si>
    <t>Beg Bal</t>
  </si>
  <si>
    <t>% Change over Prior Year</t>
  </si>
  <si>
    <t>% Change over Prior Period</t>
  </si>
  <si>
    <t>Number of Teachers (FTE)</t>
  </si>
  <si>
    <t>Health and Welfare Cost per Employee</t>
  </si>
  <si>
    <t>Administive Service Contract</t>
  </si>
  <si>
    <t xml:space="preserve">  Beg Fund Balance at Unaudited Actuals</t>
  </si>
  <si>
    <t>Code(s)</t>
  </si>
  <si>
    <t>Principle</t>
  </si>
  <si>
    <t>Interest</t>
  </si>
  <si>
    <t>Principal Balance</t>
  </si>
  <si>
    <t>July 1,</t>
  </si>
  <si>
    <t>thru October 31,</t>
  </si>
  <si>
    <t>Remaining</t>
  </si>
  <si>
    <t>Ex. Erate</t>
  </si>
  <si>
    <t>Ex. Services Reimbursed by District</t>
  </si>
  <si>
    <t>EX. Title I</t>
  </si>
  <si>
    <t>thru January 31,</t>
  </si>
  <si>
    <r>
      <t xml:space="preserve">NO DEBT </t>
    </r>
    <r>
      <rPr>
        <sz val="10"/>
        <rFont val="Arial"/>
        <family val="2"/>
      </rPr>
      <t xml:space="preserve">(if no debt, </t>
    </r>
    <r>
      <rPr>
        <b/>
        <sz val="10"/>
        <rFont val="Arial"/>
        <family val="2"/>
      </rPr>
      <t>X</t>
    </r>
    <r>
      <rPr>
        <sz val="10"/>
        <rFont val="Arial"/>
        <family val="2"/>
      </rPr>
      <t>)</t>
    </r>
  </si>
  <si>
    <t>Other Contracted Costs</t>
  </si>
  <si>
    <t xml:space="preserve">     COLA (on Base)</t>
  </si>
  <si>
    <t xml:space="preserve">     Gap Funding Rate</t>
  </si>
  <si>
    <t>Board Approval Date (mm/dd/yyyy)</t>
  </si>
  <si>
    <t>Actuals - Actuals - Actuals - Actuals - Actuals - Actuals - Actuals - Actuals - Actuals - Actuals - Actuals - Actuals - Actuals - Actuals - Actuals - Actuals - Actuals - Actuals</t>
  </si>
  <si>
    <r>
      <t xml:space="preserve">On or before July 1  </t>
    </r>
    <r>
      <rPr>
        <sz val="10"/>
        <rFont val="Arial"/>
        <family val="2"/>
      </rPr>
      <t>Budget  Report to Authorizing District</t>
    </r>
    <r>
      <rPr>
        <b/>
        <sz val="10"/>
        <rFont val="Arial"/>
        <family val="2"/>
      </rPr>
      <t xml:space="preserve"> </t>
    </r>
    <r>
      <rPr>
        <b/>
        <i/>
        <sz val="10"/>
        <rFont val="Arial"/>
        <family val="2"/>
      </rPr>
      <t>(Coordinate due date with District)</t>
    </r>
  </si>
  <si>
    <t>Budget - Certification</t>
  </si>
  <si>
    <t>Budget - ADA Projections</t>
  </si>
  <si>
    <t>Budget - Unrestricted MYP</t>
  </si>
  <si>
    <t>Budget - Restricted MYP</t>
  </si>
  <si>
    <t>Budget - Summary MYP</t>
  </si>
  <si>
    <r>
      <t xml:space="preserve">Budget - Debt (sheet has a field to report if </t>
    </r>
    <r>
      <rPr>
        <u/>
        <sz val="10"/>
        <rFont val="Arial"/>
        <family val="2"/>
      </rPr>
      <t>No Debt</t>
    </r>
    <r>
      <rPr>
        <sz val="10"/>
        <rFont val="Arial"/>
        <family val="2"/>
      </rPr>
      <t>)</t>
    </r>
  </si>
  <si>
    <t>Budget - Cash Flow Year 1</t>
  </si>
  <si>
    <t>Budget - Cash Flow Year 2</t>
  </si>
  <si>
    <t>LCAP</t>
  </si>
  <si>
    <r>
      <t xml:space="preserve">Budget - Certification </t>
    </r>
    <r>
      <rPr>
        <b/>
        <i/>
        <sz val="10"/>
        <rFont val="Arial"/>
        <family val="2"/>
      </rPr>
      <t>Signed</t>
    </r>
  </si>
  <si>
    <t>Electronic - Required</t>
  </si>
  <si>
    <r>
      <rPr>
        <b/>
        <sz val="10"/>
        <color indexed="60"/>
        <rFont val="Arial"/>
        <family val="2"/>
      </rPr>
      <t xml:space="preserve">* </t>
    </r>
    <r>
      <rPr>
        <sz val="10"/>
        <rFont val="Arial"/>
        <family val="2"/>
      </rPr>
      <t xml:space="preserve"> Be sure to use the most recent version of the calculator at:</t>
    </r>
  </si>
  <si>
    <r>
      <t>LCFF calculator (using the most recent FCMAT release</t>
    </r>
    <r>
      <rPr>
        <b/>
        <sz val="10"/>
        <color indexed="60"/>
        <rFont val="Arial"/>
        <family val="2"/>
      </rPr>
      <t>*</t>
    </r>
    <r>
      <rPr>
        <sz val="10"/>
        <rFont val="Arial"/>
        <family val="2"/>
      </rPr>
      <t>)</t>
    </r>
  </si>
  <si>
    <r>
      <rPr>
        <b/>
        <sz val="10"/>
        <rFont val="Arial"/>
        <family val="2"/>
      </rPr>
      <t>On or before December 15</t>
    </r>
    <r>
      <rPr>
        <sz val="10"/>
        <rFont val="Arial"/>
        <family val="2"/>
      </rPr>
      <t xml:space="preserve"> (1st)  Interim Report to Authorizing District </t>
    </r>
    <r>
      <rPr>
        <b/>
        <i/>
        <sz val="10"/>
        <rFont val="Arial"/>
        <family val="2"/>
      </rPr>
      <t>(Coordinate due date with District)</t>
    </r>
  </si>
  <si>
    <r>
      <rPr>
        <b/>
        <sz val="10"/>
        <rFont val="Arial"/>
        <family val="2"/>
      </rPr>
      <t>On or before March 15</t>
    </r>
    <r>
      <rPr>
        <sz val="10"/>
        <rFont val="Arial"/>
        <family val="2"/>
      </rPr>
      <t xml:space="preserve"> (2nd) Interim Report to Authorizing District </t>
    </r>
    <r>
      <rPr>
        <b/>
        <i/>
        <sz val="10"/>
        <rFont val="Arial"/>
        <family val="2"/>
      </rPr>
      <t>(Coordinate due date with District)</t>
    </r>
  </si>
  <si>
    <t>Interim - Certification</t>
  </si>
  <si>
    <t>Interim - ADA Projections</t>
  </si>
  <si>
    <t>Interim-  Assumptions</t>
  </si>
  <si>
    <t>Interim - Unrestricted MYP</t>
  </si>
  <si>
    <t>Interim - Restricted MYP</t>
  </si>
  <si>
    <t>Interim - Summary MYP</t>
  </si>
  <si>
    <t>Interim - Debt (sheet has a field to report if No Debt)</t>
  </si>
  <si>
    <t>Interim - Cash Flow Year 1</t>
  </si>
  <si>
    <t>Interim - Cash Flow Year 2</t>
  </si>
  <si>
    <r>
      <t xml:space="preserve">Interim - Certification </t>
    </r>
    <r>
      <rPr>
        <b/>
        <i/>
        <sz val="10"/>
        <rFont val="Arial"/>
        <family val="2"/>
      </rPr>
      <t>Signed</t>
    </r>
  </si>
  <si>
    <t>Hard Copy - Minimum Requirement (authorizing District may require additional documents):</t>
  </si>
  <si>
    <t>Make sure the assumptions and revenue totals on the LCFF calculator match the amounts in your workbook.</t>
  </si>
  <si>
    <t>Unrestricted and Restricted MYP Pages:</t>
  </si>
  <si>
    <t>Check your net income/decrease in fund balance.  Make sure that you are not projecting a negative fund balance.  If you are, you may need to reduce your estimated expenditures.</t>
  </si>
  <si>
    <t xml:space="preserve">  Beginning Fund Balance as per Audit Report +/- Restatements</t>
  </si>
  <si>
    <t>All forms must be submitted to your sponsoring District according to their guidelines. This will allow time for our review and allow time for corrections if necessary.</t>
  </si>
  <si>
    <t>If your oversight fees are greater than 1% of your revenues, change the percentage and the amount will automatically calculate once you complete your revenues and expenditure amounts on the Interim pages.</t>
  </si>
  <si>
    <t>Prior Year P-2 ADA</t>
  </si>
  <si>
    <t>Complete the LCFF calculations using the assumptions entered on the ADA and Assumptions worksheets in the Interim tabs.</t>
  </si>
  <si>
    <t>Adjustment for Unaudited Actuals - At Interim, in the Interim Actual column and Latest Revised column, enter any adjustment necessary to adjust your projected beginning fund balance at adopted budget to actual prior year ending fund balance.</t>
  </si>
  <si>
    <t>Check your percentage increases. Do they appear reasonable?</t>
  </si>
  <si>
    <r>
      <t>Enter your actual cash inflows and outflows (</t>
    </r>
    <r>
      <rPr>
        <b/>
        <i/>
        <sz val="9"/>
        <rFont val="Arial"/>
        <family val="2"/>
      </rPr>
      <t>rounded to the nearest dollar, do not enter cents</t>
    </r>
    <r>
      <rPr>
        <sz val="9"/>
        <rFont val="Arial"/>
        <family val="2"/>
      </rPr>
      <t>) through the interim period noted and enter projected cash inflows and outflows for the remaining months.</t>
    </r>
  </si>
  <si>
    <t xml:space="preserve">The Projected Column will feed over from the Summary MYP Page. </t>
  </si>
  <si>
    <t>If cash is negative in any month reflected on the cash flow, you will have to self-certify as "QUALIFIED".  If you are unable to meet your obligations in the current and/or two subsequent years, you will need to self-certify as "NEGATIVE".</t>
  </si>
  <si>
    <t>Note: You won't need to enter any numbers into cells not colored green. These cells contain formulas or are meant to stay blank.</t>
  </si>
  <si>
    <r>
      <t xml:space="preserve">At Budget, enter your </t>
    </r>
    <r>
      <rPr>
        <b/>
        <u/>
        <sz val="9"/>
        <rFont val="Arial"/>
        <family val="2"/>
      </rPr>
      <t>Adopted Budget for July 1.</t>
    </r>
    <r>
      <rPr>
        <sz val="9"/>
        <rFont val="Arial"/>
        <family val="2"/>
      </rPr>
      <t xml:space="preserve">  The adopted budget is entered on the Budget tab and cell references to the 1st and 2nd Interim tabs.</t>
    </r>
  </si>
  <si>
    <t>Beginning Balance at Adopted Budget - in the Adopted Budget column, enter your projected prior year ending fund balance.</t>
  </si>
  <si>
    <t>Certification Pages:</t>
  </si>
  <si>
    <t>ADA pages:</t>
  </si>
  <si>
    <t>Assumptions Pages:</t>
  </si>
  <si>
    <r>
      <t xml:space="preserve">Assumptions Pages (Word): </t>
    </r>
    <r>
      <rPr>
        <b/>
        <i/>
        <u/>
        <sz val="9"/>
        <rFont val="Arial"/>
        <family val="2"/>
      </rPr>
      <t>OPTIONAL</t>
    </r>
  </si>
  <si>
    <t>Adjustments for Restatements</t>
  </si>
  <si>
    <t>Adjustments for Audit</t>
  </si>
  <si>
    <r>
      <rPr>
        <b/>
        <sz val="16"/>
        <color indexed="60"/>
        <rFont val="Arial Narrow"/>
        <family val="2"/>
      </rPr>
      <t>*</t>
    </r>
    <r>
      <rPr>
        <b/>
        <sz val="12"/>
        <rFont val="Arial Narrow"/>
        <family val="2"/>
      </rPr>
      <t xml:space="preserve"> For non-classroom, P-2 ADA is multiplied by Funding Determination %.  Use this amount in the LCFF calculator and any other ADA based revenue calculations.</t>
    </r>
  </si>
  <si>
    <t>State Aid - Prior Year</t>
  </si>
  <si>
    <t>In Lieu Property Taxes</t>
  </si>
  <si>
    <t>LCFF Sources</t>
  </si>
  <si>
    <t>Federal</t>
  </si>
  <si>
    <t>State</t>
  </si>
  <si>
    <t>Lottery - Unrestricted</t>
  </si>
  <si>
    <t>Lottery - Prop 20 - Restricted</t>
  </si>
  <si>
    <t>Other State Revenue</t>
  </si>
  <si>
    <t>Local</t>
  </si>
  <si>
    <t>AB602 Local Special Education Transfer</t>
  </si>
  <si>
    <t>Other Local Revenues</t>
  </si>
  <si>
    <t>Total Revenues</t>
  </si>
  <si>
    <t>ASSUMPTIONS FOR UNRESTRICTED PROGRAMS:</t>
  </si>
  <si>
    <t>LIST UNRESTRICTED STATE FUNDS BUDGETED IN "Other State Revenue"</t>
  </si>
  <si>
    <t>Economic Uncertainty and Unappropriated Reserve Percentage (9789+9790)/(Total Expenditures + Other Uses)</t>
  </si>
  <si>
    <t xml:space="preserve">Total Other Local Revenue Funds Budgeted:   </t>
  </si>
  <si>
    <t xml:space="preserve">Total Other State Revenue Funds Budgeted:   </t>
  </si>
  <si>
    <t xml:space="preserve">Total Federal Awards Budgeted:   </t>
  </si>
  <si>
    <t>LIST RESTRICTED STATE FUNDS BUDGETED IN "Other State Revenue"</t>
  </si>
  <si>
    <t>LIST FEDERAL RESTRICTED REVENUES</t>
  </si>
  <si>
    <t>LIST FEDERAL UNRESTRICTED REVENUES  (MOST FEDERAL PROGRAM REVENUES ARE RESTRICTED AND SHOULD BE ON RESTRICTED SHEET)</t>
  </si>
  <si>
    <t>Complete the following table for all significant multiyear commitments for the budget year and the following two years.  Clearly identify the number of years remaining and the total remaining principal amount of the commitment, the amount of principal and interest budgeted for the current fiscal year and the following two years.</t>
  </si>
  <si>
    <t>Under the Comment Section, provide a brief statement identifying the funding source for repayment of each obligation.</t>
  </si>
  <si>
    <t>LCAP:</t>
  </si>
  <si>
    <t>Local Control Funding (LCFF) - BAS/FCMAT Calculator:</t>
  </si>
  <si>
    <t>LIST OTHER UNRESTRICTED LOCAL REVENUES BUDGETED in "Other Local Revenues"</t>
  </si>
  <si>
    <t>Accounts Receivable</t>
  </si>
  <si>
    <t>Accounts Payable</t>
  </si>
  <si>
    <t>Line of Credit Payments</t>
  </si>
  <si>
    <t>Deferred Revenue</t>
  </si>
  <si>
    <t>LIST OTHER RESTRICTED LOCAL REVENUES BUDGETED in "Other Local Revenues"</t>
  </si>
  <si>
    <t>ASSUMPTIONS FOR RESTRICTED PROGRAMS:</t>
  </si>
  <si>
    <t xml:space="preserve">PY CBEDS Certified Enrollment    </t>
  </si>
  <si>
    <t>Non Classroom Funding Determination Rate*</t>
  </si>
  <si>
    <t xml:space="preserve">Facilities:        </t>
  </si>
  <si>
    <t>Rent</t>
  </si>
  <si>
    <t>Electricity</t>
  </si>
  <si>
    <t>Heating (gas)</t>
  </si>
  <si>
    <t>List Noteworthy Assumptions for other budget line items: (Books, Supplies, Services, Capital Outlay, Debt, etc.)</t>
  </si>
  <si>
    <t>Lottery Allocation Amount Per ADA:</t>
  </si>
  <si>
    <t>List Noteworthy Assumptions for other 1st Interim line items: (Books, Supplies, Services, Capital Outlay, Debt, etc.)</t>
  </si>
  <si>
    <t xml:space="preserve">Non- Classroom based instruction </t>
  </si>
  <si>
    <t>Teachers Increased/(Decreased) for projected Enrollment change over PY</t>
  </si>
  <si>
    <t>Committed</t>
  </si>
  <si>
    <t>Reserve for Ecomonic Uncertainties</t>
  </si>
  <si>
    <t>Undesignated / Unappropriated Amount / Unrestricted Net Position</t>
  </si>
  <si>
    <t>Unassigned</t>
  </si>
  <si>
    <t>To the authorizing/oversight district:</t>
  </si>
  <si>
    <t>Record any other noteworthy items that may make a material difference in your numbers from one year to the next.</t>
  </si>
  <si>
    <t>For each item listed on the Assumptions page, please provide a written document (or a cover letter to your budget) that explains where you obtained your information, what you are basing your enrollment and ADA on, how you estimated salaries, benefits, increases or decreases in utility costs and so on. Please explain all your assumptions. You may need to explain more than what is listed on the Excel Assumptions page. This cover letter will help us review your budget in detail and avoid multiple phone calls to you to explain how you arrived at your estimates. This detail helps both your school and your authorizing district.</t>
  </si>
  <si>
    <t>Enter expenditures that you anticapate in each category listed for each year presented.</t>
  </si>
  <si>
    <t>At Interims, enter your latest revised budget (may be your Adopted budget or any other recent revisions approved by your board).</t>
  </si>
  <si>
    <t xml:space="preserve">PY CBEDS Certified Unduplicated Count    </t>
  </si>
  <si>
    <t>Ex. Mandate Block Grant</t>
  </si>
  <si>
    <t>A-11</t>
  </si>
  <si>
    <t>Non classroom-based ADA Totals (Difference of A-9 and A-10)</t>
  </si>
  <si>
    <t>Total Funded ADA</t>
  </si>
  <si>
    <t>ADA Totals (A-1, A3, A5, A7)</t>
  </si>
  <si>
    <t>Classroom-based ADA Totals (A-2, A-4, A-6, A-8)</t>
  </si>
  <si>
    <t>Actuals - Actuals - Actuals - Actuals - Actuals - Actuals - Actuals - Actuals - Actuals - Actuals</t>
  </si>
  <si>
    <t>ASSUMPTIONS RESTRICTED PROGRAMS:</t>
  </si>
  <si>
    <t>Unduplicated Count</t>
  </si>
  <si>
    <t>https://www.fcmat.org/lcff</t>
  </si>
  <si>
    <t>Charter Authorizer:</t>
  </si>
  <si>
    <t>2023-24</t>
  </si>
  <si>
    <r>
      <t xml:space="preserve">Total Phase-In Entitlement </t>
    </r>
    <r>
      <rPr>
        <b/>
        <sz val="12"/>
        <rFont val="Arial Narrow"/>
        <family val="2"/>
      </rPr>
      <t>(FCMAT calculator, Summary Tab)</t>
    </r>
  </si>
  <si>
    <r>
      <t>Total Phase-In Entitlement</t>
    </r>
    <r>
      <rPr>
        <b/>
        <sz val="12"/>
        <rFont val="Arial Narrow"/>
        <family val="2"/>
      </rPr>
      <t xml:space="preserve"> (FCMAT calculator, Summary Tab)</t>
    </r>
  </si>
  <si>
    <t>Public Hearing Date (mm/dd/yyyy)</t>
  </si>
  <si>
    <t>CY</t>
  </si>
  <si>
    <t>ADA</t>
  </si>
  <si>
    <t>PY</t>
  </si>
  <si>
    <t>SY1</t>
  </si>
  <si>
    <t>Enrollment</t>
  </si>
  <si>
    <t>UPP (Rolling)</t>
  </si>
  <si>
    <t>Teacher FTE</t>
  </si>
  <si>
    <t>Classified Salaries and Benefits:</t>
  </si>
  <si>
    <t>Number of Other Certificated FTEs</t>
  </si>
  <si>
    <t>Retirement Cost per ClassEmployee</t>
  </si>
  <si>
    <t>Health and Welfare Cost per Class Employee</t>
  </si>
  <si>
    <t>Class Step and Column Increase (Total Annual Cost)</t>
  </si>
  <si>
    <t>Cert Step and Column Increase (Total Annual Cost)</t>
  </si>
  <si>
    <t>Other Cert FTE</t>
  </si>
  <si>
    <t>Class FTE</t>
  </si>
  <si>
    <t>Explain any year over year changes (+/- positions, budgeted salary increases (ongoing or one-time), health and welfare contribution changes, etc…):</t>
  </si>
  <si>
    <t>LCFF 8011</t>
  </si>
  <si>
    <t>In Lieu Property Taxes 8096</t>
  </si>
  <si>
    <t>State Aid - Prior Year 8019</t>
  </si>
  <si>
    <t>Beginning Balance at Adopted Budget 9791</t>
  </si>
  <si>
    <t>Adjustments for Audit 9793</t>
  </si>
  <si>
    <t>Adjustments for Restatements 9795</t>
  </si>
  <si>
    <t>Ending Balance 9790</t>
  </si>
  <si>
    <t>Unrestricted FUND BALANCE</t>
  </si>
  <si>
    <t>Restricted FUND BALANCE</t>
  </si>
  <si>
    <t>Revolving Cash 9711</t>
  </si>
  <si>
    <t>Prepaid Expenditures 9713</t>
  </si>
  <si>
    <t>All Others 9719</t>
  </si>
  <si>
    <t>Committed - Stabilization Arrangements 9750</t>
  </si>
  <si>
    <t>Committed - Other 9760</t>
  </si>
  <si>
    <t>Assignments 9780</t>
  </si>
  <si>
    <t>Reserve for Ecomonic Uncertainties 9789</t>
  </si>
  <si>
    <t>Undesignated/Unappropriated Amount/Unrestricted Net Position 9790</t>
  </si>
  <si>
    <t>Adjustments for Unaudited Actuals 9791</t>
  </si>
  <si>
    <t>Stores 9711</t>
  </si>
  <si>
    <t>EPA 8011</t>
  </si>
  <si>
    <t>Fund Balance Standard</t>
  </si>
  <si>
    <t>or</t>
  </si>
  <si>
    <t>greater of</t>
  </si>
  <si>
    <t>Percent Level</t>
  </si>
  <si>
    <t>Charter ADA</t>
  </si>
  <si>
    <t>to</t>
  </si>
  <si>
    <t>or more</t>
  </si>
  <si>
    <t>Reserve Standard Met/Not Met</t>
  </si>
  <si>
    <t>Deficit Spending Standard</t>
  </si>
  <si>
    <t>Unrestricted defiit spending as a percentage of total unrestricted expenditures and other financing uses, has not exceeded one-third of the district's available reserves as a percentage of total expenditures and other financing uses in any of the current fiscal year or two subsequent fiscal years.</t>
  </si>
  <si>
    <t>Unrestricted Deficit Spending Percentage</t>
  </si>
  <si>
    <t>Unrestricted Deficit Spending Standard</t>
  </si>
  <si>
    <t>Unrestricted Deficit Spending Standard Met/Not Met</t>
  </si>
  <si>
    <t>Available Fund Balance %</t>
  </si>
  <si>
    <t>Deficit Spending %</t>
  </si>
  <si>
    <t xml:space="preserve"> QUALIFIED</t>
  </si>
  <si>
    <t xml:space="preserve"> POSITIVE</t>
  </si>
  <si>
    <t xml:space="preserve">   NEGATIVE</t>
  </si>
  <si>
    <t>As the Charter School Official, I certify that this Charter will be able to meet its financial obligations for the current fiscal year and two subsequent fiscal years.</t>
  </si>
  <si>
    <t>As the Charter School Official, I certify that this Charter may not meet its financial obligations for the current fiscal year or two subsequent fiscal years.</t>
  </si>
  <si>
    <t>As the Charter School Official, I certify that based upon current projections this charter will be unable to meet its financial obligations for remainder of the fiscal year or for the subsequent year.</t>
  </si>
  <si>
    <t xml:space="preserve">Adopted Budget </t>
  </si>
  <si>
    <t>Unrestricted Total Rev and Funding Sources</t>
  </si>
  <si>
    <t>Unrestricted Total Exp and Other Uses</t>
  </si>
  <si>
    <t>Restricted Total Rev and Funding Sources</t>
  </si>
  <si>
    <t>Restricted Total Exp and Other Uses</t>
  </si>
  <si>
    <t>What % of student population is Special Ed</t>
  </si>
  <si>
    <t>Unrestricted contribution to Special Ed</t>
  </si>
  <si>
    <t>AB602 Revenue</t>
  </si>
  <si>
    <t>Other Special Ed Revenue</t>
  </si>
  <si>
    <t>Total Special Ed Funding</t>
  </si>
  <si>
    <t>Special Ed Expenditures</t>
  </si>
  <si>
    <t>Charter under School District, or a member LEA for SELPA services?</t>
  </si>
  <si>
    <t>SPECIAL EDUCATION DETAILS:</t>
  </si>
  <si>
    <t>STRS Rate</t>
  </si>
  <si>
    <t>PERS Rate</t>
  </si>
  <si>
    <t>Unrestricted Exp</t>
  </si>
  <si>
    <t xml:space="preserve">  Total</t>
  </si>
  <si>
    <t>Restricted Exp</t>
  </si>
  <si>
    <t>Statutory Benefits</t>
  </si>
  <si>
    <t>FICA</t>
  </si>
  <si>
    <t>Medi</t>
  </si>
  <si>
    <t>Unemployment</t>
  </si>
  <si>
    <t>Workers Comp</t>
  </si>
  <si>
    <t>Class H&amp;W/EE</t>
  </si>
  <si>
    <t>Cert H&amp;W/EE</t>
  </si>
  <si>
    <t>As the Charter School Authorizer, I believe that this Charter will be able to meet its financial obligations for the current fiscal year and two subsequent fiscal years.</t>
  </si>
  <si>
    <t>As the Charter School Authorizer, I believe that this Charter may not meet its financial obligations for the current fiscal year or two subsequent fiscal years.</t>
  </si>
  <si>
    <t>As the Charter School Authorizer, I believe that based upon current projections this charter will be unable to meet its financial obligations for remainder of the fiscal year or for the subsequent year.</t>
  </si>
  <si>
    <t>Number of Classified Mangement FTEs</t>
  </si>
  <si>
    <t>Number of Classified (Non-Mgmt) FTEs</t>
  </si>
  <si>
    <t>Explain "Other" facility costs:</t>
  </si>
  <si>
    <t>For SELPA services, is the Charter under School District, or a member LEA?</t>
  </si>
  <si>
    <t>If MOU contains a Reserve Standard other than above, enter here</t>
  </si>
  <si>
    <t>Reserve Standard (unless different standard identified in MOU)</t>
  </si>
  <si>
    <t>Capital Lease</t>
  </si>
  <si>
    <t>Inter-Agency Borrowing</t>
  </si>
  <si>
    <t>Unrestricted Contribution to Special Ed</t>
  </si>
  <si>
    <t>If Restricted Fund Balances Exist, Identify Balance by Program:</t>
  </si>
  <si>
    <t>EX. AB602 - Special Education</t>
  </si>
  <si>
    <t>Cert Mgt FTE</t>
  </si>
  <si>
    <t>Other Cert Staff salary Per FTE</t>
  </si>
  <si>
    <t xml:space="preserve">Teacher Ave salary Per FTE </t>
  </si>
  <si>
    <t>Cert Mgt salary Per FTE</t>
  </si>
  <si>
    <t>Class Ave salary Per FTE</t>
  </si>
  <si>
    <t>Class Mgmt Ave salary Per FTE</t>
  </si>
  <si>
    <t>Class MGMT FTE</t>
  </si>
  <si>
    <t>Cash Flow</t>
  </si>
  <si>
    <t>Beginning Cash</t>
  </si>
  <si>
    <t>Debt</t>
  </si>
  <si>
    <t>If MOU contains a Reserve Standard other than above</t>
  </si>
  <si>
    <t>Charter Authorizer</t>
  </si>
  <si>
    <t>Ending Resticted Fund Balance</t>
  </si>
  <si>
    <r>
      <t xml:space="preserve">Average Teacher FTE </t>
    </r>
    <r>
      <rPr>
        <b/>
        <u/>
        <sz val="12"/>
        <rFont val="Arial Narrow"/>
        <family val="2"/>
      </rPr>
      <t>Salary</t>
    </r>
  </si>
  <si>
    <r>
      <t xml:space="preserve">Average Certificated Management FTE </t>
    </r>
    <r>
      <rPr>
        <b/>
        <u/>
        <sz val="12"/>
        <rFont val="Arial Narrow"/>
        <family val="2"/>
      </rPr>
      <t>Salary</t>
    </r>
  </si>
  <si>
    <r>
      <t xml:space="preserve">Average Other Certificated FTE </t>
    </r>
    <r>
      <rPr>
        <b/>
        <u/>
        <sz val="12"/>
        <rFont val="Arial Narrow"/>
        <family val="2"/>
      </rPr>
      <t>Salary</t>
    </r>
  </si>
  <si>
    <r>
      <t xml:space="preserve">   Unduplicated Pupil %</t>
    </r>
    <r>
      <rPr>
        <b/>
        <sz val="12"/>
        <rFont val="Arial Narrow"/>
        <family val="2"/>
      </rPr>
      <t xml:space="preserve"> </t>
    </r>
    <r>
      <rPr>
        <b/>
        <sz val="10"/>
        <rFont val="Arial Narrow"/>
        <family val="2"/>
      </rPr>
      <t xml:space="preserve">(FCMAT LCFF Calc, Summary Tab, </t>
    </r>
    <r>
      <rPr>
        <b/>
        <u/>
        <sz val="11"/>
        <rFont val="Arial Narrow"/>
        <family val="2"/>
      </rPr>
      <t>Rolling</t>
    </r>
    <r>
      <rPr>
        <b/>
        <sz val="10"/>
        <rFont val="Arial Narrow"/>
        <family val="2"/>
      </rPr>
      <t xml:space="preserve"> %)</t>
    </r>
  </si>
  <si>
    <t>If not meeting standards, discuss fiscal recovery plan:</t>
  </si>
  <si>
    <t>Complete the Reserves Standard section and Deficit Spending Standard section.  If not meeting standards, explain why and what your plan is to resolve the issue.</t>
  </si>
  <si>
    <t>If deficit spending, explain cause and if one-time or on-going.  If for on-going, what is the Charter's plan to eliminatethe deficit?</t>
  </si>
  <si>
    <r>
      <t xml:space="preserve">Average </t>
    </r>
    <r>
      <rPr>
        <b/>
        <u/>
        <sz val="12"/>
        <rFont val="Arial Narrow"/>
        <family val="2"/>
      </rPr>
      <t>Salary</t>
    </r>
    <r>
      <rPr>
        <sz val="12"/>
        <rFont val="Arial Narrow"/>
        <family val="2"/>
      </rPr>
      <t xml:space="preserve"> per Classified Non-Mgmt FTE</t>
    </r>
  </si>
  <si>
    <r>
      <t xml:space="preserve">Average </t>
    </r>
    <r>
      <rPr>
        <b/>
        <u/>
        <sz val="12"/>
        <rFont val="Arial Narrow"/>
        <family val="2"/>
      </rPr>
      <t>Salar</t>
    </r>
    <r>
      <rPr>
        <b/>
        <sz val="12"/>
        <rFont val="Arial Narrow"/>
        <family val="2"/>
      </rPr>
      <t>y</t>
    </r>
    <r>
      <rPr>
        <sz val="12"/>
        <rFont val="Arial Narrow"/>
        <family val="2"/>
      </rPr>
      <t xml:space="preserve"> per Classified Mgmt FTE</t>
    </r>
  </si>
  <si>
    <t>Medicare Tax</t>
  </si>
  <si>
    <t>FICA (Social Security)</t>
  </si>
  <si>
    <t>Number of Certificated Management FTEs</t>
  </si>
  <si>
    <t>Ending Fund Balance</t>
  </si>
  <si>
    <t>SY2</t>
  </si>
  <si>
    <t>2024-25</t>
  </si>
  <si>
    <t>Other Pay, Stipends, Extra Pay</t>
  </si>
  <si>
    <t xml:space="preserve">Optional - Additional information/explanation of Certificated S&amp;B Assumptions above (calculation methodology, inclusions/exclusions, etc…): </t>
  </si>
  <si>
    <t>Optional - Additional information/explanation of Certificated S&amp;B Assumptions above (calculation methodology, inclusions/exclusions, etc…):</t>
  </si>
  <si>
    <t>Cert Other Pay, Stipends, Extra Pay</t>
  </si>
  <si>
    <t>Class Other Pay, Stipends, Extra Pay</t>
  </si>
  <si>
    <t>Retirement Cost per Class Employee</t>
  </si>
  <si>
    <t>Retirement Cost per Cert Employee</t>
  </si>
  <si>
    <t>Other Contracted costs</t>
  </si>
  <si>
    <t>2025-26</t>
  </si>
  <si>
    <t>2026-27</t>
  </si>
  <si>
    <t>Form Revised (revision date here if revised)</t>
  </si>
  <si>
    <t>If template has been revised mid fiscal year, date of revision and changes are identified below:</t>
  </si>
  <si>
    <t>2024</t>
  </si>
  <si>
    <t>9400-9489</t>
  </si>
  <si>
    <t>Depreciation Expense (Accrual Basis Only)</t>
  </si>
  <si>
    <t>Capital Outlay (Modified Accrual Basis Only)</t>
  </si>
  <si>
    <t>Capital Assets - Net of Accum Depr (Accrual Basis Only)</t>
  </si>
  <si>
    <t>TOTAL OTHER ADJUSTMENTS</t>
  </si>
  <si>
    <t>TOTAL BALANCE SHEET</t>
  </si>
  <si>
    <t>BALANCE SHEET</t>
  </si>
  <si>
    <t>Other Non Current Assets</t>
  </si>
  <si>
    <t>Other Non Current Liabilities</t>
  </si>
  <si>
    <t>Beg Cash +Beg Assets - Beg Liab</t>
  </si>
  <si>
    <t>Beg FB</t>
  </si>
  <si>
    <t>Ending Cash (AC6) plus Ending Total Balance Sheet (AE52) plus Accruals (AC64) should equal Ending Fund Balance</t>
  </si>
  <si>
    <t>(Ending Cash +  Ending Total Bal Sheet + Accruals) - Ending Fund Balance</t>
  </si>
  <si>
    <t>(Ending Cash + Ending Total Bal Sheet + Accruals) - Ending Fund Balance</t>
  </si>
  <si>
    <t>Budget - Assumptions</t>
  </si>
  <si>
    <t>Encor Jr./Sr. High School for the Performing and Visual Arts</t>
  </si>
  <si>
    <t>35-75044-01166707</t>
  </si>
  <si>
    <t>Hesperia Unified School District</t>
  </si>
  <si>
    <t>San Bernardino</t>
  </si>
  <si>
    <t>0971</t>
  </si>
  <si>
    <t>X</t>
  </si>
  <si>
    <t>Kortney Grimm</t>
  </si>
  <si>
    <t>Director of Fiscal Services</t>
  </si>
  <si>
    <t>Daniel J. Lee</t>
  </si>
  <si>
    <t>Business Representative</t>
  </si>
  <si>
    <t>(323) 457-0499</t>
  </si>
  <si>
    <t>dlee@iconsm.com</t>
  </si>
  <si>
    <t>None Noted</t>
  </si>
  <si>
    <t>Mandated Cost Reimbursement</t>
  </si>
  <si>
    <t>Donations</t>
  </si>
  <si>
    <t>All Other Fees and Contracts</t>
  </si>
  <si>
    <t>All Other Local Revenue</t>
  </si>
  <si>
    <t>Various State Programs</t>
  </si>
  <si>
    <t>Special Education - Federal</t>
  </si>
  <si>
    <t>Child Nutrition - Federal</t>
  </si>
  <si>
    <t>Title I</t>
  </si>
  <si>
    <t>Title II</t>
  </si>
  <si>
    <t>Title IV</t>
  </si>
  <si>
    <t>ESSER III 3213/14</t>
  </si>
  <si>
    <t>ESSER III</t>
  </si>
  <si>
    <t>ESSER III: LL</t>
  </si>
  <si>
    <t>GEER II 3217</t>
  </si>
  <si>
    <t xml:space="preserve">ELO GEER II </t>
  </si>
  <si>
    <t>ELO ESSER III State Reserve Emergency Needs</t>
  </si>
  <si>
    <t>Other Federal Revenues</t>
  </si>
  <si>
    <t>AB602 State SPED</t>
  </si>
  <si>
    <t>Child Nutrition - State</t>
  </si>
  <si>
    <t>SB740 Grant</t>
  </si>
  <si>
    <t>Arts &amp; Music in Schools</t>
  </si>
  <si>
    <t>All Other State Revenues</t>
  </si>
  <si>
    <t>Chandale Sutton</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</si>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</sst>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0.00_);[Red]\(0.00\)"/>
    <numFmt numFmtId="167" formatCode="&quot;$&quot;#,##0"/>
    <numFmt numFmtId="168" formatCode="0.000%"/>
    <numFmt numFmtId="169" formatCode="_(&quot;$&quot;* #,##0_);_(&quot;$&quot;* \(#,##0\);_(&quot;$&quot;* &quot;-&quot;??_);_(@_)"/>
    <numFmt numFmtId="170" formatCode="0.00000%"/>
    <numFmt numFmtId="171" formatCode="0.0%"/>
    <numFmt numFmtId="172" formatCode="0_);[Red]\(0\)"/>
    <numFmt numFmtId="173" formatCode="m/d;@"/>
  </numFmts>
  <fonts count="69">
    <font>
      <sz val="10"/>
      <name val="Arial"/>
    </font>
    <font>
      <sz val="10"/>
      <name val="Arial"/>
      <family val="2"/>
    </font>
    <font>
      <b/>
      <sz val="11"/>
      <color indexed="8"/>
      <name val="Arial"/>
      <family val="2"/>
    </font>
    <font>
      <sz val="11"/>
      <name val="Arial"/>
      <family val="2"/>
    </font>
    <font>
      <sz val="10"/>
      <name val="Arial Narrow"/>
      <family val="2"/>
    </font>
    <font>
      <sz val="8"/>
      <name val="Arial"/>
      <family val="2"/>
    </font>
    <font>
      <b/>
      <sz val="12"/>
      <name val="Arial Narrow"/>
      <family val="2"/>
    </font>
    <font>
      <sz val="12"/>
      <name val="Arial Narrow"/>
      <family val="2"/>
    </font>
    <font>
      <sz val="12"/>
      <name val="Times New Roman"/>
      <family val="1"/>
    </font>
    <font>
      <b/>
      <i/>
      <sz val="12"/>
      <name val="Arial Narrow"/>
      <family val="2"/>
    </font>
    <font>
      <b/>
      <sz val="8"/>
      <name val="Comic Sans MS"/>
      <family val="4"/>
    </font>
    <font>
      <sz val="8"/>
      <name val="Comic Sans MS"/>
      <family val="4"/>
    </font>
    <font>
      <b/>
      <sz val="10"/>
      <name val="Arial"/>
      <family val="2"/>
    </font>
    <font>
      <sz val="12"/>
      <name val="Arial"/>
      <family val="2"/>
    </font>
    <font>
      <b/>
      <sz val="11"/>
      <name val="Arial"/>
      <family val="2"/>
    </font>
    <font>
      <sz val="10"/>
      <name val="Arial"/>
      <family val="2"/>
    </font>
    <font>
      <b/>
      <u/>
      <sz val="11"/>
      <name val="Arial"/>
      <family val="2"/>
    </font>
    <font>
      <u/>
      <sz val="11"/>
      <name val="Arial"/>
      <family val="2"/>
    </font>
    <font>
      <sz val="10"/>
      <name val="Geneva"/>
    </font>
    <font>
      <b/>
      <sz val="10"/>
      <name val="Arial Narrow"/>
      <family val="2"/>
    </font>
    <font>
      <sz val="10"/>
      <name val="Arial"/>
      <family val="2"/>
    </font>
    <font>
      <b/>
      <sz val="14"/>
      <name val="Arial"/>
      <family val="2"/>
    </font>
    <font>
      <b/>
      <sz val="9"/>
      <name val="Arial"/>
      <family val="2"/>
    </font>
    <font>
      <sz val="9"/>
      <name val="Arial"/>
      <family val="2"/>
    </font>
    <font>
      <b/>
      <u/>
      <sz val="9"/>
      <name val="Arial"/>
      <family val="2"/>
    </font>
    <font>
      <b/>
      <i/>
      <sz val="9"/>
      <name val="Arial"/>
      <family val="2"/>
    </font>
    <font>
      <b/>
      <i/>
      <u/>
      <sz val="9"/>
      <name val="Arial"/>
      <family val="2"/>
    </font>
    <font>
      <sz val="12"/>
      <name val="Arial"/>
      <family val="2"/>
    </font>
    <font>
      <b/>
      <sz val="11"/>
      <color indexed="8"/>
      <name val="Arial Narrow"/>
      <family val="2"/>
    </font>
    <font>
      <b/>
      <sz val="12"/>
      <color indexed="8"/>
      <name val="Arial Narrow"/>
      <family val="2"/>
    </font>
    <font>
      <sz val="12"/>
      <color indexed="56"/>
      <name val="Arial Narrow"/>
      <family val="2"/>
    </font>
    <font>
      <sz val="12"/>
      <color indexed="8"/>
      <name val="Arial Narrow"/>
      <family val="2"/>
    </font>
    <font>
      <sz val="9"/>
      <color indexed="81"/>
      <name val="Tahoma"/>
      <family val="2"/>
    </font>
    <font>
      <b/>
      <sz val="9"/>
      <color indexed="81"/>
      <name val="Tahoma"/>
      <family val="2"/>
    </font>
    <font>
      <b/>
      <sz val="12"/>
      <color indexed="18"/>
      <name val="Arial Narrow"/>
      <family val="2"/>
    </font>
    <font>
      <b/>
      <i/>
      <sz val="10"/>
      <name val="Arial"/>
      <family val="2"/>
    </font>
    <font>
      <b/>
      <sz val="11"/>
      <name val="Arial Narrow"/>
      <family val="2"/>
    </font>
    <font>
      <b/>
      <sz val="8"/>
      <name val="Arial Narrow"/>
      <family val="2"/>
    </font>
    <font>
      <b/>
      <sz val="16"/>
      <color indexed="60"/>
      <name val="Arial Narrow"/>
      <family val="2"/>
    </font>
    <font>
      <sz val="10"/>
      <color indexed="8"/>
      <name val="Arial"/>
      <family val="2"/>
    </font>
    <font>
      <u/>
      <sz val="10"/>
      <name val="Arial"/>
      <family val="2"/>
    </font>
    <font>
      <b/>
      <sz val="10"/>
      <color indexed="60"/>
      <name val="Arial"/>
      <family val="2"/>
    </font>
    <font>
      <sz val="11"/>
      <name val="Arial Narrow"/>
      <family val="2"/>
    </font>
    <font>
      <sz val="8"/>
      <color indexed="81"/>
      <name val="Tahoma"/>
      <family val="2"/>
    </font>
    <font>
      <sz val="8"/>
      <name val="Arial Narrow"/>
      <family val="2"/>
    </font>
    <font>
      <b/>
      <u/>
      <sz val="12"/>
      <name val="Arial Narrow"/>
      <family val="2"/>
    </font>
    <font>
      <b/>
      <u/>
      <sz val="11"/>
      <name val="Arial Narrow"/>
      <family val="2"/>
    </font>
    <font>
      <sz val="10"/>
      <color indexed="8"/>
      <name val="Arial Narrow"/>
      <family val="2"/>
    </font>
    <font>
      <u/>
      <sz val="10"/>
      <color theme="10"/>
      <name val="Arial"/>
      <family val="2"/>
    </font>
    <font>
      <sz val="12"/>
      <color theme="0" tint="-0.14999847407452621"/>
      <name val="Arial Narrow"/>
      <family val="2"/>
    </font>
    <font>
      <sz val="12"/>
      <color theme="0" tint="-0.249977111117893"/>
      <name val="Arial Narrow"/>
      <family val="2"/>
    </font>
    <font>
      <sz val="12"/>
      <color theme="3"/>
      <name val="Arial Narrow"/>
      <family val="2"/>
    </font>
    <font>
      <sz val="10"/>
      <color rgb="FFFF0000"/>
      <name val="Arial"/>
      <family val="2"/>
    </font>
    <font>
      <b/>
      <sz val="8"/>
      <color rgb="FF00B050"/>
      <name val="Arial"/>
      <family val="2"/>
    </font>
    <font>
      <b/>
      <sz val="8"/>
      <color rgb="FF00B050"/>
      <name val="Arial Narrow"/>
      <family val="2"/>
    </font>
    <font>
      <b/>
      <sz val="6"/>
      <color rgb="FF00B050"/>
      <name val="Arial"/>
      <family val="2"/>
    </font>
    <font>
      <b/>
      <sz val="9"/>
      <color rgb="FF00B050"/>
      <name val="Arial"/>
      <family val="2"/>
    </font>
    <font>
      <b/>
      <sz val="12"/>
      <color rgb="FF00B050"/>
      <name val="Arial Narrow"/>
      <family val="2"/>
    </font>
    <font>
      <sz val="8"/>
      <color rgb="FF00B050"/>
      <name val="Arial Narrow"/>
      <family val="2"/>
    </font>
    <font>
      <sz val="12"/>
      <color rgb="FF00B050"/>
      <name val="Arial Narrow"/>
      <family val="2"/>
    </font>
    <font>
      <sz val="8"/>
      <color rgb="FF00B050"/>
      <name val="Arial"/>
      <family val="2"/>
    </font>
    <font>
      <b/>
      <sz val="10"/>
      <color rgb="FFFF0000"/>
      <name val="Arial"/>
      <family val="2"/>
    </font>
    <font>
      <sz val="9"/>
      <color indexed="81"/>
      <name val="Tahoma"/>
      <charset val="1"/>
    </font>
    <font>
      <b/>
      <sz val="9"/>
      <color indexed="81"/>
      <name val="Tahoma"/>
      <charset val="1"/>
    </font>
    <font>
      <sz val="12"/>
      <color rgb="FF003366"/>
      <name val="Arial Narrow"/>
      <family val="2"/>
    </font>
    <font>
      <b/>
      <sz val="10"/>
      <color theme="9" tint="-0.499984740745262"/>
      <name val="Arial"/>
      <family val="2"/>
    </font>
    <font>
      <b/>
      <sz val="10"/>
      <color theme="9" tint="-0.249977111117893"/>
      <name val="Arial"/>
      <family val="2"/>
    </font>
    <font>
      <b/>
      <sz val="8"/>
      <name val="Arial"/>
      <family val="2"/>
    </font>
    <font>
      <sz val="10"/>
      <color rgb="FF000000"/>
      <name val="Arial"/>
      <family val="2"/>
    </font>
  </fonts>
  <fills count="17">
    <fill>
      <patternFill patternType="none"/>
    </fill>
    <fill>
      <patternFill patternType="gray125"/>
    </fill>
    <fill>
      <patternFill patternType="solid">
        <fgColor indexed="42"/>
        <bgColor indexed="64"/>
      </patternFill>
    </fill>
    <fill>
      <patternFill patternType="solid">
        <fgColor indexed="22"/>
        <bgColor indexed="8"/>
      </patternFill>
    </fill>
    <fill>
      <patternFill patternType="solid">
        <fgColor indexed="42"/>
        <bgColor indexed="8"/>
      </patternFill>
    </fill>
    <fill>
      <patternFill patternType="solid">
        <fgColor rgb="FFCCFFCC"/>
        <bgColor indexed="64"/>
      </patternFill>
    </fill>
    <fill>
      <patternFill patternType="solid">
        <fgColor theme="0" tint="-0.249977111117893"/>
        <bgColor indexed="64"/>
      </patternFill>
    </fill>
    <fill>
      <patternFill patternType="solid">
        <fgColor theme="0" tint="-0.249977111117893"/>
        <bgColor indexed="8"/>
      </patternFill>
    </fill>
    <fill>
      <patternFill patternType="solid">
        <fgColor theme="0"/>
        <bgColor indexed="64"/>
      </patternFill>
    </fill>
    <fill>
      <patternFill patternType="solid">
        <fgColor rgb="FFFFFFFF"/>
        <bgColor indexed="64"/>
      </patternFill>
    </fill>
    <fill>
      <patternFill patternType="solid">
        <fgColor rgb="FFCCFFCC"/>
        <bgColor indexed="8"/>
      </patternFill>
    </fill>
    <fill>
      <patternFill patternType="solid">
        <fgColor theme="0"/>
        <bgColor indexed="8"/>
      </patternFill>
    </fill>
    <fill>
      <patternFill patternType="solid">
        <fgColor theme="0" tint="-0.34998626667073579"/>
        <bgColor indexed="64"/>
      </patternFill>
    </fill>
    <fill>
      <patternFill patternType="solid">
        <fgColor rgb="FFCDFECD"/>
        <bgColor indexed="64"/>
      </patternFill>
    </fill>
    <fill>
      <patternFill patternType="solid">
        <fgColor rgb="FFBFBFBF"/>
        <bgColor indexed="64"/>
      </patternFill>
    </fill>
    <fill>
      <patternFill patternType="solid">
        <fgColor theme="0" tint="-0.34998626667073579"/>
        <bgColor indexed="8"/>
      </patternFill>
    </fill>
    <fill>
      <patternFill patternType="solid">
        <fgColor rgb="FFFFFF00"/>
        <bgColor indexed="64"/>
      </patternFill>
    </fill>
  </fills>
  <borders count="262">
    <border>
      <left/>
      <right/>
      <top/>
      <bottom/>
      <diagonal/>
    </border>
    <border>
      <left/>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double">
        <color indexed="64"/>
      </top>
      <bottom/>
      <diagonal/>
    </border>
    <border>
      <left/>
      <right/>
      <top/>
      <bottom style="double">
        <color indexed="64"/>
      </bottom>
      <diagonal/>
    </border>
    <border>
      <left/>
      <right style="medium">
        <color indexed="64"/>
      </right>
      <top/>
      <bottom/>
      <diagonal/>
    </border>
    <border>
      <left style="thin">
        <color indexed="8"/>
      </left>
      <right style="thin">
        <color indexed="8"/>
      </right>
      <top/>
      <bottom/>
      <diagonal/>
    </border>
    <border>
      <left/>
      <right/>
      <top style="thin">
        <color indexed="8"/>
      </top>
      <bottom style="thin">
        <color indexed="8"/>
      </bottom>
      <diagonal/>
    </border>
    <border>
      <left/>
      <right/>
      <top/>
      <bottom style="thin">
        <color indexed="8"/>
      </bottom>
      <diagonal/>
    </border>
    <border>
      <left/>
      <right/>
      <top style="double">
        <color indexed="8"/>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8"/>
      </left>
      <right style="medium">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double">
        <color indexed="64"/>
      </bottom>
      <diagonal/>
    </border>
    <border>
      <left style="thick">
        <color indexed="64"/>
      </left>
      <right/>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double">
        <color indexed="8"/>
      </bottom>
      <diagonal/>
    </border>
    <border>
      <left style="thick">
        <color indexed="8"/>
      </left>
      <right style="thick">
        <color indexed="8"/>
      </right>
      <top style="medium">
        <color indexed="64"/>
      </top>
      <bottom style="thick">
        <color indexed="8"/>
      </bottom>
      <diagonal/>
    </border>
    <border>
      <left style="thick">
        <color indexed="8"/>
      </left>
      <right style="medium">
        <color indexed="64"/>
      </right>
      <top style="medium">
        <color indexed="64"/>
      </top>
      <bottom style="thick">
        <color indexed="8"/>
      </bottom>
      <diagonal/>
    </border>
    <border>
      <left style="medium">
        <color indexed="8"/>
      </left>
      <right style="medium">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right style="thick">
        <color indexed="8"/>
      </right>
      <top style="medium">
        <color indexed="64"/>
      </top>
      <bottom/>
      <diagonal/>
    </border>
    <border>
      <left style="thick">
        <color indexed="8"/>
      </left>
      <right style="thick">
        <color indexed="8"/>
      </right>
      <top style="medium">
        <color indexed="64"/>
      </top>
      <bottom/>
      <diagonal/>
    </border>
    <border>
      <left style="thick">
        <color indexed="8"/>
      </left>
      <right style="medium">
        <color indexed="64"/>
      </right>
      <top style="medium">
        <color indexed="64"/>
      </top>
      <bottom/>
      <diagonal/>
    </border>
    <border>
      <left style="thick">
        <color indexed="8"/>
      </left>
      <right style="medium">
        <color indexed="64"/>
      </right>
      <top/>
      <bottom/>
      <diagonal/>
    </border>
    <border>
      <left style="medium">
        <color indexed="64"/>
      </left>
      <right/>
      <top/>
      <bottom style="thick">
        <color indexed="8"/>
      </bottom>
      <diagonal/>
    </border>
    <border>
      <left style="thick">
        <color indexed="8"/>
      </left>
      <right style="medium">
        <color indexed="64"/>
      </right>
      <top/>
      <bottom style="thick">
        <color indexed="8"/>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right/>
      <top style="thick">
        <color indexed="8"/>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thick">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style="thin">
        <color indexed="8"/>
      </top>
      <bottom/>
      <diagonal/>
    </border>
    <border>
      <left/>
      <right style="medium">
        <color indexed="64"/>
      </right>
      <top/>
      <bottom style="thin">
        <color indexed="8"/>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diagonal/>
    </border>
    <border>
      <left/>
      <right style="medium">
        <color indexed="64"/>
      </right>
      <top style="double">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ck">
        <color indexed="64"/>
      </right>
      <top style="thick">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indexed="64"/>
      </right>
      <top style="thick">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8"/>
      </top>
      <bottom style="double">
        <color indexed="8"/>
      </bottom>
      <diagonal/>
    </border>
    <border>
      <left style="thin">
        <color indexed="64"/>
      </left>
      <right style="medium">
        <color indexed="64"/>
      </right>
      <top style="double">
        <color indexed="8"/>
      </top>
      <bottom style="double">
        <color indexed="8"/>
      </bottom>
      <diagonal/>
    </border>
    <border>
      <left style="thin">
        <color indexed="64"/>
      </left>
      <right style="medium">
        <color indexed="64"/>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64"/>
      </top>
      <bottom style="thin">
        <color indexed="8"/>
      </bottom>
      <diagonal/>
    </border>
    <border>
      <left style="thick">
        <color indexed="64"/>
      </left>
      <right/>
      <top style="medium">
        <color indexed="64"/>
      </top>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thin">
        <color indexed="8"/>
      </top>
      <bottom/>
      <diagonal/>
    </border>
    <border>
      <left/>
      <right style="thick">
        <color indexed="8"/>
      </right>
      <top style="medium">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64"/>
      </left>
      <right style="thin">
        <color indexed="8"/>
      </right>
      <top/>
      <bottom style="thin">
        <color indexed="8"/>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medium">
        <color indexed="64"/>
      </right>
      <top style="double">
        <color indexed="8"/>
      </top>
      <bottom style="double">
        <color indexed="8"/>
      </bottom>
      <diagonal/>
    </border>
    <border>
      <left style="thin">
        <color indexed="64"/>
      </left>
      <right/>
      <top style="thin">
        <color indexed="8"/>
      </top>
      <bottom/>
      <diagonal/>
    </border>
    <border>
      <left style="medium">
        <color indexed="64"/>
      </left>
      <right style="thin">
        <color indexed="64"/>
      </right>
      <top style="double">
        <color indexed="8"/>
      </top>
      <bottom style="double">
        <color indexed="8"/>
      </bottom>
      <diagonal/>
    </border>
    <border>
      <left style="thin">
        <color indexed="64"/>
      </left>
      <right/>
      <top style="double">
        <color indexed="8"/>
      </top>
      <bottom style="double">
        <color indexed="8"/>
      </bottom>
      <diagonal/>
    </border>
    <border>
      <left/>
      <right style="thin">
        <color indexed="64"/>
      </right>
      <top style="double">
        <color indexed="8"/>
      </top>
      <bottom style="double">
        <color indexed="8"/>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8"/>
      </bottom>
      <diagonal/>
    </border>
    <border>
      <left style="thin">
        <color indexed="64"/>
      </left>
      <right style="thin">
        <color indexed="64"/>
      </right>
      <top style="double">
        <color indexed="64"/>
      </top>
      <bottom style="double">
        <color indexed="8"/>
      </bottom>
      <diagonal/>
    </border>
    <border>
      <left style="thin">
        <color indexed="64"/>
      </left>
      <right style="medium">
        <color indexed="64"/>
      </right>
      <top style="double">
        <color indexed="64"/>
      </top>
      <bottom style="double">
        <color indexed="8"/>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double">
        <color indexed="8"/>
      </bottom>
      <diagonal/>
    </border>
    <border>
      <left/>
      <right style="thin">
        <color indexed="64"/>
      </right>
      <top style="double">
        <color indexed="64"/>
      </top>
      <bottom style="double">
        <color indexed="8"/>
      </bottom>
      <diagonal/>
    </border>
    <border>
      <left/>
      <right style="medium">
        <color indexed="64"/>
      </right>
      <top/>
      <bottom style="double">
        <color indexed="8"/>
      </bottom>
      <diagonal/>
    </border>
    <border>
      <left/>
      <right style="thin">
        <color indexed="8"/>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8"/>
      </left>
      <right style="medium">
        <color indexed="8"/>
      </right>
      <top style="double">
        <color indexed="8"/>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medium">
        <color indexed="64"/>
      </right>
      <top style="double">
        <color indexed="8"/>
      </top>
      <bottom style="double">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ouble">
        <color indexed="64"/>
      </bottom>
      <diagonal/>
    </border>
    <border>
      <left style="thin">
        <color indexed="64"/>
      </left>
      <right style="thin">
        <color indexed="8"/>
      </right>
      <top/>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right/>
      <top/>
      <bottom style="dotted">
        <color indexed="64"/>
      </bottom>
      <diagonal/>
    </border>
    <border>
      <left/>
      <right style="medium">
        <color indexed="8"/>
      </right>
      <top style="double">
        <color indexed="8"/>
      </top>
      <bottom style="double">
        <color indexed="8"/>
      </bottom>
      <diagonal/>
    </border>
    <border>
      <left/>
      <right style="medium">
        <color indexed="8"/>
      </right>
      <top/>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style="double">
        <color indexed="64"/>
      </top>
      <bottom style="double">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thin">
        <color indexed="8"/>
      </bottom>
      <diagonal/>
    </border>
    <border>
      <left/>
      <right style="medium">
        <color indexed="8"/>
      </right>
      <top/>
      <bottom style="thin">
        <color indexed="8"/>
      </bottom>
      <diagonal/>
    </border>
    <border>
      <left style="thin">
        <color indexed="64"/>
      </left>
      <right style="thin">
        <color indexed="64"/>
      </right>
      <top style="double">
        <color indexed="64"/>
      </top>
      <bottom style="medium">
        <color indexed="64"/>
      </bottom>
      <diagonal/>
    </border>
    <border>
      <left style="thin">
        <color indexed="64"/>
      </left>
      <right style="thin">
        <color indexed="8"/>
      </right>
      <top/>
      <bottom style="medium">
        <color indexed="64"/>
      </bottom>
      <diagonal/>
    </border>
    <border>
      <left style="thin">
        <color indexed="8"/>
      </left>
      <right style="medium">
        <color indexed="8"/>
      </right>
      <top/>
      <bottom/>
      <diagonal/>
    </border>
    <border>
      <left style="thin">
        <color indexed="8"/>
      </left>
      <right style="thin">
        <color indexed="8"/>
      </right>
      <top style="thin">
        <color indexed="8"/>
      </top>
      <bottom style="double">
        <color indexed="8"/>
      </bottom>
      <diagonal/>
    </border>
    <border>
      <left style="thin">
        <color indexed="8"/>
      </left>
      <right style="medium">
        <color indexed="64"/>
      </right>
      <top style="thin">
        <color indexed="8"/>
      </top>
      <bottom style="medium">
        <color indexed="64"/>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bottom/>
      <diagonal/>
    </border>
    <border>
      <left style="medium">
        <color indexed="64"/>
      </left>
      <right style="double">
        <color indexed="64"/>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style="medium">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style="double">
        <color indexed="64"/>
      </bottom>
      <diagonal/>
    </border>
    <border>
      <left/>
      <right style="medium">
        <color indexed="8"/>
      </right>
      <top style="double">
        <color indexed="8"/>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right style="thin">
        <color indexed="8"/>
      </right>
      <top/>
      <bottom style="thin">
        <color indexed="64"/>
      </bottom>
      <diagonal/>
    </border>
    <border>
      <left/>
      <right style="thin">
        <color indexed="8"/>
      </right>
      <top style="thin">
        <color indexed="64"/>
      </top>
      <bottom style="double">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top/>
      <bottom/>
      <diagonal/>
    </border>
    <border>
      <left/>
      <right style="medium">
        <color indexed="64"/>
      </right>
      <top style="thick">
        <color indexed="8"/>
      </top>
      <bottom/>
      <diagonal/>
    </border>
    <border>
      <left/>
      <right style="thin">
        <color indexed="8"/>
      </right>
      <top/>
      <bottom/>
      <diagonal/>
    </border>
    <border>
      <left style="thin">
        <color indexed="64"/>
      </left>
      <right style="medium">
        <color indexed="64"/>
      </right>
      <top style="thin">
        <color indexed="8"/>
      </top>
      <bottom style="thin">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ck">
        <color indexed="8"/>
      </left>
      <right/>
      <top/>
      <bottom style="thick">
        <color indexed="8"/>
      </bottom>
      <diagonal/>
    </border>
    <border>
      <left style="thin">
        <color indexed="64"/>
      </left>
      <right style="medium">
        <color indexed="64"/>
      </right>
      <top/>
      <bottom style="double">
        <color indexed="64"/>
      </bottom>
      <diagonal/>
    </border>
    <border>
      <left style="double">
        <color indexed="8"/>
      </left>
      <right style="thin">
        <color indexed="8"/>
      </right>
      <top style="double">
        <color indexed="8"/>
      </top>
      <bottom style="double">
        <color indexed="8"/>
      </bottom>
      <diagonal/>
    </border>
    <border>
      <left style="medium">
        <color indexed="64"/>
      </left>
      <right/>
      <top style="double">
        <color indexed="8"/>
      </top>
      <bottom style="double">
        <color indexed="8"/>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8"/>
      </top>
      <bottom style="double">
        <color indexed="64"/>
      </bottom>
      <diagonal/>
    </border>
  </borders>
  <cellStyleXfs count="15">
    <xf numFmtId="0" fontId="0" fillId="0" borderId="0"/>
    <xf numFmtId="43" fontId="1" fillId="0" borderId="0" applyFont="0" applyFill="0" applyBorder="0" applyAlignment="0" applyProtection="0"/>
    <xf numFmtId="40" fontId="18" fillId="0" borderId="0" applyFont="0" applyFill="0" applyBorder="0" applyAlignment="0" applyProtection="0"/>
    <xf numFmtId="3" fontId="20"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5" fontId="20" fillId="0" borderId="0" applyFont="0" applyFill="0" applyBorder="0" applyAlignment="0" applyProtection="0"/>
    <xf numFmtId="5" fontId="1" fillId="0" borderId="0" applyFont="0" applyFill="0" applyBorder="0" applyAlignment="0" applyProtection="0"/>
    <xf numFmtId="0" fontId="48" fillId="0" borderId="0" applyNumberFormat="0" applyFill="0" applyBorder="0" applyAlignment="0" applyProtection="0"/>
    <xf numFmtId="0" fontId="1" fillId="0" borderId="0"/>
    <xf numFmtId="0" fontId="18" fillId="0" borderId="0"/>
    <xf numFmtId="0" fontId="1" fillId="0" borderId="0"/>
    <xf numFmtId="0" fontId="1" fillId="0" borderId="0"/>
    <xf numFmtId="9" fontId="1" fillId="0" borderId="0" applyFont="0" applyFill="0" applyBorder="0" applyAlignment="0" applyProtection="0"/>
    <xf numFmtId="0" fontId="68" fillId="0" borderId="0"/>
  </cellStyleXfs>
  <cellXfs count="1896">
    <xf numFmtId="0" fontId="0" fillId="0" borderId="0" xfId="0"/>
    <xf numFmtId="0" fontId="7" fillId="0" borderId="0" xfId="0" applyFont="1"/>
    <xf numFmtId="0" fontId="8" fillId="0" borderId="0" xfId="0" applyFont="1"/>
    <xf numFmtId="0" fontId="7" fillId="0" borderId="0" xfId="0" applyFont="1" applyProtection="1">
      <protection locked="0"/>
    </xf>
    <xf numFmtId="43" fontId="7" fillId="0" borderId="0" xfId="0" applyNumberFormat="1" applyFont="1" applyProtection="1">
      <protection locked="0"/>
    </xf>
    <xf numFmtId="0" fontId="11" fillId="0" borderId="0" xfId="11" applyFont="1" applyAlignment="1">
      <alignment vertical="center"/>
    </xf>
    <xf numFmtId="0" fontId="1" fillId="0" borderId="0" xfId="11"/>
    <xf numFmtId="49" fontId="11" fillId="0" borderId="0" xfId="11" applyNumberFormat="1" applyFont="1" applyAlignment="1">
      <alignment vertical="center"/>
    </xf>
    <xf numFmtId="0" fontId="15" fillId="0" borderId="0" xfId="12" applyFont="1"/>
    <xf numFmtId="0" fontId="3" fillId="0" borderId="0" xfId="12" applyFont="1"/>
    <xf numFmtId="38" fontId="6" fillId="0" borderId="0" xfId="6" applyNumberFormat="1" applyFont="1"/>
    <xf numFmtId="38" fontId="6" fillId="0" borderId="0" xfId="6" applyNumberFormat="1" applyFont="1" applyAlignment="1">
      <alignment horizontal="left"/>
    </xf>
    <xf numFmtId="0" fontId="6" fillId="0" borderId="0" xfId="0" applyFont="1" applyAlignment="1">
      <alignment horizontal="centerContinuous"/>
    </xf>
    <xf numFmtId="0" fontId="7" fillId="0" borderId="1"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22" fillId="0" borderId="0" xfId="0" applyFont="1"/>
    <xf numFmtId="0" fontId="23" fillId="0" borderId="0" xfId="0" applyFont="1"/>
    <xf numFmtId="0" fontId="24" fillId="0" borderId="0" xfId="0" applyFont="1"/>
    <xf numFmtId="0" fontId="25" fillId="0" borderId="0" xfId="0" applyFont="1"/>
    <xf numFmtId="38" fontId="7" fillId="0" borderId="0" xfId="6" applyNumberFormat="1" applyFont="1"/>
    <xf numFmtId="41" fontId="7" fillId="0" borderId="0" xfId="2" applyNumberFormat="1" applyFont="1"/>
    <xf numFmtId="41" fontId="30" fillId="0" borderId="4" xfId="2" applyNumberFormat="1" applyFont="1" applyBorder="1"/>
    <xf numFmtId="0" fontId="7" fillId="0" borderId="0" xfId="10" applyFont="1" applyAlignment="1">
      <alignment horizontal="center"/>
    </xf>
    <xf numFmtId="41" fontId="7" fillId="0" borderId="5" xfId="2" applyNumberFormat="1" applyFont="1" applyBorder="1"/>
    <xf numFmtId="9" fontId="7" fillId="0" borderId="0" xfId="13" applyFont="1"/>
    <xf numFmtId="43" fontId="7" fillId="0" borderId="0" xfId="2" applyNumberFormat="1" applyFont="1"/>
    <xf numFmtId="43" fontId="7" fillId="0" borderId="0" xfId="10" applyNumberFormat="1" applyFont="1"/>
    <xf numFmtId="165" fontId="11" fillId="0" borderId="0" xfId="1" applyNumberFormat="1" applyFont="1" applyAlignment="1">
      <alignment vertical="center"/>
    </xf>
    <xf numFmtId="41" fontId="0" fillId="5" borderId="6" xfId="0" applyNumberFormat="1" applyFill="1" applyBorder="1" applyProtection="1">
      <protection locked="0"/>
    </xf>
    <xf numFmtId="38" fontId="7" fillId="0" borderId="7" xfId="6" applyNumberFormat="1" applyFont="1" applyBorder="1"/>
    <xf numFmtId="10" fontId="7" fillId="0" borderId="7" xfId="13" applyNumberFormat="1" applyFont="1" applyBorder="1"/>
    <xf numFmtId="10" fontId="8" fillId="0" borderId="0" xfId="0" applyNumberFormat="1" applyFont="1"/>
    <xf numFmtId="49" fontId="7" fillId="0" borderId="0" xfId="11" applyNumberFormat="1" applyFont="1" applyAlignment="1">
      <alignment vertical="center"/>
    </xf>
    <xf numFmtId="164" fontId="7" fillId="0" borderId="0" xfId="11" applyNumberFormat="1" applyFont="1" applyAlignment="1">
      <alignment vertical="center"/>
    </xf>
    <xf numFmtId="0" fontId="6" fillId="0" borderId="0" xfId="11" applyFont="1" applyAlignment="1">
      <alignment horizontal="centerContinuous" vertical="center"/>
    </xf>
    <xf numFmtId="37" fontId="6" fillId="0" borderId="0" xfId="11" applyNumberFormat="1" applyFont="1" applyAlignment="1">
      <alignment vertical="center"/>
    </xf>
    <xf numFmtId="37" fontId="6" fillId="0" borderId="0" xfId="11" applyNumberFormat="1" applyFont="1" applyAlignment="1">
      <alignment horizontal="center" vertical="center"/>
    </xf>
    <xf numFmtId="164" fontId="7" fillId="0" borderId="0" xfId="11" applyNumberFormat="1" applyFont="1" applyAlignment="1">
      <alignment horizontal="left" vertical="center"/>
    </xf>
    <xf numFmtId="43" fontId="7" fillId="0" borderId="0" xfId="11" applyNumberFormat="1" applyFont="1" applyAlignment="1">
      <alignment horizontal="right" vertical="center"/>
    </xf>
    <xf numFmtId="37" fontId="6" fillId="0" borderId="5" xfId="11" applyNumberFormat="1" applyFont="1" applyBorder="1" applyAlignment="1">
      <alignment vertical="center"/>
    </xf>
    <xf numFmtId="164" fontId="7" fillId="0" borderId="5" xfId="11" applyNumberFormat="1" applyFont="1" applyBorder="1" applyAlignment="1">
      <alignment vertical="center"/>
    </xf>
    <xf numFmtId="164" fontId="7" fillId="0" borderId="5" xfId="11" applyNumberFormat="1" applyFont="1" applyBorder="1" applyAlignment="1">
      <alignment horizontal="left" vertical="center"/>
    </xf>
    <xf numFmtId="37" fontId="6" fillId="0" borderId="8" xfId="11" applyNumberFormat="1" applyFont="1" applyBorder="1" applyAlignment="1">
      <alignment horizontal="left" vertical="center"/>
    </xf>
    <xf numFmtId="49" fontId="7" fillId="0" borderId="9" xfId="11" applyNumberFormat="1" applyFont="1" applyBorder="1" applyAlignment="1">
      <alignment vertical="center"/>
    </xf>
    <xf numFmtId="164" fontId="7" fillId="0" borderId="9" xfId="11" applyNumberFormat="1" applyFont="1" applyBorder="1" applyAlignment="1">
      <alignment vertical="center"/>
    </xf>
    <xf numFmtId="0" fontId="7" fillId="0" borderId="0" xfId="0" applyFont="1" applyAlignment="1" applyProtection="1">
      <alignment horizontal="left"/>
      <protection locked="0"/>
    </xf>
    <xf numFmtId="10" fontId="7" fillId="0" borderId="0" xfId="0" applyNumberFormat="1" applyFont="1" applyProtection="1">
      <protection locked="0"/>
    </xf>
    <xf numFmtId="41" fontId="30" fillId="0" borderId="10" xfId="2" applyNumberFormat="1" applyFont="1" applyBorder="1"/>
    <xf numFmtId="10" fontId="7" fillId="0" borderId="7" xfId="6" applyNumberFormat="1" applyFont="1" applyBorder="1"/>
    <xf numFmtId="10" fontId="7" fillId="0" borderId="11" xfId="13" applyNumberFormat="1" applyFont="1" applyBorder="1"/>
    <xf numFmtId="10" fontId="7" fillId="0" borderId="0" xfId="13" applyNumberFormat="1" applyFont="1"/>
    <xf numFmtId="0" fontId="6" fillId="0" borderId="0" xfId="0" applyFont="1" applyAlignment="1">
      <alignment horizontal="center"/>
    </xf>
    <xf numFmtId="0" fontId="7" fillId="0" borderId="12" xfId="0" applyFont="1" applyBorder="1"/>
    <xf numFmtId="0" fontId="7" fillId="0" borderId="13" xfId="0" applyFont="1" applyBorder="1"/>
    <xf numFmtId="43" fontId="7" fillId="0" borderId="14" xfId="10" applyNumberFormat="1" applyFont="1" applyBorder="1" applyAlignment="1">
      <alignment horizontal="center"/>
    </xf>
    <xf numFmtId="43" fontId="7" fillId="0" borderId="15" xfId="10" applyNumberFormat="1" applyFont="1" applyBorder="1" applyAlignment="1">
      <alignment horizontal="center"/>
    </xf>
    <xf numFmtId="41" fontId="7" fillId="0" borderId="16" xfId="10" applyNumberFormat="1" applyFont="1" applyBorder="1"/>
    <xf numFmtId="43" fontId="7" fillId="0" borderId="16" xfId="10" applyNumberFormat="1" applyFont="1" applyBorder="1"/>
    <xf numFmtId="9" fontId="7" fillId="0" borderId="17" xfId="13" applyFont="1" applyBorder="1" applyAlignment="1">
      <alignment horizontal="center"/>
    </xf>
    <xf numFmtId="9" fontId="7" fillId="0" borderId="0" xfId="13" applyFont="1" applyAlignment="1">
      <alignment horizontal="center"/>
    </xf>
    <xf numFmtId="41" fontId="7" fillId="0" borderId="18" xfId="13" applyNumberFormat="1" applyFont="1" applyBorder="1"/>
    <xf numFmtId="9" fontId="7" fillId="0" borderId="17" xfId="13" applyFont="1" applyBorder="1"/>
    <xf numFmtId="9" fontId="7" fillId="0" borderId="19" xfId="13" applyFont="1" applyBorder="1" applyAlignment="1">
      <alignment horizontal="center"/>
    </xf>
    <xf numFmtId="0" fontId="7" fillId="0" borderId="17" xfId="10" applyFont="1" applyBorder="1" applyAlignment="1">
      <alignment horizontal="center"/>
    </xf>
    <xf numFmtId="43" fontId="7" fillId="0" borderId="17" xfId="10" applyNumberFormat="1" applyFont="1" applyBorder="1"/>
    <xf numFmtId="0" fontId="6" fillId="0" borderId="5" xfId="10" applyFont="1" applyBorder="1"/>
    <xf numFmtId="0" fontId="7" fillId="0" borderId="5" xfId="0" applyFont="1" applyBorder="1"/>
    <xf numFmtId="0" fontId="7" fillId="0" borderId="5" xfId="10" applyFont="1" applyBorder="1"/>
    <xf numFmtId="0" fontId="6" fillId="0" borderId="10" xfId="10" applyFont="1" applyBorder="1"/>
    <xf numFmtId="0" fontId="7" fillId="0" borderId="4" xfId="10" applyFont="1" applyBorder="1" applyAlignment="1">
      <alignment horizontal="center"/>
    </xf>
    <xf numFmtId="0" fontId="7" fillId="0" borderId="9" xfId="10" applyFont="1" applyBorder="1" applyAlignment="1">
      <alignment horizontal="center"/>
    </xf>
    <xf numFmtId="41" fontId="7" fillId="0" borderId="8" xfId="2" applyNumberFormat="1" applyFont="1" applyBorder="1"/>
    <xf numFmtId="41" fontId="7" fillId="0" borderId="9" xfId="2" applyNumberFormat="1" applyFont="1" applyBorder="1"/>
    <xf numFmtId="41" fontId="30" fillId="0" borderId="8" xfId="2" applyNumberFormat="1" applyFont="1" applyBorder="1"/>
    <xf numFmtId="41" fontId="30" fillId="0" borderId="9" xfId="2" applyNumberFormat="1" applyFont="1" applyBorder="1"/>
    <xf numFmtId="0" fontId="23" fillId="5" borderId="0" xfId="0" applyFont="1" applyFill="1"/>
    <xf numFmtId="0" fontId="22" fillId="5" borderId="0" xfId="0" applyFont="1" applyFill="1"/>
    <xf numFmtId="10" fontId="7" fillId="0" borderId="20" xfId="0" applyNumberFormat="1" applyFont="1" applyBorder="1"/>
    <xf numFmtId="38" fontId="7" fillId="0" borderId="21" xfId="6" applyNumberFormat="1" applyFont="1" applyBorder="1"/>
    <xf numFmtId="0" fontId="6" fillId="0" borderId="0" xfId="0" applyFont="1"/>
    <xf numFmtId="5" fontId="7" fillId="0" borderId="22" xfId="6" applyFont="1" applyBorder="1"/>
    <xf numFmtId="5" fontId="7" fillId="0" borderId="23" xfId="6" applyFont="1" applyBorder="1"/>
    <xf numFmtId="0" fontId="23" fillId="0" borderId="0" xfId="0" applyFont="1" applyAlignment="1">
      <alignment vertical="top" wrapText="1"/>
    </xf>
    <xf numFmtId="0" fontId="23" fillId="0" borderId="0" xfId="0" applyFont="1" applyAlignment="1">
      <alignment horizontal="left" vertical="top" wrapText="1"/>
    </xf>
    <xf numFmtId="37" fontId="6" fillId="0" borderId="24" xfId="11" applyNumberFormat="1" applyFont="1" applyBorder="1" applyAlignment="1">
      <alignment horizontal="center" vertical="center"/>
    </xf>
    <xf numFmtId="37" fontId="6" fillId="0" borderId="0" xfId="11" applyNumberFormat="1" applyFont="1" applyAlignment="1">
      <alignment horizontal="centerContinuous" vertical="center"/>
    </xf>
    <xf numFmtId="0" fontId="0" fillId="0" borderId="0" xfId="0" applyAlignment="1">
      <alignment wrapText="1"/>
    </xf>
    <xf numFmtId="37" fontId="37" fillId="0" borderId="25" xfId="11" applyNumberFormat="1" applyFont="1" applyBorder="1" applyAlignment="1">
      <alignment horizontal="center" vertical="center" wrapText="1"/>
    </xf>
    <xf numFmtId="43" fontId="6" fillId="0" borderId="0" xfId="11" applyNumberFormat="1" applyFont="1" applyAlignment="1">
      <alignment horizontal="centerContinuous" vertical="center"/>
    </xf>
    <xf numFmtId="43" fontId="7" fillId="0" borderId="0" xfId="11" applyNumberFormat="1" applyFont="1" applyAlignment="1">
      <alignment horizontal="left" vertical="center"/>
    </xf>
    <xf numFmtId="43" fontId="0" fillId="0" borderId="0" xfId="0" applyNumberFormat="1"/>
    <xf numFmtId="37" fontId="6" fillId="0" borderId="0" xfId="11" quotePrefix="1" applyNumberFormat="1" applyFont="1" applyAlignment="1">
      <alignment horizontal="center" vertical="center"/>
    </xf>
    <xf numFmtId="10" fontId="7" fillId="6" borderId="11" xfId="13" applyNumberFormat="1" applyFont="1" applyFill="1" applyBorder="1"/>
    <xf numFmtId="10" fontId="7" fillId="0" borderId="26" xfId="13" applyNumberFormat="1" applyFont="1" applyBorder="1"/>
    <xf numFmtId="14" fontId="6" fillId="2" borderId="27" xfId="10" applyNumberFormat="1" applyFont="1" applyFill="1" applyBorder="1" applyProtection="1">
      <protection locked="0"/>
    </xf>
    <xf numFmtId="38" fontId="6" fillId="0" borderId="9" xfId="6" applyNumberFormat="1" applyFont="1" applyBorder="1" applyAlignment="1">
      <alignment horizontal="left"/>
    </xf>
    <xf numFmtId="0" fontId="31" fillId="0" borderId="0" xfId="0" applyFont="1"/>
    <xf numFmtId="0" fontId="1" fillId="0" borderId="0" xfId="12"/>
    <xf numFmtId="0" fontId="23" fillId="0" borderId="0" xfId="0" applyFont="1" applyAlignment="1">
      <alignment vertical="top"/>
    </xf>
    <xf numFmtId="0" fontId="23" fillId="0" borderId="0" xfId="0" applyFont="1" applyAlignment="1">
      <alignment horizontal="right" vertical="top"/>
    </xf>
    <xf numFmtId="0" fontId="6" fillId="0" borderId="9" xfId="0" applyFont="1" applyBorder="1"/>
    <xf numFmtId="0" fontId="6" fillId="0" borderId="18" xfId="11" applyFont="1" applyBorder="1" applyAlignment="1">
      <alignment horizontal="left" vertical="center"/>
    </xf>
    <xf numFmtId="9" fontId="7" fillId="0" borderId="0" xfId="0" applyNumberFormat="1" applyFont="1" applyAlignment="1">
      <alignment horizontal="center" vertical="center"/>
    </xf>
    <xf numFmtId="43" fontId="7" fillId="0" borderId="0" xfId="0" applyNumberFormat="1" applyFont="1" applyAlignment="1">
      <alignment horizontal="center" vertical="center"/>
    </xf>
    <xf numFmtId="0" fontId="7" fillId="0" borderId="0" xfId="11" applyFont="1" applyAlignment="1">
      <alignment vertical="center"/>
    </xf>
    <xf numFmtId="0" fontId="7" fillId="0" borderId="5" xfId="11" applyFont="1" applyBorder="1" applyAlignment="1">
      <alignment vertical="center"/>
    </xf>
    <xf numFmtId="0" fontId="1" fillId="0" borderId="0" xfId="12" applyAlignment="1">
      <alignment horizontal="centerContinuous"/>
    </xf>
    <xf numFmtId="0" fontId="14" fillId="0" borderId="0" xfId="12" applyFont="1" applyAlignment="1">
      <alignment horizontal="centerContinuous"/>
    </xf>
    <xf numFmtId="0" fontId="16" fillId="0" borderId="0" xfId="12" applyFont="1" applyAlignment="1">
      <alignment horizontal="centerContinuous"/>
    </xf>
    <xf numFmtId="0" fontId="14" fillId="0" borderId="0" xfId="12" applyFont="1" applyAlignment="1">
      <alignment horizontal="left"/>
    </xf>
    <xf numFmtId="0" fontId="14" fillId="0" borderId="0" xfId="12" applyFont="1" applyAlignment="1">
      <alignment horizontal="center"/>
    </xf>
    <xf numFmtId="0" fontId="39" fillId="0" borderId="0" xfId="0" applyFont="1"/>
    <xf numFmtId="0" fontId="3" fillId="0" borderId="0" xfId="0" applyFont="1" applyAlignment="1">
      <alignment horizontal="right"/>
    </xf>
    <xf numFmtId="49" fontId="2" fillId="0" borderId="0" xfId="0" applyNumberFormat="1" applyFont="1" applyAlignment="1">
      <alignment horizontal="right"/>
    </xf>
    <xf numFmtId="0" fontId="1" fillId="0" borderId="18" xfId="12" applyBorder="1"/>
    <xf numFmtId="0" fontId="3" fillId="0" borderId="18" xfId="12" applyFont="1" applyBorder="1"/>
    <xf numFmtId="0" fontId="3" fillId="0" borderId="17" xfId="12" applyFont="1" applyBorder="1"/>
    <xf numFmtId="0" fontId="3" fillId="0" borderId="17" xfId="0" applyFont="1" applyBorder="1"/>
    <xf numFmtId="0" fontId="1" fillId="0" borderId="0" xfId="12" applyAlignment="1">
      <alignment horizontal="centerContinuous" vertical="top"/>
    </xf>
    <xf numFmtId="0" fontId="3" fillId="0" borderId="0" xfId="0" applyFont="1" applyAlignment="1">
      <alignment horizontal="centerContinuous" vertical="top"/>
    </xf>
    <xf numFmtId="0" fontId="3" fillId="0" borderId="0" xfId="12" applyFont="1" applyAlignment="1">
      <alignment wrapText="1"/>
    </xf>
    <xf numFmtId="0" fontId="3" fillId="0" borderId="28" xfId="12" applyFont="1" applyBorder="1"/>
    <xf numFmtId="0" fontId="3" fillId="0" borderId="29" xfId="12" applyFont="1" applyBorder="1"/>
    <xf numFmtId="0" fontId="3" fillId="0" borderId="29" xfId="0" applyFont="1" applyBorder="1"/>
    <xf numFmtId="0" fontId="1" fillId="0" borderId="30" xfId="12" applyBorder="1" applyAlignment="1">
      <alignment horizontal="centerContinuous" wrapText="1"/>
    </xf>
    <xf numFmtId="0" fontId="1" fillId="0" borderId="30" xfId="12" applyBorder="1"/>
    <xf numFmtId="0" fontId="1" fillId="0" borderId="0" xfId="12" applyAlignment="1">
      <alignment horizontal="center"/>
    </xf>
    <xf numFmtId="0" fontId="17" fillId="0" borderId="0" xfId="12" applyFont="1"/>
    <xf numFmtId="0" fontId="3" fillId="0" borderId="0" xfId="0" applyFont="1"/>
    <xf numFmtId="0" fontId="3" fillId="0" borderId="30" xfId="12" applyFont="1" applyBorder="1"/>
    <xf numFmtId="0" fontId="3" fillId="0" borderId="30" xfId="0" applyFont="1" applyBorder="1"/>
    <xf numFmtId="0" fontId="12" fillId="0" borderId="0" xfId="0" applyFont="1"/>
    <xf numFmtId="15" fontId="0" fillId="0" borderId="0" xfId="0" applyNumberFormat="1"/>
    <xf numFmtId="0" fontId="1" fillId="0" borderId="0" xfId="0" applyFont="1"/>
    <xf numFmtId="0" fontId="21" fillId="0" borderId="0" xfId="0" applyFont="1"/>
    <xf numFmtId="15" fontId="1" fillId="0" borderId="0" xfId="0" applyNumberFormat="1" applyFont="1"/>
    <xf numFmtId="0" fontId="3" fillId="0" borderId="0" xfId="12" applyFont="1" applyAlignment="1">
      <alignment horizontal="left"/>
    </xf>
    <xf numFmtId="0" fontId="0" fillId="0" borderId="0" xfId="0" applyAlignment="1">
      <alignment horizontal="left"/>
    </xf>
    <xf numFmtId="0" fontId="7" fillId="0" borderId="31" xfId="0" applyFont="1" applyBorder="1"/>
    <xf numFmtId="0" fontId="7" fillId="0" borderId="32" xfId="0" applyFont="1" applyBorder="1" applyAlignment="1">
      <alignment horizontal="left"/>
    </xf>
    <xf numFmtId="0" fontId="7" fillId="0" borderId="31" xfId="0" quotePrefix="1" applyFont="1" applyBorder="1"/>
    <xf numFmtId="9" fontId="7" fillId="0" borderId="32" xfId="13" applyFont="1" applyBorder="1"/>
    <xf numFmtId="9" fontId="7" fillId="0" borderId="31" xfId="13" applyFont="1" applyBorder="1"/>
    <xf numFmtId="0" fontId="0" fillId="0" borderId="31" xfId="0" applyBorder="1"/>
    <xf numFmtId="0" fontId="7" fillId="0" borderId="32" xfId="0" applyFont="1" applyBorder="1"/>
    <xf numFmtId="3" fontId="7" fillId="0" borderId="32" xfId="1" applyNumberFormat="1" applyFont="1" applyBorder="1"/>
    <xf numFmtId="3" fontId="7" fillId="0" borderId="31" xfId="1" applyNumberFormat="1" applyFont="1" applyBorder="1"/>
    <xf numFmtId="3" fontId="7" fillId="0" borderId="31" xfId="1" applyNumberFormat="1" applyFont="1" applyBorder="1" applyAlignment="1">
      <alignment horizontal="right"/>
    </xf>
    <xf numFmtId="0" fontId="7" fillId="0" borderId="32" xfId="0" quotePrefix="1" applyFont="1" applyBorder="1" applyAlignment="1">
      <alignment horizontal="left"/>
    </xf>
    <xf numFmtId="0" fontId="0" fillId="0" borderId="27" xfId="0" applyBorder="1"/>
    <xf numFmtId="0" fontId="7" fillId="0" borderId="30" xfId="0" applyFont="1" applyBorder="1"/>
    <xf numFmtId="9" fontId="7" fillId="0" borderId="32" xfId="13" applyFont="1" applyBorder="1" applyAlignment="1">
      <alignment horizontal="center"/>
    </xf>
    <xf numFmtId="0" fontId="7" fillId="0" borderId="27" xfId="0" applyFont="1" applyBorder="1"/>
    <xf numFmtId="14" fontId="4" fillId="5" borderId="31" xfId="0" applyNumberFormat="1" applyFont="1" applyFill="1" applyBorder="1" applyProtection="1">
      <protection locked="0"/>
    </xf>
    <xf numFmtId="10" fontId="6" fillId="0" borderId="0" xfId="0" applyNumberFormat="1" applyFont="1" applyAlignment="1">
      <alignment horizontal="centerContinuous"/>
    </xf>
    <xf numFmtId="10" fontId="6" fillId="0" borderId="0" xfId="0" applyNumberFormat="1" applyFont="1"/>
    <xf numFmtId="10" fontId="7" fillId="0" borderId="0" xfId="0" applyNumberFormat="1" applyFont="1"/>
    <xf numFmtId="37" fontId="6" fillId="0" borderId="0" xfId="0" applyNumberFormat="1" applyFont="1" applyAlignment="1">
      <alignment horizontal="center"/>
    </xf>
    <xf numFmtId="10" fontId="6" fillId="0" borderId="0" xfId="0" applyNumberFormat="1" applyFont="1" applyAlignment="1">
      <alignment horizontal="center"/>
    </xf>
    <xf numFmtId="10" fontId="6" fillId="0" borderId="0" xfId="0" applyNumberFormat="1" applyFont="1" applyAlignment="1">
      <alignment horizontal="right"/>
    </xf>
    <xf numFmtId="10" fontId="7" fillId="0" borderId="2" xfId="0" applyNumberFormat="1" applyFont="1" applyBorder="1" applyAlignment="1">
      <alignment horizontal="center"/>
    </xf>
    <xf numFmtId="0" fontId="7" fillId="0" borderId="33" xfId="0" applyFont="1" applyBorder="1"/>
    <xf numFmtId="10" fontId="7" fillId="0" borderId="3" xfId="0" applyNumberFormat="1" applyFont="1" applyBorder="1" applyAlignment="1">
      <alignment horizontal="center"/>
    </xf>
    <xf numFmtId="9" fontId="7" fillId="0" borderId="27" xfId="13" applyFont="1" applyBorder="1"/>
    <xf numFmtId="9" fontId="7" fillId="0" borderId="31" xfId="13" applyFont="1" applyBorder="1" applyAlignment="1">
      <alignment horizontal="left"/>
    </xf>
    <xf numFmtId="0" fontId="7" fillId="0" borderId="0" xfId="0" applyFont="1" applyAlignment="1">
      <alignment horizontal="center"/>
    </xf>
    <xf numFmtId="6" fontId="7" fillId="0" borderId="0" xfId="6" applyNumberFormat="1" applyFont="1"/>
    <xf numFmtId="37" fontId="12" fillId="0" borderId="0" xfId="0" applyNumberFormat="1" applyFont="1" applyAlignment="1">
      <alignment horizontal="left"/>
    </xf>
    <xf numFmtId="0" fontId="12" fillId="0" borderId="0" xfId="0" applyFont="1" applyAlignment="1">
      <alignment horizontal="left"/>
    </xf>
    <xf numFmtId="0" fontId="0" fillId="0" borderId="34" xfId="0" applyBorder="1"/>
    <xf numFmtId="0" fontId="0" fillId="0" borderId="35" xfId="0" applyBorder="1"/>
    <xf numFmtId="0" fontId="1" fillId="0" borderId="34" xfId="0" applyFont="1" applyBorder="1"/>
    <xf numFmtId="41" fontId="0" fillId="0" borderId="0" xfId="0" applyNumberFormat="1"/>
    <xf numFmtId="0" fontId="0" fillId="0" borderId="4" xfId="0" applyBorder="1"/>
    <xf numFmtId="43" fontId="6" fillId="0" borderId="0" xfId="10" applyNumberFormat="1" applyFont="1" applyAlignment="1">
      <alignment horizontal="left"/>
    </xf>
    <xf numFmtId="49" fontId="6" fillId="0" borderId="0" xfId="10" applyNumberFormat="1" applyFont="1"/>
    <xf numFmtId="43" fontId="6" fillId="0" borderId="0" xfId="10" applyNumberFormat="1" applyFont="1"/>
    <xf numFmtId="43" fontId="6" fillId="0" borderId="0" xfId="10" applyNumberFormat="1" applyFont="1" applyAlignment="1">
      <alignment horizontal="center"/>
    </xf>
    <xf numFmtId="0" fontId="6" fillId="0" borderId="0" xfId="10" applyFont="1"/>
    <xf numFmtId="49" fontId="6" fillId="0" borderId="0" xfId="10" applyNumberFormat="1" applyFont="1" applyAlignment="1">
      <alignment horizontal="center"/>
    </xf>
    <xf numFmtId="0" fontId="7" fillId="0" borderId="0" xfId="10" applyFont="1"/>
    <xf numFmtId="43" fontId="6" fillId="0" borderId="0" xfId="10" applyNumberFormat="1" applyFont="1" applyAlignment="1">
      <alignment horizontal="right"/>
    </xf>
    <xf numFmtId="14" fontId="6" fillId="0" borderId="0" xfId="10" applyNumberFormat="1" applyFont="1"/>
    <xf numFmtId="43" fontId="7" fillId="0" borderId="17" xfId="10" applyNumberFormat="1" applyFont="1" applyBorder="1" applyAlignment="1">
      <alignment horizontal="center"/>
    </xf>
    <xf numFmtId="0" fontId="7" fillId="0" borderId="5" xfId="10" applyFont="1" applyBorder="1" applyAlignment="1">
      <alignment horizontal="center"/>
    </xf>
    <xf numFmtId="43" fontId="7" fillId="0" borderId="0" xfId="10" applyNumberFormat="1" applyFont="1" applyAlignment="1">
      <alignment horizontal="center"/>
    </xf>
    <xf numFmtId="43" fontId="7" fillId="0" borderId="5" xfId="10" applyNumberFormat="1" applyFont="1" applyBorder="1" applyAlignment="1">
      <alignment horizontal="center"/>
    </xf>
    <xf numFmtId="0" fontId="6" fillId="0" borderId="36" xfId="10" applyFont="1" applyBorder="1"/>
    <xf numFmtId="41" fontId="30" fillId="0" borderId="18" xfId="10" applyNumberFormat="1" applyFont="1" applyBorder="1"/>
    <xf numFmtId="41" fontId="1" fillId="5" borderId="6" xfId="0" applyNumberFormat="1" applyFont="1" applyFill="1" applyBorder="1" applyProtection="1">
      <protection locked="0"/>
    </xf>
    <xf numFmtId="10" fontId="30" fillId="0" borderId="0" xfId="13" applyNumberFormat="1" applyFont="1"/>
    <xf numFmtId="10" fontId="7" fillId="0" borderId="9" xfId="13" applyNumberFormat="1" applyFont="1" applyBorder="1"/>
    <xf numFmtId="10" fontId="30" fillId="0" borderId="9" xfId="13" applyNumberFormat="1" applyFont="1" applyBorder="1"/>
    <xf numFmtId="10" fontId="30" fillId="0" borderId="4" xfId="13" applyNumberFormat="1" applyFont="1" applyBorder="1"/>
    <xf numFmtId="10" fontId="7" fillId="0" borderId="0" xfId="13" applyNumberFormat="1" applyFont="1" applyAlignment="1">
      <alignment horizontal="center"/>
    </xf>
    <xf numFmtId="0" fontId="1" fillId="5" borderId="4" xfId="0" applyFont="1" applyFill="1" applyBorder="1" applyAlignment="1" applyProtection="1">
      <alignment horizontal="center"/>
      <protection locked="0"/>
    </xf>
    <xf numFmtId="0" fontId="1" fillId="5" borderId="35"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0" fontId="7" fillId="6" borderId="38" xfId="13" applyNumberFormat="1" applyFont="1" applyFill="1" applyBorder="1"/>
    <xf numFmtId="0" fontId="1" fillId="0" borderId="0" xfId="0" applyFont="1" applyAlignment="1">
      <alignment horizontal="center"/>
    </xf>
    <xf numFmtId="0" fontId="6" fillId="0" borderId="9" xfId="0" applyFont="1" applyBorder="1" applyAlignment="1">
      <alignment horizontal="left"/>
    </xf>
    <xf numFmtId="38" fontId="6" fillId="0" borderId="18" xfId="6" applyNumberFormat="1" applyFont="1" applyBorder="1" applyAlignment="1">
      <alignment horizontal="left"/>
    </xf>
    <xf numFmtId="49" fontId="7" fillId="0" borderId="3" xfId="0" applyNumberFormat="1" applyFont="1" applyBorder="1" applyAlignment="1">
      <alignment horizontal="center"/>
    </xf>
    <xf numFmtId="37" fontId="7" fillId="0" borderId="3" xfId="0" applyNumberFormat="1" applyFont="1" applyBorder="1" applyAlignment="1">
      <alignment horizontal="center"/>
    </xf>
    <xf numFmtId="0" fontId="6" fillId="0" borderId="0" xfId="11" applyFont="1" applyAlignment="1">
      <alignment horizontal="left" vertical="center"/>
    </xf>
    <xf numFmtId="41" fontId="0" fillId="5" borderId="39" xfId="0" applyNumberFormat="1" applyFill="1" applyBorder="1" applyProtection="1">
      <protection locked="0"/>
    </xf>
    <xf numFmtId="41" fontId="1" fillId="5" borderId="39" xfId="0" applyNumberFormat="1" applyFont="1" applyFill="1" applyBorder="1" applyProtection="1">
      <protection locked="0"/>
    </xf>
    <xf numFmtId="41" fontId="0" fillId="5" borderId="40" xfId="0" applyNumberFormat="1" applyFill="1" applyBorder="1" applyProtection="1">
      <protection locked="0"/>
    </xf>
    <xf numFmtId="49" fontId="1" fillId="5" borderId="41" xfId="0" applyNumberFormat="1" applyFont="1" applyFill="1" applyBorder="1" applyAlignment="1" applyProtection="1">
      <alignment horizontal="center" wrapText="1"/>
      <protection locked="0"/>
    </xf>
    <xf numFmtId="0" fontId="6" fillId="0" borderId="2" xfId="0" applyFont="1" applyBorder="1" applyAlignment="1">
      <alignment horizontal="center"/>
    </xf>
    <xf numFmtId="15" fontId="12" fillId="0" borderId="0" xfId="0" applyNumberFormat="1" applyFont="1"/>
    <xf numFmtId="0" fontId="36" fillId="0" borderId="0" xfId="0" applyFont="1" applyAlignment="1">
      <alignment horizontal="left"/>
    </xf>
    <xf numFmtId="0" fontId="3" fillId="0" borderId="42" xfId="12" applyFont="1" applyBorder="1"/>
    <xf numFmtId="43" fontId="6" fillId="0" borderId="9" xfId="10" applyNumberFormat="1" applyFont="1" applyBorder="1" applyAlignment="1">
      <alignment horizontal="center"/>
    </xf>
    <xf numFmtId="0" fontId="7" fillId="0" borderId="31" xfId="1" applyNumberFormat="1" applyFont="1" applyBorder="1" applyAlignment="1">
      <alignment horizontal="center"/>
    </xf>
    <xf numFmtId="43" fontId="7" fillId="0" borderId="43" xfId="10" applyNumberFormat="1" applyFont="1" applyBorder="1" applyAlignment="1">
      <alignment horizontal="center"/>
    </xf>
    <xf numFmtId="0" fontId="48" fillId="0" borderId="0" xfId="8" applyProtection="1">
      <protection locked="0"/>
    </xf>
    <xf numFmtId="0" fontId="1" fillId="0" borderId="17" xfId="12" applyBorder="1"/>
    <xf numFmtId="0" fontId="1" fillId="0" borderId="0" xfId="12" applyAlignment="1">
      <alignment horizontal="right"/>
    </xf>
    <xf numFmtId="0" fontId="1" fillId="5" borderId="27" xfId="12" applyFill="1" applyBorder="1" applyAlignment="1" applyProtection="1">
      <alignment horizontal="center"/>
      <protection locked="0"/>
    </xf>
    <xf numFmtId="0" fontId="9" fillId="0" borderId="0" xfId="0" applyFont="1"/>
    <xf numFmtId="10" fontId="7" fillId="0" borderId="0" xfId="0" applyNumberFormat="1" applyFont="1" applyAlignment="1">
      <alignment horizontal="center"/>
    </xf>
    <xf numFmtId="10" fontId="7" fillId="0" borderId="17" xfId="13" applyNumberFormat="1" applyFont="1" applyBorder="1"/>
    <xf numFmtId="0" fontId="6" fillId="0" borderId="0" xfId="0" applyFont="1" applyAlignment="1">
      <alignment horizontal="left" vertical="top" wrapText="1"/>
    </xf>
    <xf numFmtId="0" fontId="23" fillId="0" borderId="0" xfId="0" applyFont="1" applyAlignment="1">
      <alignment vertical="center"/>
    </xf>
    <xf numFmtId="0" fontId="22" fillId="5" borderId="0" xfId="0" applyFont="1" applyFill="1" applyAlignment="1">
      <alignment vertical="center"/>
    </xf>
    <xf numFmtId="0" fontId="23" fillId="5" borderId="0" xfId="0" applyFont="1" applyFill="1" applyAlignment="1">
      <alignment vertical="center"/>
    </xf>
    <xf numFmtId="37" fontId="37" fillId="0" borderId="44" xfId="11" applyNumberFormat="1" applyFont="1" applyBorder="1" applyAlignment="1">
      <alignment horizontal="center" wrapText="1"/>
    </xf>
    <xf numFmtId="37" fontId="6" fillId="0" borderId="24" xfId="11" applyNumberFormat="1" applyFont="1" applyBorder="1" applyAlignment="1">
      <alignment horizontal="center"/>
    </xf>
    <xf numFmtId="37" fontId="37" fillId="0" borderId="25" xfId="11" applyNumberFormat="1" applyFont="1" applyBorder="1" applyAlignment="1">
      <alignment horizontal="center" wrapText="1"/>
    </xf>
    <xf numFmtId="37" fontId="6" fillId="0" borderId="45" xfId="11" applyNumberFormat="1" applyFont="1" applyBorder="1" applyAlignment="1">
      <alignment horizontal="center"/>
    </xf>
    <xf numFmtId="9" fontId="7" fillId="0" borderId="0" xfId="0" applyNumberFormat="1" applyFont="1" applyAlignment="1">
      <alignment horizontal="center"/>
    </xf>
    <xf numFmtId="0" fontId="7" fillId="0" borderId="9" xfId="0" applyFont="1" applyBorder="1"/>
    <xf numFmtId="164" fontId="7" fillId="0" borderId="19" xfId="11" applyNumberFormat="1" applyFont="1" applyBorder="1" applyAlignment="1">
      <alignment horizontal="left" vertical="center"/>
    </xf>
    <xf numFmtId="0" fontId="0" fillId="0" borderId="5" xfId="0" applyBorder="1"/>
    <xf numFmtId="0" fontId="7" fillId="0" borderId="10" xfId="0" applyFont="1" applyBorder="1"/>
    <xf numFmtId="43" fontId="7" fillId="0" borderId="46" xfId="11" applyNumberFormat="1" applyFont="1" applyBorder="1" applyAlignment="1">
      <alignment horizontal="left" vertical="center"/>
    </xf>
    <xf numFmtId="0" fontId="7" fillId="0" borderId="8" xfId="0" applyFont="1" applyBorder="1"/>
    <xf numFmtId="164" fontId="7" fillId="0" borderId="27" xfId="11" applyNumberFormat="1" applyFont="1" applyBorder="1" applyAlignment="1">
      <alignment horizontal="left" vertical="center"/>
    </xf>
    <xf numFmtId="164" fontId="7" fillId="0" borderId="27" xfId="11" applyNumberFormat="1" applyFont="1" applyBorder="1" applyAlignment="1">
      <alignment vertical="center"/>
    </xf>
    <xf numFmtId="164" fontId="7" fillId="0" borderId="31" xfId="11" applyNumberFormat="1" applyFont="1" applyBorder="1" applyAlignment="1">
      <alignment vertical="center"/>
    </xf>
    <xf numFmtId="164" fontId="7" fillId="0" borderId="47" xfId="11" applyNumberFormat="1" applyFont="1" applyBorder="1" applyAlignment="1">
      <alignment horizontal="center" vertical="center"/>
    </xf>
    <xf numFmtId="0" fontId="7" fillId="0" borderId="32" xfId="11" applyFont="1" applyBorder="1" applyAlignment="1">
      <alignment vertical="center"/>
    </xf>
    <xf numFmtId="164" fontId="7" fillId="0" borderId="31" xfId="11" applyNumberFormat="1" applyFont="1" applyBorder="1" applyAlignment="1">
      <alignment horizontal="left" vertical="center"/>
    </xf>
    <xf numFmtId="43" fontId="7" fillId="5" borderId="31" xfId="11" applyNumberFormat="1" applyFont="1" applyFill="1" applyBorder="1" applyAlignment="1" applyProtection="1">
      <alignment horizontal="left" vertical="center"/>
      <protection locked="0"/>
    </xf>
    <xf numFmtId="43" fontId="7" fillId="5" borderId="48" xfId="11" applyNumberFormat="1" applyFont="1" applyFill="1" applyBorder="1" applyAlignment="1" applyProtection="1">
      <alignment horizontal="left" vertical="center"/>
      <protection locked="0"/>
    </xf>
    <xf numFmtId="10" fontId="7" fillId="0" borderId="49" xfId="11" applyNumberFormat="1" applyFont="1" applyBorder="1" applyAlignment="1">
      <alignment vertical="center"/>
    </xf>
    <xf numFmtId="10" fontId="7" fillId="0" borderId="50" xfId="11" applyNumberFormat="1" applyFont="1" applyBorder="1" applyAlignment="1">
      <alignment vertical="center"/>
    </xf>
    <xf numFmtId="10" fontId="7" fillId="0" borderId="51" xfId="11" applyNumberFormat="1" applyFont="1" applyBorder="1" applyAlignment="1">
      <alignment vertical="center"/>
    </xf>
    <xf numFmtId="43" fontId="7" fillId="0" borderId="31" xfId="11" applyNumberFormat="1" applyFont="1" applyBorder="1" applyAlignment="1">
      <alignment horizontal="left" vertical="center"/>
    </xf>
    <xf numFmtId="43" fontId="7" fillId="0" borderId="50" xfId="11" applyNumberFormat="1" applyFont="1" applyBorder="1" applyAlignment="1">
      <alignment horizontal="left" vertical="center" wrapText="1"/>
    </xf>
    <xf numFmtId="43" fontId="7" fillId="0" borderId="48" xfId="11" applyNumberFormat="1" applyFont="1" applyBorder="1" applyAlignment="1">
      <alignment horizontal="left" vertical="center"/>
    </xf>
    <xf numFmtId="10" fontId="7" fillId="0" borderId="52" xfId="13" applyNumberFormat="1" applyFont="1" applyBorder="1" applyAlignment="1">
      <alignment vertical="center"/>
    </xf>
    <xf numFmtId="0" fontId="0" fillId="0" borderId="9" xfId="0" applyBorder="1"/>
    <xf numFmtId="0" fontId="6" fillId="0" borderId="37" xfId="0" applyFont="1" applyBorder="1" applyAlignment="1">
      <alignment horizontal="left"/>
    </xf>
    <xf numFmtId="49" fontId="7" fillId="0" borderId="5" xfId="11" applyNumberFormat="1" applyFont="1" applyBorder="1" applyAlignment="1">
      <alignment horizontal="center" vertical="center"/>
    </xf>
    <xf numFmtId="38" fontId="6" fillId="0" borderId="19" xfId="6" applyNumberFormat="1" applyFont="1" applyBorder="1" applyAlignment="1">
      <alignment horizontal="left"/>
    </xf>
    <xf numFmtId="0" fontId="6" fillId="0" borderId="19" xfId="11" applyFont="1" applyBorder="1" applyAlignment="1">
      <alignment horizontal="centerContinuous" vertical="center"/>
    </xf>
    <xf numFmtId="37" fontId="6" fillId="0" borderId="19" xfId="11" applyNumberFormat="1" applyFont="1" applyBorder="1" applyAlignment="1">
      <alignment horizontal="center" vertical="center"/>
    </xf>
    <xf numFmtId="9" fontId="7" fillId="0" borderId="4" xfId="0" applyNumberFormat="1" applyFont="1" applyBorder="1" applyAlignment="1">
      <alignment horizontal="center" vertical="center"/>
    </xf>
    <xf numFmtId="43" fontId="7" fillId="0" borderId="4" xfId="0" applyNumberFormat="1" applyFont="1" applyBorder="1" applyAlignment="1">
      <alignment horizontal="center" vertical="center"/>
    </xf>
    <xf numFmtId="9" fontId="7" fillId="0" borderId="4" xfId="0" applyNumberFormat="1" applyFont="1" applyBorder="1" applyAlignment="1">
      <alignment horizontal="center"/>
    </xf>
    <xf numFmtId="0" fontId="7" fillId="0" borderId="4" xfId="0" applyFont="1" applyBorder="1"/>
    <xf numFmtId="0" fontId="7" fillId="0" borderId="53" xfId="0" applyFont="1" applyBorder="1"/>
    <xf numFmtId="5" fontId="7" fillId="0" borderId="0" xfId="6" applyFont="1"/>
    <xf numFmtId="10" fontId="7" fillId="0" borderId="54" xfId="6" applyNumberFormat="1" applyFont="1" applyBorder="1"/>
    <xf numFmtId="38" fontId="7" fillId="3" borderId="54" xfId="6" applyNumberFormat="1" applyFont="1" applyFill="1" applyBorder="1"/>
    <xf numFmtId="10" fontId="7" fillId="0" borderId="54" xfId="13" applyNumberFormat="1" applyFont="1" applyBorder="1"/>
    <xf numFmtId="38" fontId="7" fillId="3" borderId="54" xfId="5" applyNumberFormat="1" applyFont="1" applyFill="1" applyBorder="1"/>
    <xf numFmtId="10" fontId="7" fillId="3" borderId="54" xfId="13" applyNumberFormat="1" applyFont="1" applyFill="1" applyBorder="1"/>
    <xf numFmtId="38" fontId="7" fillId="3" borderId="54" xfId="13" applyNumberFormat="1" applyFont="1" applyFill="1" applyBorder="1"/>
    <xf numFmtId="10" fontId="7" fillId="0" borderId="55" xfId="13" applyNumberFormat="1" applyFont="1" applyBorder="1"/>
    <xf numFmtId="38" fontId="7" fillId="0" borderId="56" xfId="6" applyNumberFormat="1" applyFont="1" applyBorder="1"/>
    <xf numFmtId="0" fontId="7" fillId="0" borderId="54" xfId="0" applyFont="1" applyBorder="1"/>
    <xf numFmtId="0" fontId="7" fillId="0" borderId="54" xfId="0" applyFont="1" applyBorder="1" applyAlignment="1">
      <alignment horizontal="center"/>
    </xf>
    <xf numFmtId="0" fontId="7" fillId="0" borderId="49" xfId="0" applyFont="1" applyBorder="1"/>
    <xf numFmtId="37" fontId="7" fillId="0" borderId="57" xfId="0" applyNumberFormat="1" applyFont="1" applyBorder="1" applyAlignment="1">
      <alignment horizontal="center"/>
    </xf>
    <xf numFmtId="0" fontId="7" fillId="0" borderId="57" xfId="0" applyFont="1" applyBorder="1" applyAlignment="1">
      <alignment horizontal="center"/>
    </xf>
    <xf numFmtId="0" fontId="7" fillId="0" borderId="58" xfId="0" applyFont="1" applyBorder="1" applyAlignment="1">
      <alignment horizontal="center"/>
    </xf>
    <xf numFmtId="9" fontId="7" fillId="0" borderId="5" xfId="13" applyFont="1" applyBorder="1"/>
    <xf numFmtId="3" fontId="7" fillId="0" borderId="5" xfId="1" applyNumberFormat="1" applyFont="1" applyBorder="1"/>
    <xf numFmtId="10" fontId="7" fillId="6" borderId="59" xfId="13" applyNumberFormat="1" applyFont="1" applyFill="1" applyBorder="1"/>
    <xf numFmtId="0" fontId="8" fillId="0" borderId="5" xfId="0" applyFont="1" applyBorder="1"/>
    <xf numFmtId="0" fontId="8" fillId="0" borderId="10" xfId="0" applyFont="1" applyBorder="1"/>
    <xf numFmtId="0" fontId="31" fillId="0" borderId="54" xfId="0" applyFont="1" applyBorder="1" applyAlignment="1">
      <alignment horizontal="center"/>
    </xf>
    <xf numFmtId="0" fontId="31" fillId="0" borderId="54" xfId="0" quotePrefix="1" applyFont="1" applyBorder="1" applyAlignment="1">
      <alignment horizontal="center"/>
    </xf>
    <xf numFmtId="41" fontId="7" fillId="0" borderId="32" xfId="13" applyNumberFormat="1" applyFont="1" applyBorder="1"/>
    <xf numFmtId="41" fontId="7" fillId="0" borderId="32" xfId="0" applyNumberFormat="1" applyFont="1" applyBorder="1"/>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0" xfId="6" applyNumberFormat="1" applyFont="1"/>
    <xf numFmtId="10" fontId="7" fillId="0" borderId="63" xfId="6" applyNumberFormat="1" applyFont="1" applyBorder="1"/>
    <xf numFmtId="10" fontId="7" fillId="0" borderId="63" xfId="13" applyNumberFormat="1" applyFont="1" applyBorder="1"/>
    <xf numFmtId="0" fontId="7" fillId="0" borderId="64" xfId="0" applyFont="1" applyBorder="1"/>
    <xf numFmtId="0" fontId="7" fillId="0" borderId="65" xfId="0" applyFont="1" applyBorder="1" applyAlignment="1">
      <alignment horizontal="center"/>
    </xf>
    <xf numFmtId="10" fontId="7" fillId="0" borderId="65" xfId="0" applyNumberFormat="1" applyFont="1" applyBorder="1" applyAlignment="1">
      <alignment horizontal="center"/>
    </xf>
    <xf numFmtId="10" fontId="7" fillId="0" borderId="66" xfId="0" applyNumberFormat="1" applyFont="1" applyBorder="1" applyAlignment="1">
      <alignment horizontal="center"/>
    </xf>
    <xf numFmtId="10" fontId="7" fillId="0" borderId="67" xfId="0" applyNumberFormat="1" applyFont="1" applyBorder="1" applyAlignment="1">
      <alignment horizontal="center"/>
    </xf>
    <xf numFmtId="0" fontId="7" fillId="0" borderId="68" xfId="0" applyFont="1" applyBorder="1"/>
    <xf numFmtId="10" fontId="7" fillId="0" borderId="69" xfId="0" applyNumberFormat="1" applyFont="1" applyBorder="1" applyAlignment="1">
      <alignment horizontal="center"/>
    </xf>
    <xf numFmtId="0" fontId="6" fillId="0" borderId="5" xfId="0" applyFont="1" applyBorder="1"/>
    <xf numFmtId="10" fontId="7" fillId="0" borderId="52" xfId="6" applyNumberFormat="1" applyFont="1" applyBorder="1"/>
    <xf numFmtId="10" fontId="7" fillId="0" borderId="52" xfId="13" applyNumberFormat="1" applyFont="1" applyBorder="1"/>
    <xf numFmtId="10" fontId="7" fillId="3" borderId="52" xfId="13" applyNumberFormat="1" applyFont="1" applyFill="1" applyBorder="1"/>
    <xf numFmtId="0" fontId="7" fillId="0" borderId="70" xfId="0" applyFont="1" applyBorder="1" applyAlignment="1">
      <alignment horizontal="center"/>
    </xf>
    <xf numFmtId="10" fontId="7" fillId="0" borderId="71" xfId="13" applyNumberFormat="1" applyFont="1" applyBorder="1"/>
    <xf numFmtId="10" fontId="7" fillId="0" borderId="72" xfId="13" applyNumberFormat="1" applyFont="1" applyBorder="1"/>
    <xf numFmtId="10" fontId="7" fillId="0" borderId="19" xfId="13" applyNumberFormat="1" applyFont="1" applyBorder="1"/>
    <xf numFmtId="10" fontId="7" fillId="0" borderId="73" xfId="13" applyNumberFormat="1" applyFont="1" applyBorder="1"/>
    <xf numFmtId="0" fontId="7" fillId="0" borderId="74" xfId="0" applyFont="1" applyBorder="1"/>
    <xf numFmtId="0" fontId="7" fillId="0" borderId="21" xfId="0" applyFont="1" applyBorder="1"/>
    <xf numFmtId="0" fontId="7" fillId="0" borderId="75" xfId="0" applyFont="1" applyBorder="1" applyAlignment="1">
      <alignment horizontal="center"/>
    </xf>
    <xf numFmtId="38" fontId="7" fillId="7" borderId="76" xfId="6" applyNumberFormat="1" applyFont="1" applyFill="1" applyBorder="1"/>
    <xf numFmtId="38" fontId="7" fillId="3" borderId="7" xfId="6" applyNumberFormat="1" applyFont="1" applyFill="1" applyBorder="1"/>
    <xf numFmtId="38" fontId="7" fillId="3" borderId="71" xfId="6" applyNumberFormat="1" applyFont="1" applyFill="1" applyBorder="1"/>
    <xf numFmtId="10" fontId="7" fillId="6" borderId="26" xfId="13" applyNumberFormat="1" applyFont="1" applyFill="1" applyBorder="1"/>
    <xf numFmtId="38" fontId="7" fillId="3" borderId="26" xfId="6" applyNumberFormat="1" applyFont="1" applyFill="1" applyBorder="1"/>
    <xf numFmtId="38" fontId="7" fillId="3" borderId="72" xfId="6" applyNumberFormat="1" applyFont="1" applyFill="1" applyBorder="1"/>
    <xf numFmtId="0" fontId="29" fillId="0" borderId="5" xfId="0" applyFont="1" applyBorder="1"/>
    <xf numFmtId="10" fontId="7" fillId="0" borderId="77" xfId="13" applyNumberFormat="1" applyFont="1" applyBorder="1"/>
    <xf numFmtId="0" fontId="7" fillId="8" borderId="5" xfId="0" applyFont="1" applyFill="1" applyBorder="1"/>
    <xf numFmtId="172" fontId="7" fillId="7" borderId="76" xfId="6" applyNumberFormat="1" applyFont="1" applyFill="1" applyBorder="1"/>
    <xf numFmtId="172" fontId="7" fillId="7" borderId="7" xfId="6" applyNumberFormat="1" applyFont="1" applyFill="1" applyBorder="1"/>
    <xf numFmtId="38" fontId="7" fillId="7" borderId="7" xfId="6" applyNumberFormat="1" applyFont="1" applyFill="1" applyBorder="1"/>
    <xf numFmtId="172" fontId="7" fillId="0" borderId="7" xfId="6" applyNumberFormat="1" applyFont="1" applyBorder="1"/>
    <xf numFmtId="38" fontId="7" fillId="0" borderId="71" xfId="6" applyNumberFormat="1" applyFont="1" applyBorder="1"/>
    <xf numFmtId="0" fontId="9" fillId="0" borderId="5" xfId="0" applyFont="1" applyBorder="1"/>
    <xf numFmtId="9" fontId="7" fillId="0" borderId="30" xfId="13" applyFont="1" applyBorder="1"/>
    <xf numFmtId="10" fontId="7" fillId="0" borderId="78" xfId="0" applyNumberFormat="1" applyFont="1" applyBorder="1"/>
    <xf numFmtId="10" fontId="7" fillId="0" borderId="79" xfId="0" applyNumberFormat="1" applyFont="1" applyBorder="1"/>
    <xf numFmtId="10" fontId="7" fillId="0" borderId="80" xfId="0" applyNumberFormat="1" applyFont="1" applyBorder="1"/>
    <xf numFmtId="0" fontId="7" fillId="0" borderId="81" xfId="0" applyFont="1" applyBorder="1"/>
    <xf numFmtId="166" fontId="7" fillId="0" borderId="31" xfId="0" applyNumberFormat="1" applyFont="1" applyBorder="1"/>
    <xf numFmtId="38" fontId="7" fillId="0" borderId="31" xfId="6" applyNumberFormat="1" applyFont="1" applyBorder="1"/>
    <xf numFmtId="38" fontId="7" fillId="0" borderId="31" xfId="5" applyNumberFormat="1" applyFont="1" applyBorder="1"/>
    <xf numFmtId="10" fontId="7" fillId="0" borderId="31" xfId="13" applyNumberFormat="1" applyFont="1" applyBorder="1"/>
    <xf numFmtId="10" fontId="7" fillId="0" borderId="51" xfId="13" applyNumberFormat="1" applyFont="1" applyBorder="1"/>
    <xf numFmtId="0" fontId="7" fillId="0" borderId="23" xfId="0" applyFont="1" applyBorder="1"/>
    <xf numFmtId="0" fontId="7" fillId="0" borderId="23" xfId="0" applyFont="1" applyBorder="1" applyAlignment="1">
      <alignment horizontal="center"/>
    </xf>
    <xf numFmtId="0" fontId="7" fillId="0" borderId="27" xfId="0" applyFont="1" applyBorder="1" applyAlignment="1">
      <alignment horizontal="center"/>
    </xf>
    <xf numFmtId="0" fontId="7" fillId="0" borderId="32" xfId="0" applyFont="1" applyBorder="1" applyAlignment="1">
      <alignment horizontal="center"/>
    </xf>
    <xf numFmtId="0" fontId="7" fillId="0" borderId="31" xfId="0" applyFont="1" applyBorder="1" applyAlignment="1">
      <alignment horizontal="center"/>
    </xf>
    <xf numFmtId="0" fontId="31" fillId="0" borderId="32" xfId="0" applyFont="1" applyBorder="1"/>
    <xf numFmtId="0" fontId="31" fillId="0" borderId="49" xfId="0" applyFont="1" applyBorder="1"/>
    <xf numFmtId="0" fontId="29" fillId="0" borderId="49" xfId="0" applyFont="1" applyBorder="1"/>
    <xf numFmtId="0" fontId="27" fillId="0" borderId="32" xfId="0" applyFont="1" applyBorder="1"/>
    <xf numFmtId="9" fontId="7" fillId="0" borderId="32" xfId="13" applyFont="1" applyBorder="1" applyAlignment="1">
      <alignment horizontal="left"/>
    </xf>
    <xf numFmtId="10" fontId="7" fillId="6" borderId="52" xfId="6" applyNumberFormat="1" applyFont="1" applyFill="1" applyBorder="1"/>
    <xf numFmtId="0" fontId="29" fillId="0" borderId="31" xfId="0" applyFont="1" applyBorder="1"/>
    <xf numFmtId="0" fontId="31" fillId="0" borderId="30" xfId="0" applyFont="1" applyBorder="1" applyAlignment="1">
      <alignment horizontal="center"/>
    </xf>
    <xf numFmtId="5" fontId="7" fillId="0" borderId="30" xfId="6" applyFont="1" applyBorder="1"/>
    <xf numFmtId="5" fontId="7" fillId="0" borderId="61" xfId="6" applyFont="1" applyBorder="1"/>
    <xf numFmtId="5" fontId="7" fillId="6" borderId="54" xfId="6" applyFont="1" applyFill="1" applyBorder="1"/>
    <xf numFmtId="10" fontId="7" fillId="6" borderId="77" xfId="13" applyNumberFormat="1" applyFont="1" applyFill="1" applyBorder="1"/>
    <xf numFmtId="172" fontId="7" fillId="6" borderId="76" xfId="6" applyNumberFormat="1" applyFont="1" applyFill="1" applyBorder="1"/>
    <xf numFmtId="38" fontId="7" fillId="6" borderId="71" xfId="6" applyNumberFormat="1" applyFont="1" applyFill="1" applyBorder="1"/>
    <xf numFmtId="9" fontId="7" fillId="0" borderId="30" xfId="13" applyFont="1" applyBorder="1" applyAlignment="1">
      <alignment horizontal="left"/>
    </xf>
    <xf numFmtId="0" fontId="7" fillId="0" borderId="17" xfId="0" applyFont="1" applyBorder="1" applyAlignment="1">
      <alignment horizontal="left"/>
    </xf>
    <xf numFmtId="6" fontId="7" fillId="0" borderId="17" xfId="6" applyNumberFormat="1" applyFont="1" applyBorder="1"/>
    <xf numFmtId="9" fontId="42" fillId="0" borderId="0" xfId="13" applyFont="1" applyAlignment="1">
      <alignment horizontal="left"/>
    </xf>
    <xf numFmtId="166" fontId="7" fillId="0" borderId="61" xfId="0" applyNumberFormat="1" applyFont="1" applyBorder="1"/>
    <xf numFmtId="10" fontId="7" fillId="0" borderId="71" xfId="6" applyNumberFormat="1" applyFont="1" applyBorder="1"/>
    <xf numFmtId="5" fontId="7" fillId="0" borderId="21" xfId="6" applyFont="1" applyBorder="1"/>
    <xf numFmtId="0" fontId="0" fillId="0" borderId="0" xfId="0" applyAlignment="1">
      <alignment horizontal="left" wrapText="1"/>
    </xf>
    <xf numFmtId="0" fontId="7" fillId="0" borderId="17" xfId="10" applyFont="1" applyBorder="1"/>
    <xf numFmtId="0" fontId="6" fillId="0" borderId="4" xfId="10" applyFont="1" applyBorder="1"/>
    <xf numFmtId="0" fontId="7" fillId="0" borderId="9" xfId="10" applyFont="1" applyBorder="1"/>
    <xf numFmtId="0" fontId="6" fillId="0" borderId="9" xfId="10" applyFont="1" applyBorder="1"/>
    <xf numFmtId="9" fontId="7" fillId="0" borderId="32" xfId="13" applyFont="1" applyBorder="1" applyAlignment="1">
      <alignment horizontal="right"/>
    </xf>
    <xf numFmtId="0" fontId="7" fillId="0" borderId="27" xfId="10" applyFont="1" applyBorder="1" applyAlignment="1">
      <alignment horizontal="center"/>
    </xf>
    <xf numFmtId="43" fontId="7" fillId="0" borderId="82" xfId="2" applyNumberFormat="1" applyFont="1" applyBorder="1"/>
    <xf numFmtId="43" fontId="7" fillId="0" borderId="27" xfId="10" applyNumberFormat="1" applyFont="1" applyBorder="1"/>
    <xf numFmtId="0" fontId="7" fillId="0" borderId="31" xfId="10" applyFont="1" applyBorder="1" applyAlignment="1">
      <alignment horizontal="center"/>
    </xf>
    <xf numFmtId="41" fontId="7" fillId="2" borderId="83" xfId="2" applyNumberFormat="1" applyFont="1" applyFill="1" applyBorder="1" applyProtection="1">
      <protection locked="0"/>
    </xf>
    <xf numFmtId="41" fontId="7" fillId="2" borderId="31" xfId="2" applyNumberFormat="1" applyFont="1" applyFill="1" applyBorder="1" applyProtection="1">
      <protection locked="0"/>
    </xf>
    <xf numFmtId="41" fontId="30" fillId="0" borderId="47" xfId="10" applyNumberFormat="1" applyFont="1" applyBorder="1"/>
    <xf numFmtId="41" fontId="30" fillId="0" borderId="47" xfId="10" applyNumberFormat="1" applyFont="1" applyBorder="1" applyAlignment="1">
      <alignment horizontal="center"/>
    </xf>
    <xf numFmtId="41" fontId="7" fillId="0" borderId="83" xfId="2" applyNumberFormat="1" applyFont="1" applyBorder="1"/>
    <xf numFmtId="0" fontId="6" fillId="0" borderId="84" xfId="10" applyFont="1" applyBorder="1"/>
    <xf numFmtId="0" fontId="7" fillId="0" borderId="84" xfId="10" applyFont="1" applyBorder="1" applyAlignment="1">
      <alignment horizontal="center"/>
    </xf>
    <xf numFmtId="10" fontId="30" fillId="0" borderId="84" xfId="13" applyNumberFormat="1" applyFont="1" applyBorder="1"/>
    <xf numFmtId="43" fontId="7" fillId="0" borderId="83" xfId="2" applyNumberFormat="1" applyFont="1" applyBorder="1"/>
    <xf numFmtId="9" fontId="30" fillId="0" borderId="31" xfId="13" applyFont="1" applyBorder="1"/>
    <xf numFmtId="41" fontId="30" fillId="0" borderId="51" xfId="10" applyNumberFormat="1" applyFont="1" applyBorder="1"/>
    <xf numFmtId="10" fontId="7" fillId="0" borderId="84" xfId="13" applyNumberFormat="1" applyFont="1" applyBorder="1"/>
    <xf numFmtId="41" fontId="30" fillId="0" borderId="85" xfId="10" applyNumberFormat="1" applyFont="1" applyBorder="1"/>
    <xf numFmtId="41" fontId="7" fillId="2" borderId="32" xfId="2" applyNumberFormat="1" applyFont="1" applyFill="1" applyBorder="1" applyProtection="1">
      <protection locked="0"/>
    </xf>
    <xf numFmtId="41" fontId="7" fillId="0" borderId="32" xfId="2" applyNumberFormat="1" applyFont="1" applyBorder="1"/>
    <xf numFmtId="41" fontId="7" fillId="0" borderId="86" xfId="2" applyNumberFormat="1" applyFont="1" applyBorder="1"/>
    <xf numFmtId="41" fontId="30" fillId="0" borderId="87" xfId="2" applyNumberFormat="1" applyFont="1" applyBorder="1"/>
    <xf numFmtId="0" fontId="7" fillId="0" borderId="31" xfId="10" quotePrefix="1" applyFont="1" applyBorder="1" applyAlignment="1">
      <alignment horizontal="center"/>
    </xf>
    <xf numFmtId="0" fontId="7" fillId="0" borderId="31" xfId="10" applyFont="1" applyBorder="1"/>
    <xf numFmtId="41" fontId="7" fillId="4" borderId="83" xfId="13" applyNumberFormat="1" applyFont="1" applyFill="1" applyBorder="1" applyProtection="1">
      <protection locked="0"/>
    </xf>
    <xf numFmtId="41" fontId="7" fillId="4" borderId="32" xfId="13" applyNumberFormat="1" applyFont="1" applyFill="1" applyBorder="1" applyProtection="1">
      <protection locked="0"/>
    </xf>
    <xf numFmtId="41" fontId="7" fillId="0" borderId="47" xfId="2" applyNumberFormat="1" applyFont="1" applyBorder="1"/>
    <xf numFmtId="0" fontId="6" fillId="0" borderId="83" xfId="10" applyFont="1" applyBorder="1"/>
    <xf numFmtId="0" fontId="6" fillId="0" borderId="31" xfId="10" applyFont="1" applyBorder="1"/>
    <xf numFmtId="0" fontId="7" fillId="0" borderId="8" xfId="10" applyFont="1" applyBorder="1" applyAlignment="1">
      <alignment horizontal="center"/>
    </xf>
    <xf numFmtId="9" fontId="7" fillId="0" borderId="9" xfId="13" applyFont="1" applyBorder="1" applyAlignment="1">
      <alignment horizontal="center"/>
    </xf>
    <xf numFmtId="0" fontId="7" fillId="0" borderId="88" xfId="10" applyFont="1" applyBorder="1"/>
    <xf numFmtId="0" fontId="7" fillId="0" borderId="89" xfId="0" applyFont="1" applyBorder="1"/>
    <xf numFmtId="0" fontId="7" fillId="0" borderId="83" xfId="0" applyFont="1" applyBorder="1"/>
    <xf numFmtId="0" fontId="7" fillId="0" borderId="8" xfId="10" applyFont="1" applyBorder="1"/>
    <xf numFmtId="0" fontId="7" fillId="0" borderId="90" xfId="0" applyFont="1" applyBorder="1"/>
    <xf numFmtId="0" fontId="6" fillId="0" borderId="8" xfId="10" applyFont="1" applyBorder="1"/>
    <xf numFmtId="0" fontId="7" fillId="0" borderId="91" xfId="0" applyFont="1" applyBorder="1"/>
    <xf numFmtId="0" fontId="7" fillId="0" borderId="83" xfId="10" applyFont="1" applyBorder="1"/>
    <xf numFmtId="0" fontId="7" fillId="0" borderId="18" xfId="10" applyFont="1" applyBorder="1" applyAlignment="1">
      <alignment horizontal="right"/>
    </xf>
    <xf numFmtId="0" fontId="11" fillId="0" borderId="18" xfId="11" applyFont="1" applyBorder="1" applyAlignment="1">
      <alignment vertical="center"/>
    </xf>
    <xf numFmtId="0" fontId="6" fillId="0" borderId="8" xfId="11" applyFont="1" applyBorder="1" applyAlignment="1">
      <alignment vertical="center"/>
    </xf>
    <xf numFmtId="0" fontId="7" fillId="0" borderId="9" xfId="11" applyFont="1" applyBorder="1" applyAlignment="1">
      <alignment vertical="center"/>
    </xf>
    <xf numFmtId="37" fontId="34" fillId="0" borderId="39" xfId="11" applyNumberFormat="1" applyFont="1" applyBorder="1" applyAlignment="1">
      <alignment vertical="center"/>
    </xf>
    <xf numFmtId="37" fontId="34" fillId="0" borderId="35" xfId="11" applyNumberFormat="1" applyFont="1" applyBorder="1" applyAlignment="1">
      <alignment vertical="center"/>
    </xf>
    <xf numFmtId="37" fontId="6" fillId="0" borderId="35" xfId="11" applyNumberFormat="1" applyFont="1" applyBorder="1" applyAlignment="1">
      <alignment vertical="center"/>
    </xf>
    <xf numFmtId="37" fontId="6" fillId="0" borderId="35" xfId="11" applyNumberFormat="1" applyFont="1" applyBorder="1" applyAlignment="1">
      <alignment horizontal="left" vertical="center"/>
    </xf>
    <xf numFmtId="37" fontId="34" fillId="0" borderId="8" xfId="11" applyNumberFormat="1" applyFont="1" applyBorder="1" applyAlignment="1">
      <alignment vertical="center"/>
    </xf>
    <xf numFmtId="37" fontId="34" fillId="0" borderId="9" xfId="11" applyNumberFormat="1" applyFont="1" applyBorder="1" applyAlignment="1">
      <alignment vertical="center"/>
    </xf>
    <xf numFmtId="37" fontId="6" fillId="0" borderId="9" xfId="11" applyNumberFormat="1" applyFont="1" applyBorder="1" applyAlignment="1">
      <alignment vertical="center"/>
    </xf>
    <xf numFmtId="37" fontId="6" fillId="0" borderId="9" xfId="11" applyNumberFormat="1" applyFont="1" applyBorder="1" applyAlignment="1">
      <alignment horizontal="left" vertical="center"/>
    </xf>
    <xf numFmtId="37" fontId="6" fillId="0" borderId="92" xfId="11" applyNumberFormat="1" applyFont="1" applyBorder="1" applyAlignment="1">
      <alignment horizontal="center" vertical="center"/>
    </xf>
    <xf numFmtId="43" fontId="6" fillId="0" borderId="93" xfId="11" applyNumberFormat="1" applyFont="1" applyBorder="1" applyAlignment="1">
      <alignment horizontal="center" vertical="center"/>
    </xf>
    <xf numFmtId="37" fontId="6" fillId="0" borderId="94" xfId="11" applyNumberFormat="1" applyFont="1" applyBorder="1" applyAlignment="1">
      <alignment horizontal="center" vertical="center"/>
    </xf>
    <xf numFmtId="43" fontId="7" fillId="0" borderId="95" xfId="11" applyNumberFormat="1" applyFont="1" applyBorder="1" applyAlignment="1">
      <alignment horizontal="left" vertical="center"/>
    </xf>
    <xf numFmtId="0" fontId="6" fillId="0" borderId="96" xfId="0" applyFont="1" applyBorder="1" applyAlignment="1">
      <alignment horizontal="center" wrapText="1"/>
    </xf>
    <xf numFmtId="0" fontId="6" fillId="0" borderId="97" xfId="0" applyFont="1" applyBorder="1" applyAlignment="1">
      <alignment horizontal="center"/>
    </xf>
    <xf numFmtId="0" fontId="6" fillId="0" borderId="98" xfId="0" applyFont="1" applyBorder="1" applyAlignment="1">
      <alignment horizontal="center" wrapText="1"/>
    </xf>
    <xf numFmtId="0" fontId="6" fillId="0" borderId="99" xfId="0" applyFont="1" applyBorder="1" applyAlignment="1">
      <alignment horizontal="center" wrapText="1"/>
    </xf>
    <xf numFmtId="37" fontId="6" fillId="0" borderId="100" xfId="11" applyNumberFormat="1" applyFont="1" applyBorder="1" applyAlignment="1">
      <alignment horizontal="center" vertical="center"/>
    </xf>
    <xf numFmtId="37" fontId="6" fillId="0" borderId="63" xfId="11" applyNumberFormat="1" applyFont="1" applyBorder="1" applyAlignment="1">
      <alignment horizontal="center" vertical="center"/>
    </xf>
    <xf numFmtId="10" fontId="7" fillId="0" borderId="52" xfId="11" applyNumberFormat="1" applyFont="1" applyBorder="1" applyAlignment="1">
      <alignment vertical="center"/>
    </xf>
    <xf numFmtId="164" fontId="7" fillId="0" borderId="30" xfId="11" applyNumberFormat="1" applyFont="1" applyBorder="1" applyAlignment="1">
      <alignment vertical="center"/>
    </xf>
    <xf numFmtId="0" fontId="11" fillId="0" borderId="27" xfId="11" applyFont="1" applyBorder="1" applyAlignment="1">
      <alignment vertical="center"/>
    </xf>
    <xf numFmtId="164" fontId="7" fillId="0" borderId="101" xfId="11" applyNumberFormat="1" applyFont="1" applyBorder="1" applyAlignment="1">
      <alignment horizontal="left" vertical="center"/>
    </xf>
    <xf numFmtId="43" fontId="7" fillId="0" borderId="27" xfId="11" applyNumberFormat="1" applyFont="1" applyBorder="1" applyAlignment="1">
      <alignment horizontal="left" vertical="center"/>
    </xf>
    <xf numFmtId="0" fontId="7" fillId="0" borderId="102" xfId="0" applyFont="1" applyBorder="1"/>
    <xf numFmtId="164" fontId="7" fillId="0" borderId="102" xfId="11" applyNumberFormat="1" applyFont="1" applyBorder="1" applyAlignment="1">
      <alignment vertical="center"/>
    </xf>
    <xf numFmtId="10" fontId="7" fillId="0" borderId="103" xfId="11" applyNumberFormat="1" applyFont="1" applyBorder="1" applyAlignment="1">
      <alignment vertical="center"/>
    </xf>
    <xf numFmtId="43" fontId="7" fillId="0" borderId="54" xfId="11" applyNumberFormat="1" applyFont="1" applyBorder="1" applyAlignment="1">
      <alignment horizontal="left" vertical="center" wrapText="1"/>
    </xf>
    <xf numFmtId="37" fontId="6" fillId="0" borderId="100" xfId="11" applyNumberFormat="1" applyFont="1" applyBorder="1" applyAlignment="1">
      <alignment horizontal="center"/>
    </xf>
    <xf numFmtId="37" fontId="6" fillId="0" borderId="94" xfId="11" applyNumberFormat="1" applyFont="1" applyBorder="1" applyAlignment="1">
      <alignment horizontal="center"/>
    </xf>
    <xf numFmtId="37" fontId="6" fillId="0" borderId="63" xfId="11" applyNumberFormat="1" applyFont="1" applyBorder="1" applyAlignment="1">
      <alignment horizontal="center"/>
    </xf>
    <xf numFmtId="37" fontId="6" fillId="0" borderId="104" xfId="11" applyNumberFormat="1" applyFont="1" applyBorder="1" applyAlignment="1">
      <alignment horizontal="center"/>
    </xf>
    <xf numFmtId="37" fontId="6" fillId="9" borderId="63" xfId="11" applyNumberFormat="1" applyFont="1" applyFill="1" applyBorder="1" applyAlignment="1">
      <alignment horizontal="center"/>
    </xf>
    <xf numFmtId="0" fontId="11" fillId="0" borderId="9" xfId="11" applyFont="1" applyBorder="1" applyAlignment="1">
      <alignment vertical="center"/>
    </xf>
    <xf numFmtId="0" fontId="11" fillId="0" borderId="37" xfId="11" applyFont="1" applyBorder="1" applyAlignment="1">
      <alignment vertical="center"/>
    </xf>
    <xf numFmtId="49" fontId="6" fillId="0" borderId="5" xfId="11" applyNumberFormat="1" applyFont="1" applyBorder="1" applyAlignment="1">
      <alignment horizontal="center" vertical="center"/>
    </xf>
    <xf numFmtId="0" fontId="11" fillId="0" borderId="19" xfId="11" applyFont="1" applyBorder="1" applyAlignment="1">
      <alignment vertical="center"/>
    </xf>
    <xf numFmtId="0" fontId="10" fillId="0" borderId="19" xfId="11" applyFont="1" applyBorder="1" applyAlignment="1">
      <alignment vertical="center"/>
    </xf>
    <xf numFmtId="10" fontId="6" fillId="0" borderId="2" xfId="0" applyNumberFormat="1" applyFont="1" applyBorder="1" applyAlignment="1">
      <alignment horizontal="center"/>
    </xf>
    <xf numFmtId="0" fontId="0" fillId="0" borderId="105" xfId="0" applyBorder="1"/>
    <xf numFmtId="5" fontId="7" fillId="0" borderId="27" xfId="6" applyFont="1" applyBorder="1"/>
    <xf numFmtId="0" fontId="0" fillId="0" borderId="22" xfId="0" applyBorder="1"/>
    <xf numFmtId="10" fontId="7" fillId="0" borderId="30" xfId="0" applyNumberFormat="1" applyFont="1" applyBorder="1"/>
    <xf numFmtId="172" fontId="7" fillId="7" borderId="106" xfId="6" applyNumberFormat="1" applyFont="1" applyFill="1" applyBorder="1"/>
    <xf numFmtId="172" fontId="7" fillId="0" borderId="106" xfId="6" applyNumberFormat="1" applyFont="1" applyBorder="1"/>
    <xf numFmtId="0" fontId="7" fillId="0" borderId="66" xfId="0" applyFont="1" applyBorder="1" applyAlignment="1">
      <alignment horizontal="center"/>
    </xf>
    <xf numFmtId="0" fontId="7" fillId="0" borderId="67" xfId="0" applyFont="1" applyBorder="1" applyAlignment="1">
      <alignment horizontal="center"/>
    </xf>
    <xf numFmtId="0" fontId="7" fillId="0" borderId="69" xfId="0" applyFont="1" applyBorder="1" applyAlignment="1">
      <alignment horizontal="center"/>
    </xf>
    <xf numFmtId="0" fontId="0" fillId="0" borderId="107" xfId="0" applyBorder="1"/>
    <xf numFmtId="0" fontId="0" fillId="0" borderId="101" xfId="0" applyBorder="1"/>
    <xf numFmtId="0" fontId="7" fillId="6" borderId="32" xfId="0" applyFont="1" applyFill="1" applyBorder="1"/>
    <xf numFmtId="0" fontId="7" fillId="6" borderId="49" xfId="0" applyFont="1" applyFill="1" applyBorder="1"/>
    <xf numFmtId="0" fontId="7" fillId="6" borderId="32" xfId="0" applyFont="1" applyFill="1" applyBorder="1" applyAlignment="1">
      <alignment horizontal="center"/>
    </xf>
    <xf numFmtId="10" fontId="7" fillId="6" borderId="54" xfId="13" applyNumberFormat="1" applyFont="1" applyFill="1" applyBorder="1"/>
    <xf numFmtId="38" fontId="7" fillId="6" borderId="52" xfId="6" applyNumberFormat="1" applyFont="1" applyFill="1" applyBorder="1"/>
    <xf numFmtId="0" fontId="0" fillId="0" borderId="19" xfId="0" applyBorder="1"/>
    <xf numFmtId="38" fontId="7" fillId="6" borderId="7" xfId="6" applyNumberFormat="1" applyFont="1" applyFill="1" applyBorder="1"/>
    <xf numFmtId="6" fontId="7" fillId="0" borderId="19" xfId="6" applyNumberFormat="1" applyFont="1" applyBorder="1"/>
    <xf numFmtId="0" fontId="0" fillId="0" borderId="109" xfId="0" applyBorder="1"/>
    <xf numFmtId="0" fontId="31" fillId="6" borderId="32" xfId="0" applyFont="1" applyFill="1" applyBorder="1"/>
    <xf numFmtId="0" fontId="29" fillId="6" borderId="49" xfId="0" applyFont="1" applyFill="1" applyBorder="1"/>
    <xf numFmtId="0" fontId="31" fillId="6" borderId="54" xfId="0" applyFont="1" applyFill="1" applyBorder="1" applyAlignment="1">
      <alignment horizontal="center"/>
    </xf>
    <xf numFmtId="0" fontId="31" fillId="0" borderId="27" xfId="0" applyFont="1" applyBorder="1"/>
    <xf numFmtId="0" fontId="31" fillId="0" borderId="27" xfId="0" applyFont="1" applyBorder="1" applyAlignment="1">
      <alignment horizontal="center"/>
    </xf>
    <xf numFmtId="6" fontId="7" fillId="0" borderId="27" xfId="6" applyNumberFormat="1" applyFont="1" applyBorder="1"/>
    <xf numFmtId="0" fontId="7" fillId="0" borderId="27" xfId="6" applyNumberFormat="1" applyFont="1" applyBorder="1"/>
    <xf numFmtId="10" fontId="7" fillId="0" borderId="27" xfId="13" applyNumberFormat="1" applyFont="1" applyBorder="1"/>
    <xf numFmtId="6" fontId="7" fillId="0" borderId="101" xfId="6" applyNumberFormat="1" applyFont="1" applyBorder="1"/>
    <xf numFmtId="10" fontId="7" fillId="6" borderId="54" xfId="6" applyNumberFormat="1" applyFont="1" applyFill="1" applyBorder="1"/>
    <xf numFmtId="6" fontId="7" fillId="0" borderId="110" xfId="6" applyNumberFormat="1" applyFont="1" applyBorder="1"/>
    <xf numFmtId="10" fontId="7" fillId="0" borderId="111" xfId="13" applyNumberFormat="1" applyFont="1" applyBorder="1"/>
    <xf numFmtId="10" fontId="7" fillId="0" borderId="112" xfId="13" applyNumberFormat="1" applyFont="1" applyBorder="1"/>
    <xf numFmtId="10" fontId="7" fillId="0" borderId="108" xfId="13" applyNumberFormat="1" applyFont="1" applyBorder="1"/>
    <xf numFmtId="10" fontId="7" fillId="0" borderId="113" xfId="13" applyNumberFormat="1" applyFont="1" applyBorder="1"/>
    <xf numFmtId="0" fontId="0" fillId="0" borderId="23" xfId="0" applyBorder="1"/>
    <xf numFmtId="0" fontId="0" fillId="0" borderId="114" xfId="0" applyBorder="1"/>
    <xf numFmtId="38" fontId="7" fillId="0" borderId="51" xfId="6" applyNumberFormat="1" applyFont="1" applyBorder="1"/>
    <xf numFmtId="10" fontId="7" fillId="0" borderId="115" xfId="13" applyNumberFormat="1" applyFont="1" applyBorder="1"/>
    <xf numFmtId="10" fontId="7" fillId="6" borderId="7" xfId="13" applyNumberFormat="1" applyFont="1" applyFill="1" applyBorder="1"/>
    <xf numFmtId="38" fontId="7" fillId="6" borderId="52" xfId="6" applyNumberFormat="1" applyFont="1" applyFill="1" applyBorder="1" applyProtection="1">
      <protection locked="0"/>
    </xf>
    <xf numFmtId="6" fontId="7" fillId="0" borderId="0" xfId="13" applyNumberFormat="1" applyFont="1" applyAlignment="1">
      <alignment horizontal="right"/>
    </xf>
    <xf numFmtId="6" fontId="7" fillId="0" borderId="0" xfId="13" applyNumberFormat="1" applyFont="1"/>
    <xf numFmtId="0" fontId="27" fillId="6" borderId="32" xfId="0" applyFont="1" applyFill="1" applyBorder="1"/>
    <xf numFmtId="0" fontId="31" fillId="6" borderId="49" xfId="0" applyFont="1" applyFill="1" applyBorder="1"/>
    <xf numFmtId="0" fontId="7" fillId="0" borderId="115" xfId="0" applyFont="1" applyBorder="1"/>
    <xf numFmtId="0" fontId="29" fillId="0" borderId="117" xfId="0" applyFont="1" applyBorder="1"/>
    <xf numFmtId="0" fontId="31" fillId="6" borderId="54" xfId="0" quotePrefix="1" applyFont="1" applyFill="1" applyBorder="1" applyAlignment="1">
      <alignment horizontal="center"/>
    </xf>
    <xf numFmtId="10" fontId="7" fillId="0" borderId="21" xfId="13" applyNumberFormat="1" applyFont="1" applyBorder="1"/>
    <xf numFmtId="10" fontId="7" fillId="0" borderId="118" xfId="13" applyNumberFormat="1" applyFont="1" applyBorder="1"/>
    <xf numFmtId="10" fontId="7" fillId="6" borderId="71" xfId="13" applyNumberFormat="1" applyFont="1" applyFill="1" applyBorder="1"/>
    <xf numFmtId="0" fontId="31" fillId="0" borderId="119" xfId="0" applyFont="1" applyBorder="1"/>
    <xf numFmtId="0" fontId="29" fillId="0" borderId="30" xfId="0" applyFont="1" applyBorder="1"/>
    <xf numFmtId="43" fontId="7" fillId="0" borderId="31" xfId="10" applyNumberFormat="1" applyFont="1" applyBorder="1"/>
    <xf numFmtId="41" fontId="7" fillId="0" borderId="31" xfId="2" applyNumberFormat="1" applyFont="1" applyBorder="1"/>
    <xf numFmtId="41" fontId="7" fillId="4" borderId="31" xfId="13" applyNumberFormat="1" applyFont="1" applyFill="1" applyBorder="1" applyProtection="1">
      <protection locked="0"/>
    </xf>
    <xf numFmtId="41" fontId="7" fillId="0" borderId="0" xfId="13" applyNumberFormat="1" applyFont="1"/>
    <xf numFmtId="41" fontId="30" fillId="0" borderId="0" xfId="10" applyNumberFormat="1" applyFont="1"/>
    <xf numFmtId="9" fontId="30" fillId="0" borderId="51" xfId="13" applyFont="1" applyBorder="1"/>
    <xf numFmtId="10" fontId="30" fillId="0" borderId="120" xfId="13" applyNumberFormat="1" applyFont="1" applyBorder="1"/>
    <xf numFmtId="10" fontId="7" fillId="0" borderId="37" xfId="13" applyNumberFormat="1" applyFont="1" applyBorder="1"/>
    <xf numFmtId="10" fontId="7" fillId="0" borderId="120" xfId="13" applyNumberFormat="1" applyFont="1" applyBorder="1"/>
    <xf numFmtId="10" fontId="30" fillId="0" borderId="37" xfId="13" applyNumberFormat="1" applyFont="1" applyBorder="1"/>
    <xf numFmtId="10" fontId="30" fillId="0" borderId="53" xfId="13" applyNumberFormat="1" applyFont="1" applyBorder="1"/>
    <xf numFmtId="0" fontId="6" fillId="0" borderId="27" xfId="10" applyFont="1" applyBorder="1"/>
    <xf numFmtId="43" fontId="7" fillId="0" borderId="27" xfId="2" applyNumberFormat="1" applyFont="1" applyBorder="1"/>
    <xf numFmtId="43" fontId="7" fillId="0" borderId="101" xfId="10" applyNumberFormat="1" applyFont="1" applyBorder="1"/>
    <xf numFmtId="41" fontId="7" fillId="0" borderId="27" xfId="2" applyNumberFormat="1" applyFont="1" applyBorder="1"/>
    <xf numFmtId="41" fontId="7" fillId="2" borderId="121" xfId="2" applyNumberFormat="1" applyFont="1" applyFill="1" applyBorder="1" applyProtection="1">
      <protection locked="0"/>
    </xf>
    <xf numFmtId="0" fontId="7" fillId="0" borderId="37" xfId="10" applyFont="1" applyBorder="1" applyAlignment="1">
      <alignment horizontal="center"/>
    </xf>
    <xf numFmtId="0" fontId="7" fillId="0" borderId="19" xfId="10" applyFont="1" applyBorder="1" applyAlignment="1">
      <alignment horizontal="center"/>
    </xf>
    <xf numFmtId="0" fontId="7" fillId="0" borderId="122" xfId="10" applyFont="1" applyBorder="1" applyAlignment="1">
      <alignment horizontal="right"/>
    </xf>
    <xf numFmtId="10" fontId="30" fillId="0" borderId="27" xfId="13" applyNumberFormat="1" applyFont="1" applyBorder="1"/>
    <xf numFmtId="10" fontId="7" fillId="0" borderId="49" xfId="13" applyNumberFormat="1" applyFont="1" applyBorder="1"/>
    <xf numFmtId="10" fontId="7" fillId="0" borderId="123" xfId="13" applyNumberFormat="1" applyFont="1" applyBorder="1"/>
    <xf numFmtId="10" fontId="30" fillId="0" borderId="123" xfId="13" applyNumberFormat="1" applyFont="1" applyBorder="1"/>
    <xf numFmtId="10" fontId="7" fillId="0" borderId="124" xfId="13" applyNumberFormat="1" applyFont="1" applyBorder="1" applyAlignment="1">
      <alignment horizontal="center"/>
    </xf>
    <xf numFmtId="10" fontId="7" fillId="0" borderId="125" xfId="13" applyNumberFormat="1" applyFont="1" applyBorder="1" applyAlignment="1">
      <alignment horizontal="center"/>
    </xf>
    <xf numFmtId="10" fontId="30" fillId="0" borderId="125" xfId="13" applyNumberFormat="1" applyFont="1" applyBorder="1"/>
    <xf numFmtId="10" fontId="30" fillId="0" borderId="126" xfId="13" applyNumberFormat="1" applyFont="1" applyBorder="1"/>
    <xf numFmtId="10" fontId="7" fillId="0" borderId="125" xfId="13" applyNumberFormat="1" applyFont="1" applyBorder="1"/>
    <xf numFmtId="43" fontId="7" fillId="0" borderId="8" xfId="2" applyNumberFormat="1" applyFont="1" applyBorder="1" applyAlignment="1">
      <alignment horizontal="center"/>
    </xf>
    <xf numFmtId="43" fontId="7" fillId="0" borderId="9" xfId="10" applyNumberFormat="1" applyFont="1" applyBorder="1" applyAlignment="1">
      <alignment horizontal="center"/>
    </xf>
    <xf numFmtId="9" fontId="7" fillId="0" borderId="37" xfId="13" applyFont="1" applyBorder="1" applyAlignment="1">
      <alignment horizontal="center"/>
    </xf>
    <xf numFmtId="41" fontId="7" fillId="2" borderId="127" xfId="2" applyNumberFormat="1" applyFont="1" applyFill="1" applyBorder="1" applyProtection="1">
      <protection locked="0"/>
    </xf>
    <xf numFmtId="41" fontId="7" fillId="0" borderId="122" xfId="13" applyNumberFormat="1" applyFont="1" applyBorder="1"/>
    <xf numFmtId="9" fontId="7" fillId="0" borderId="101" xfId="13" applyFont="1" applyBorder="1"/>
    <xf numFmtId="41" fontId="7" fillId="0" borderId="82" xfId="2" applyNumberFormat="1" applyFont="1" applyBorder="1"/>
    <xf numFmtId="10" fontId="7" fillId="0" borderId="101" xfId="13" applyNumberFormat="1" applyFont="1" applyBorder="1"/>
    <xf numFmtId="0" fontId="48" fillId="0" borderId="0" xfId="8" applyAlignment="1">
      <alignment horizontal="left"/>
    </xf>
    <xf numFmtId="10" fontId="7" fillId="0" borderId="22" xfId="13" applyNumberFormat="1" applyFont="1" applyBorder="1"/>
    <xf numFmtId="10" fontId="7" fillId="0" borderId="109" xfId="13" applyNumberFormat="1" applyFont="1" applyBorder="1"/>
    <xf numFmtId="43" fontId="7" fillId="0" borderId="128" xfId="10" applyNumberFormat="1" applyFont="1" applyBorder="1"/>
    <xf numFmtId="0" fontId="7" fillId="0" borderId="56" xfId="0" applyFont="1" applyBorder="1" applyAlignment="1">
      <alignment horizontal="center"/>
    </xf>
    <xf numFmtId="0" fontId="31" fillId="0" borderId="0" xfId="0" applyFont="1" applyAlignment="1">
      <alignment horizontal="center"/>
    </xf>
    <xf numFmtId="6" fontId="7" fillId="0" borderId="22" xfId="6" applyNumberFormat="1" applyFont="1" applyBorder="1"/>
    <xf numFmtId="43" fontId="7" fillId="0" borderId="32" xfId="11" applyNumberFormat="1" applyFont="1" applyBorder="1" applyAlignment="1">
      <alignment horizontal="left" vertical="center" wrapText="1"/>
    </xf>
    <xf numFmtId="0" fontId="6" fillId="0" borderId="17" xfId="11" applyFont="1" applyBorder="1" applyAlignment="1">
      <alignment horizontal="center" vertical="center"/>
    </xf>
    <xf numFmtId="43" fontId="6" fillId="0" borderId="17" xfId="11" applyNumberFormat="1" applyFont="1" applyBorder="1" applyAlignment="1">
      <alignment horizontal="center" vertical="center"/>
    </xf>
    <xf numFmtId="0" fontId="6" fillId="0" borderId="128" xfId="11" applyFont="1" applyBorder="1" applyAlignment="1">
      <alignment horizontal="center" vertical="center"/>
    </xf>
    <xf numFmtId="164" fontId="7" fillId="0" borderId="27" xfId="11" applyNumberFormat="1" applyFont="1" applyBorder="1" applyAlignment="1">
      <alignment horizontal="center" vertical="center"/>
    </xf>
    <xf numFmtId="164" fontId="7" fillId="0" borderId="30" xfId="11" applyNumberFormat="1" applyFont="1" applyBorder="1" applyAlignment="1">
      <alignment horizontal="center" vertical="center"/>
    </xf>
    <xf numFmtId="43" fontId="7" fillId="0" borderId="30" xfId="11" applyNumberFormat="1" applyFont="1" applyBorder="1" applyAlignment="1">
      <alignment horizontal="left" vertical="center"/>
    </xf>
    <xf numFmtId="164" fontId="7" fillId="0" borderId="30" xfId="11" applyNumberFormat="1" applyFont="1" applyBorder="1" applyAlignment="1">
      <alignment horizontal="left" vertical="center"/>
    </xf>
    <xf numFmtId="164" fontId="7" fillId="0" borderId="129" xfId="11" applyNumberFormat="1" applyFont="1" applyBorder="1" applyAlignment="1">
      <alignment horizontal="left" vertical="center"/>
    </xf>
    <xf numFmtId="0" fontId="7" fillId="0" borderId="30" xfId="11" applyFont="1" applyBorder="1" applyAlignment="1">
      <alignment vertical="center"/>
    </xf>
    <xf numFmtId="10" fontId="7" fillId="0" borderId="30" xfId="11" applyNumberFormat="1" applyFont="1" applyBorder="1" applyAlignment="1">
      <alignment vertical="center"/>
    </xf>
    <xf numFmtId="10" fontId="7" fillId="0" borderId="129" xfId="11" applyNumberFormat="1" applyFont="1" applyBorder="1" applyAlignment="1">
      <alignment vertical="center"/>
    </xf>
    <xf numFmtId="164" fontId="7" fillId="0" borderId="0" xfId="11" applyNumberFormat="1" applyFont="1" applyAlignment="1">
      <alignment horizontal="center" vertical="center"/>
    </xf>
    <xf numFmtId="10" fontId="7" fillId="0" borderId="27" xfId="11" applyNumberFormat="1" applyFont="1" applyBorder="1" applyAlignment="1">
      <alignment vertical="center"/>
    </xf>
    <xf numFmtId="10" fontId="7" fillId="0" borderId="0" xfId="11" applyNumberFormat="1" applyFont="1" applyAlignment="1">
      <alignment vertical="center"/>
    </xf>
    <xf numFmtId="0" fontId="6" fillId="0" borderId="0" xfId="0" applyFont="1" applyAlignment="1">
      <alignment horizontal="left" vertical="top"/>
    </xf>
    <xf numFmtId="43" fontId="7" fillId="0" borderId="46" xfId="11" applyNumberFormat="1" applyFont="1" applyBorder="1" applyAlignment="1">
      <alignment horizontal="left" vertical="center" wrapText="1"/>
    </xf>
    <xf numFmtId="165" fontId="7" fillId="0" borderId="0" xfId="1" applyNumberFormat="1" applyFont="1" applyAlignment="1">
      <alignment vertical="center"/>
    </xf>
    <xf numFmtId="164" fontId="7" fillId="0" borderId="130" xfId="11" applyNumberFormat="1" applyFont="1" applyBorder="1" applyAlignment="1">
      <alignment horizontal="center" vertical="center"/>
    </xf>
    <xf numFmtId="3" fontId="7" fillId="0" borderId="54" xfId="13" applyNumberFormat="1" applyFont="1" applyBorder="1"/>
    <xf numFmtId="3" fontId="7" fillId="0" borderId="31" xfId="6" applyNumberFormat="1" applyFont="1" applyBorder="1"/>
    <xf numFmtId="3" fontId="7" fillId="0" borderId="31" xfId="5" applyNumberFormat="1" applyFont="1" applyBorder="1"/>
    <xf numFmtId="3" fontId="7" fillId="0" borderId="31" xfId="13" applyNumberFormat="1" applyFont="1" applyBorder="1"/>
    <xf numFmtId="3" fontId="7" fillId="6" borderId="54" xfId="13" applyNumberFormat="1" applyFont="1" applyFill="1" applyBorder="1"/>
    <xf numFmtId="3" fontId="7" fillId="6" borderId="54" xfId="6" applyNumberFormat="1" applyFont="1" applyFill="1" applyBorder="1"/>
    <xf numFmtId="10" fontId="7" fillId="0" borderId="76" xfId="7" applyNumberFormat="1" applyFont="1" applyBorder="1"/>
    <xf numFmtId="10" fontId="7" fillId="0" borderId="31" xfId="6" applyNumberFormat="1" applyFont="1" applyBorder="1"/>
    <xf numFmtId="3" fontId="7" fillId="6" borderId="32" xfId="6" applyNumberFormat="1" applyFont="1" applyFill="1" applyBorder="1"/>
    <xf numFmtId="3" fontId="7" fillId="6" borderId="32" xfId="13" applyNumberFormat="1" applyFont="1" applyFill="1" applyBorder="1"/>
    <xf numFmtId="10" fontId="7" fillId="0" borderId="131" xfId="6" applyNumberFormat="1" applyFont="1" applyBorder="1"/>
    <xf numFmtId="10" fontId="7" fillId="0" borderId="51" xfId="6" applyNumberFormat="1" applyFont="1" applyBorder="1"/>
    <xf numFmtId="10" fontId="7" fillId="0" borderId="132" xfId="6" applyNumberFormat="1" applyFont="1" applyBorder="1"/>
    <xf numFmtId="10" fontId="7" fillId="0" borderId="110" xfId="6" applyNumberFormat="1" applyFont="1" applyBorder="1"/>
    <xf numFmtId="10" fontId="7" fillId="0" borderId="133" xfId="6" applyNumberFormat="1" applyFont="1" applyBorder="1"/>
    <xf numFmtId="10" fontId="7" fillId="0" borderId="134" xfId="6" applyNumberFormat="1" applyFont="1" applyBorder="1"/>
    <xf numFmtId="3" fontId="7" fillId="6" borderId="112" xfId="6" applyNumberFormat="1" applyFont="1" applyFill="1" applyBorder="1"/>
    <xf numFmtId="3" fontId="7" fillId="6" borderId="75" xfId="6" applyNumberFormat="1" applyFont="1" applyFill="1" applyBorder="1"/>
    <xf numFmtId="10" fontId="7" fillId="0" borderId="26" xfId="6" applyNumberFormat="1" applyFont="1" applyBorder="1"/>
    <xf numFmtId="10" fontId="7" fillId="6" borderId="112" xfId="6" applyNumberFormat="1" applyFont="1" applyFill="1" applyBorder="1"/>
    <xf numFmtId="10" fontId="7" fillId="6" borderId="108" xfId="6" applyNumberFormat="1" applyFont="1" applyFill="1" applyBorder="1"/>
    <xf numFmtId="10" fontId="7" fillId="6" borderId="111" xfId="6" applyNumberFormat="1" applyFont="1" applyFill="1" applyBorder="1"/>
    <xf numFmtId="10" fontId="7" fillId="6" borderId="113" xfId="6" applyNumberFormat="1" applyFont="1" applyFill="1" applyBorder="1"/>
    <xf numFmtId="5" fontId="7" fillId="0" borderId="31" xfId="6" applyFont="1" applyBorder="1"/>
    <xf numFmtId="0" fontId="0" fillId="0" borderId="51" xfId="0" applyBorder="1"/>
    <xf numFmtId="3" fontId="7" fillId="6" borderId="7" xfId="13" applyNumberFormat="1" applyFont="1" applyFill="1" applyBorder="1"/>
    <xf numFmtId="0" fontId="31" fillId="0" borderId="31" xfId="0" quotePrefix="1" applyFont="1" applyBorder="1" applyAlignment="1">
      <alignment horizontal="center"/>
    </xf>
    <xf numFmtId="10" fontId="7" fillId="0" borderId="63" xfId="0" applyNumberFormat="1" applyFont="1" applyBorder="1"/>
    <xf numFmtId="10" fontId="7" fillId="0" borderId="132" xfId="0" applyNumberFormat="1" applyFont="1" applyBorder="1"/>
    <xf numFmtId="6" fontId="7" fillId="0" borderId="19" xfId="13" applyNumberFormat="1" applyFont="1" applyBorder="1"/>
    <xf numFmtId="10" fontId="7" fillId="0" borderId="135" xfId="13" applyNumberFormat="1" applyFont="1" applyBorder="1"/>
    <xf numFmtId="3" fontId="7" fillId="6" borderId="54" xfId="6" applyNumberFormat="1" applyFont="1" applyFill="1" applyBorder="1" applyProtection="1">
      <protection locked="0"/>
    </xf>
    <xf numFmtId="10" fontId="7" fillId="6" borderId="76" xfId="7" applyNumberFormat="1" applyFont="1" applyFill="1" applyBorder="1" applyProtection="1">
      <protection locked="0"/>
    </xf>
    <xf numFmtId="10" fontId="7" fillId="6" borderId="76" xfId="7" applyNumberFormat="1" applyFont="1" applyFill="1" applyBorder="1"/>
    <xf numFmtId="10" fontId="7" fillId="6" borderId="7" xfId="7" applyNumberFormat="1" applyFont="1" applyFill="1" applyBorder="1" applyProtection="1">
      <protection locked="0"/>
    </xf>
    <xf numFmtId="10" fontId="7" fillId="6" borderId="54" xfId="6" applyNumberFormat="1" applyFont="1" applyFill="1" applyBorder="1" applyProtection="1">
      <protection locked="0"/>
    </xf>
    <xf numFmtId="10" fontId="7" fillId="6" borderId="131" xfId="6" applyNumberFormat="1" applyFont="1" applyFill="1" applyBorder="1"/>
    <xf numFmtId="10" fontId="7" fillId="6" borderId="26" xfId="6" applyNumberFormat="1" applyFont="1" applyFill="1" applyBorder="1"/>
    <xf numFmtId="3" fontId="7" fillId="6" borderId="11" xfId="13" applyNumberFormat="1" applyFont="1" applyFill="1" applyBorder="1"/>
    <xf numFmtId="3" fontId="7" fillId="6" borderId="76" xfId="6" applyNumberFormat="1" applyFont="1" applyFill="1" applyBorder="1"/>
    <xf numFmtId="3" fontId="7" fillId="6" borderId="7" xfId="6" applyNumberFormat="1" applyFont="1" applyFill="1" applyBorder="1"/>
    <xf numFmtId="3" fontId="7" fillId="6" borderId="136" xfId="13" applyNumberFormat="1" applyFont="1" applyFill="1" applyBorder="1"/>
    <xf numFmtId="3" fontId="7" fillId="6" borderId="75" xfId="13" applyNumberFormat="1" applyFont="1" applyFill="1" applyBorder="1"/>
    <xf numFmtId="3" fontId="7" fillId="6" borderId="112" xfId="13" applyNumberFormat="1" applyFont="1" applyFill="1" applyBorder="1"/>
    <xf numFmtId="0" fontId="0" fillId="0" borderId="61" xfId="0" applyBorder="1"/>
    <xf numFmtId="0" fontId="0" fillId="0" borderId="137" xfId="0" applyBorder="1"/>
    <xf numFmtId="10" fontId="7" fillId="6" borderId="7" xfId="6" applyNumberFormat="1" applyFont="1" applyFill="1" applyBorder="1"/>
    <xf numFmtId="0" fontId="6" fillId="0" borderId="0" xfId="11" applyFont="1" applyAlignment="1">
      <alignment horizontal="center" vertical="center"/>
    </xf>
    <xf numFmtId="0" fontId="7" fillId="0" borderId="54" xfId="10" quotePrefix="1" applyFont="1" applyBorder="1" applyAlignment="1">
      <alignment horizontal="center"/>
    </xf>
    <xf numFmtId="0" fontId="7" fillId="0" borderId="54" xfId="10" applyFont="1" applyBorder="1" applyAlignment="1">
      <alignment horizontal="center"/>
    </xf>
    <xf numFmtId="43" fontId="7" fillId="0" borderId="138" xfId="2" applyNumberFormat="1" applyFont="1" applyBorder="1" applyAlignment="1">
      <alignment horizontal="center"/>
    </xf>
    <xf numFmtId="0" fontId="7" fillId="0" borderId="63" xfId="0" applyFont="1" applyBorder="1" applyAlignment="1">
      <alignment horizontal="center"/>
    </xf>
    <xf numFmtId="3" fontId="7" fillId="7" borderId="7" xfId="6" applyNumberFormat="1" applyFont="1" applyFill="1" applyBorder="1"/>
    <xf numFmtId="10" fontId="7" fillId="6" borderId="20" xfId="0" applyNumberFormat="1" applyFont="1" applyFill="1" applyBorder="1"/>
    <xf numFmtId="10" fontId="7" fillId="6" borderId="78" xfId="0" applyNumberFormat="1" applyFont="1" applyFill="1" applyBorder="1"/>
    <xf numFmtId="10" fontId="7" fillId="0" borderId="111" xfId="6" applyNumberFormat="1" applyFont="1" applyBorder="1"/>
    <xf numFmtId="10" fontId="7" fillId="0" borderId="112" xfId="6" applyNumberFormat="1" applyFont="1" applyBorder="1"/>
    <xf numFmtId="10" fontId="7" fillId="0" borderId="11" xfId="6" applyNumberFormat="1" applyFont="1" applyBorder="1"/>
    <xf numFmtId="10" fontId="7" fillId="0" borderId="21" xfId="6" applyNumberFormat="1" applyFont="1" applyBorder="1"/>
    <xf numFmtId="10" fontId="0" fillId="0" borderId="54" xfId="0" applyNumberFormat="1" applyBorder="1"/>
    <xf numFmtId="10" fontId="7" fillId="0" borderId="139" xfId="6" applyNumberFormat="1" applyFont="1" applyBorder="1"/>
    <xf numFmtId="10" fontId="7" fillId="0" borderId="140" xfId="6" applyNumberFormat="1" applyFont="1" applyBorder="1"/>
    <xf numFmtId="10" fontId="7" fillId="0" borderId="118" xfId="6" applyNumberFormat="1" applyFont="1" applyBorder="1"/>
    <xf numFmtId="10" fontId="7" fillId="0" borderId="108" xfId="6" applyNumberFormat="1" applyFont="1" applyBorder="1"/>
    <xf numFmtId="10" fontId="7" fillId="0" borderId="113" xfId="6" applyNumberFormat="1" applyFont="1" applyBorder="1"/>
    <xf numFmtId="10" fontId="7" fillId="0" borderId="7" xfId="7" applyNumberFormat="1" applyFont="1" applyBorder="1"/>
    <xf numFmtId="10" fontId="7" fillId="0" borderId="141" xfId="6" applyNumberFormat="1" applyFont="1" applyBorder="1"/>
    <xf numFmtId="10" fontId="7" fillId="0" borderId="80" xfId="6" applyNumberFormat="1" applyFont="1" applyBorder="1"/>
    <xf numFmtId="10" fontId="7" fillId="0" borderId="79" xfId="6" applyNumberFormat="1" applyFont="1" applyBorder="1"/>
    <xf numFmtId="10" fontId="7" fillId="0" borderId="142" xfId="6" applyNumberFormat="1" applyFont="1" applyBorder="1"/>
    <xf numFmtId="10" fontId="0" fillId="6" borderId="112" xfId="0" applyNumberFormat="1" applyFill="1" applyBorder="1"/>
    <xf numFmtId="3" fontId="0" fillId="6" borderId="112" xfId="0" applyNumberFormat="1" applyFill="1" applyBorder="1"/>
    <xf numFmtId="10" fontId="0" fillId="6" borderId="111" xfId="0" applyNumberFormat="1" applyFill="1" applyBorder="1"/>
    <xf numFmtId="3" fontId="7" fillId="6" borderId="143" xfId="6" applyNumberFormat="1" applyFont="1" applyFill="1" applyBorder="1"/>
    <xf numFmtId="10" fontId="7" fillId="6" borderId="11" xfId="6" applyNumberFormat="1" applyFont="1" applyFill="1" applyBorder="1"/>
    <xf numFmtId="0" fontId="7" fillId="0" borderId="31" xfId="0" applyFont="1" applyBorder="1" applyAlignment="1">
      <alignment vertical="center"/>
    </xf>
    <xf numFmtId="9" fontId="7" fillId="0" borderId="32" xfId="13" applyFont="1" applyBorder="1" applyAlignment="1">
      <alignment vertical="center"/>
    </xf>
    <xf numFmtId="10" fontId="7" fillId="0" borderId="22" xfId="13" applyNumberFormat="1" applyFont="1" applyBorder="1" applyAlignment="1">
      <alignment horizontal="right"/>
    </xf>
    <xf numFmtId="10" fontId="7" fillId="0" borderId="109" xfId="13" applyNumberFormat="1" applyFont="1" applyBorder="1" applyAlignment="1">
      <alignment horizontal="right"/>
    </xf>
    <xf numFmtId="1" fontId="7" fillId="0" borderId="3" xfId="0" applyNumberFormat="1" applyFont="1" applyBorder="1" applyAlignment="1">
      <alignment horizontal="center"/>
    </xf>
    <xf numFmtId="38" fontId="7" fillId="0" borderId="17" xfId="6" applyNumberFormat="1" applyFont="1" applyBorder="1"/>
    <xf numFmtId="43" fontId="7" fillId="6" borderId="50" xfId="11" applyNumberFormat="1" applyFont="1" applyFill="1" applyBorder="1" applyAlignment="1">
      <alignment horizontal="left" vertical="center"/>
    </xf>
    <xf numFmtId="43" fontId="7" fillId="6" borderId="54" xfId="11" applyNumberFormat="1" applyFont="1" applyFill="1" applyBorder="1" applyAlignment="1">
      <alignment horizontal="left" vertical="center"/>
    </xf>
    <xf numFmtId="43" fontId="7" fillId="6" borderId="32" xfId="11" applyNumberFormat="1" applyFont="1" applyFill="1" applyBorder="1" applyAlignment="1">
      <alignment horizontal="left" vertical="center"/>
    </xf>
    <xf numFmtId="37" fontId="6" fillId="0" borderId="41" xfId="11" applyNumberFormat="1" applyFont="1" applyBorder="1" applyAlignment="1">
      <alignment horizontal="center" vertical="center"/>
    </xf>
    <xf numFmtId="0" fontId="6" fillId="0" borderId="5" xfId="11" applyFont="1" applyBorder="1" applyAlignment="1">
      <alignment vertical="center"/>
    </xf>
    <xf numFmtId="37" fontId="6" fillId="0" borderId="37" xfId="11" applyNumberFormat="1" applyFont="1" applyBorder="1" applyAlignment="1">
      <alignment vertical="center"/>
    </xf>
    <xf numFmtId="0" fontId="4" fillId="0" borderId="27" xfId="0" applyFont="1" applyBorder="1"/>
    <xf numFmtId="0" fontId="7" fillId="0" borderId="19" xfId="0" applyFont="1" applyBorder="1" applyAlignment="1">
      <alignment horizontal="center"/>
    </xf>
    <xf numFmtId="166" fontId="7" fillId="0" borderId="22" xfId="6" applyNumberFormat="1" applyFont="1" applyBorder="1" applyAlignment="1">
      <alignment horizontal="right"/>
    </xf>
    <xf numFmtId="0" fontId="4" fillId="0" borderId="30" xfId="0" applyFont="1" applyBorder="1"/>
    <xf numFmtId="43" fontId="7" fillId="0" borderId="115" xfId="13" applyNumberFormat="1" applyFont="1" applyBorder="1"/>
    <xf numFmtId="172" fontId="7" fillId="0" borderId="115" xfId="6" applyNumberFormat="1" applyFont="1" applyBorder="1"/>
    <xf numFmtId="165" fontId="7" fillId="0" borderId="115" xfId="13" applyNumberFormat="1" applyFont="1" applyBorder="1"/>
    <xf numFmtId="10" fontId="7" fillId="0" borderId="144" xfId="13" applyNumberFormat="1" applyFont="1" applyBorder="1"/>
    <xf numFmtId="0" fontId="6" fillId="0" borderId="27" xfId="0" applyFont="1" applyBorder="1"/>
    <xf numFmtId="0" fontId="19" fillId="0" borderId="27" xfId="0" applyFont="1" applyBorder="1"/>
    <xf numFmtId="166" fontId="6" fillId="0" borderId="22" xfId="6" applyNumberFormat="1" applyFont="1" applyBorder="1" applyAlignment="1">
      <alignment horizontal="right"/>
    </xf>
    <xf numFmtId="10" fontId="6" fillId="0" borderId="22" xfId="13" applyNumberFormat="1" applyFont="1" applyBorder="1" applyAlignment="1">
      <alignment horizontal="right"/>
    </xf>
    <xf numFmtId="10" fontId="6" fillId="0" borderId="109" xfId="13" applyNumberFormat="1" applyFont="1" applyBorder="1" applyAlignment="1">
      <alignment horizontal="right"/>
    </xf>
    <xf numFmtId="43" fontId="7" fillId="0" borderId="22" xfId="13" applyNumberFormat="1" applyFont="1" applyBorder="1"/>
    <xf numFmtId="40" fontId="7" fillId="0" borderId="22" xfId="13" applyNumberFormat="1" applyFont="1" applyBorder="1"/>
    <xf numFmtId="43" fontId="7" fillId="0" borderId="22" xfId="0" applyNumberFormat="1" applyFont="1" applyBorder="1"/>
    <xf numFmtId="43" fontId="7" fillId="0" borderId="27" xfId="6" applyNumberFormat="1" applyFont="1" applyBorder="1"/>
    <xf numFmtId="10" fontId="7" fillId="0" borderId="27" xfId="0" applyNumberFormat="1" applyFont="1" applyBorder="1"/>
    <xf numFmtId="10" fontId="7" fillId="0" borderId="101" xfId="0" applyNumberFormat="1" applyFont="1" applyBorder="1"/>
    <xf numFmtId="0" fontId="9" fillId="0" borderId="39" xfId="0" applyFont="1" applyBorder="1"/>
    <xf numFmtId="0" fontId="7" fillId="0" borderId="35" xfId="0" applyFont="1" applyBorder="1"/>
    <xf numFmtId="0" fontId="4" fillId="0" borderId="145" xfId="0" applyFont="1" applyBorder="1"/>
    <xf numFmtId="0" fontId="6" fillId="0" borderId="5" xfId="0" applyFont="1" applyBorder="1" applyAlignment="1">
      <alignment horizontal="left"/>
    </xf>
    <xf numFmtId="9" fontId="6" fillId="0" borderId="5" xfId="13" applyFont="1" applyBorder="1"/>
    <xf numFmtId="0" fontId="6" fillId="0" borderId="5" xfId="0" quotePrefix="1" applyFont="1" applyBorder="1" applyAlignment="1">
      <alignment horizontal="left"/>
    </xf>
    <xf numFmtId="10" fontId="7" fillId="6" borderId="52" xfId="13" applyNumberFormat="1" applyFont="1" applyFill="1" applyBorder="1"/>
    <xf numFmtId="169" fontId="7" fillId="6" borderId="38" xfId="13" applyNumberFormat="1" applyFont="1" applyFill="1" applyBorder="1"/>
    <xf numFmtId="169" fontId="7" fillId="6" borderId="38" xfId="6" applyNumberFormat="1" applyFont="1" applyFill="1" applyBorder="1"/>
    <xf numFmtId="10" fontId="7" fillId="5" borderId="32" xfId="0" quotePrefix="1" applyNumberFormat="1" applyFont="1" applyFill="1" applyBorder="1" applyAlignment="1" applyProtection="1">
      <alignment horizontal="center"/>
      <protection locked="0"/>
    </xf>
    <xf numFmtId="41" fontId="7" fillId="10" borderId="75" xfId="7" applyNumberFormat="1" applyFont="1" applyFill="1" applyBorder="1" applyProtection="1">
      <protection locked="0"/>
    </xf>
    <xf numFmtId="41" fontId="7" fillId="4" borderId="54" xfId="5" applyNumberFormat="1" applyFont="1" applyFill="1" applyBorder="1" applyProtection="1">
      <protection locked="0"/>
    </xf>
    <xf numFmtId="41" fontId="7" fillId="0" borderId="54" xfId="6" applyNumberFormat="1" applyFont="1" applyBorder="1"/>
    <xf numFmtId="41" fontId="7" fillId="0" borderId="54" xfId="5" applyNumberFormat="1" applyFont="1" applyBorder="1"/>
    <xf numFmtId="41" fontId="7" fillId="11" borderId="54" xfId="6" applyNumberFormat="1" applyFont="1" applyFill="1" applyBorder="1"/>
    <xf numFmtId="41" fontId="7" fillId="11" borderId="54" xfId="5" applyNumberFormat="1" applyFont="1" applyFill="1" applyBorder="1"/>
    <xf numFmtId="41" fontId="7" fillId="4" borderId="54" xfId="6" applyNumberFormat="1" applyFont="1" applyFill="1" applyBorder="1" applyProtection="1">
      <protection locked="0"/>
    </xf>
    <xf numFmtId="41" fontId="7" fillId="3" borderId="54" xfId="6" applyNumberFormat="1" applyFont="1" applyFill="1" applyBorder="1"/>
    <xf numFmtId="41" fontId="7" fillId="0" borderId="63" xfId="5" applyNumberFormat="1" applyFont="1" applyBorder="1"/>
    <xf numFmtId="41" fontId="7" fillId="0" borderId="63" xfId="6" applyNumberFormat="1" applyFont="1" applyBorder="1"/>
    <xf numFmtId="41" fontId="7" fillId="4" borderId="112" xfId="7" applyNumberFormat="1" applyFont="1" applyFill="1" applyBorder="1" applyProtection="1">
      <protection locked="0"/>
    </xf>
    <xf numFmtId="41" fontId="7" fillId="4" borderId="7" xfId="7" applyNumberFormat="1" applyFont="1" applyFill="1" applyBorder="1" applyProtection="1">
      <protection locked="0"/>
    </xf>
    <xf numFmtId="42" fontId="7" fillId="10" borderId="106" xfId="6" applyNumberFormat="1" applyFont="1" applyFill="1" applyBorder="1" applyProtection="1">
      <protection locked="0"/>
    </xf>
    <xf numFmtId="42" fontId="7" fillId="4" borderId="7" xfId="6" applyNumberFormat="1" applyFont="1" applyFill="1" applyBorder="1" applyProtection="1">
      <protection locked="0"/>
    </xf>
    <xf numFmtId="42" fontId="7" fillId="4" borderId="146" xfId="6" applyNumberFormat="1" applyFont="1" applyFill="1" applyBorder="1" applyProtection="1">
      <protection locked="0"/>
    </xf>
    <xf numFmtId="42" fontId="7" fillId="4" borderId="26" xfId="6" applyNumberFormat="1" applyFont="1" applyFill="1" applyBorder="1" applyProtection="1">
      <protection locked="0"/>
    </xf>
    <xf numFmtId="41" fontId="7" fillId="5" borderId="112" xfId="6" applyNumberFormat="1" applyFont="1" applyFill="1" applyBorder="1" applyProtection="1">
      <protection locked="0"/>
    </xf>
    <xf numFmtId="41" fontId="7" fillId="5" borderId="108" xfId="6" applyNumberFormat="1" applyFont="1" applyFill="1" applyBorder="1" applyProtection="1">
      <protection locked="0"/>
    </xf>
    <xf numFmtId="41" fontId="7" fillId="0" borderId="108" xfId="6" applyNumberFormat="1" applyFont="1" applyBorder="1"/>
    <xf numFmtId="41" fontId="7" fillId="0" borderId="147" xfId="6" applyNumberFormat="1" applyFont="1" applyBorder="1"/>
    <xf numFmtId="41" fontId="7" fillId="0" borderId="55" xfId="6" applyNumberFormat="1" applyFont="1" applyBorder="1"/>
    <xf numFmtId="41" fontId="7" fillId="5" borderId="148" xfId="6" applyNumberFormat="1" applyFont="1" applyFill="1" applyBorder="1" applyProtection="1">
      <protection locked="0"/>
    </xf>
    <xf numFmtId="41" fontId="7" fillId="5" borderId="21" xfId="6" applyNumberFormat="1" applyFont="1" applyFill="1" applyBorder="1" applyProtection="1">
      <protection locked="0"/>
    </xf>
    <xf numFmtId="41" fontId="7" fillId="5" borderId="112" xfId="13" applyNumberFormat="1" applyFont="1" applyFill="1" applyBorder="1" applyProtection="1">
      <protection locked="0"/>
    </xf>
    <xf numFmtId="41" fontId="7" fillId="5" borderId="21" xfId="13" applyNumberFormat="1" applyFont="1" applyFill="1" applyBorder="1" applyProtection="1">
      <protection locked="0"/>
    </xf>
    <xf numFmtId="41" fontId="7" fillId="5" borderId="115" xfId="6" applyNumberFormat="1" applyFont="1" applyFill="1" applyBorder="1" applyProtection="1">
      <protection locked="0"/>
    </xf>
    <xf numFmtId="41" fontId="7" fillId="5" borderId="76" xfId="6" applyNumberFormat="1" applyFont="1" applyFill="1" applyBorder="1" applyProtection="1">
      <protection locked="0"/>
    </xf>
    <xf numFmtId="41" fontId="7" fillId="5" borderId="76" xfId="13" applyNumberFormat="1" applyFont="1" applyFill="1" applyBorder="1" applyProtection="1">
      <protection locked="0"/>
    </xf>
    <xf numFmtId="41" fontId="7" fillId="5" borderId="149" xfId="6" applyNumberFormat="1" applyFont="1" applyFill="1" applyBorder="1" applyProtection="1">
      <protection locked="0"/>
    </xf>
    <xf numFmtId="41" fontId="7" fillId="5" borderId="7" xfId="6" applyNumberFormat="1" applyFont="1" applyFill="1" applyBorder="1" applyProtection="1">
      <protection locked="0"/>
    </xf>
    <xf numFmtId="41" fontId="7" fillId="5" borderId="7" xfId="13" applyNumberFormat="1" applyFont="1" applyFill="1" applyBorder="1" applyProtection="1">
      <protection locked="0"/>
    </xf>
    <xf numFmtId="41" fontId="7" fillId="5" borderId="26" xfId="6" applyNumberFormat="1" applyFont="1" applyFill="1" applyBorder="1" applyProtection="1">
      <protection locked="0"/>
    </xf>
    <xf numFmtId="41" fontId="7" fillId="5" borderId="75" xfId="6" applyNumberFormat="1" applyFont="1" applyFill="1" applyBorder="1" applyProtection="1">
      <protection locked="0"/>
    </xf>
    <xf numFmtId="41" fontId="7" fillId="5" borderId="112" xfId="7" applyNumberFormat="1" applyFont="1" applyFill="1" applyBorder="1" applyProtection="1">
      <protection locked="0"/>
    </xf>
    <xf numFmtId="41" fontId="7" fillId="5" borderId="75" xfId="13" applyNumberFormat="1" applyFont="1" applyFill="1" applyBorder="1" applyProtection="1">
      <protection locked="0"/>
    </xf>
    <xf numFmtId="41" fontId="7" fillId="5" borderId="21" xfId="3" applyNumberFormat="1" applyFont="1" applyFill="1" applyBorder="1" applyProtection="1">
      <protection locked="0"/>
    </xf>
    <xf numFmtId="41" fontId="7" fillId="5" borderId="21" xfId="1" applyNumberFormat="1" applyFont="1" applyFill="1" applyBorder="1" applyProtection="1">
      <protection locked="0"/>
    </xf>
    <xf numFmtId="41" fontId="7" fillId="5" borderId="21" xfId="0" applyNumberFormat="1" applyFont="1" applyFill="1" applyBorder="1" applyProtection="1">
      <protection locked="0"/>
    </xf>
    <xf numFmtId="41" fontId="7" fillId="5" borderId="0" xfId="0" applyNumberFormat="1" applyFont="1" applyFill="1" applyProtection="1">
      <protection locked="0"/>
    </xf>
    <xf numFmtId="41" fontId="7" fillId="5" borderId="31" xfId="13" applyNumberFormat="1" applyFont="1" applyFill="1" applyBorder="1" applyProtection="1">
      <protection locked="0"/>
    </xf>
    <xf numFmtId="41" fontId="7" fillId="5" borderId="31" xfId="6" applyNumberFormat="1" applyFont="1" applyFill="1" applyBorder="1" applyProtection="1">
      <protection locked="0"/>
    </xf>
    <xf numFmtId="41" fontId="7" fillId="5" borderId="31" xfId="1" applyNumberFormat="1" applyFont="1" applyFill="1" applyBorder="1" applyProtection="1">
      <protection locked="0"/>
    </xf>
    <xf numFmtId="41" fontId="7" fillId="5" borderId="31" xfId="3" applyNumberFormat="1" applyFont="1" applyFill="1" applyBorder="1" applyProtection="1">
      <protection locked="0"/>
    </xf>
    <xf numFmtId="41" fontId="7" fillId="5" borderId="30" xfId="6" applyNumberFormat="1" applyFont="1" applyFill="1" applyBorder="1" applyProtection="1">
      <protection locked="0"/>
    </xf>
    <xf numFmtId="41" fontId="7" fillId="5" borderId="76" xfId="3" applyNumberFormat="1" applyFont="1" applyFill="1" applyBorder="1" applyProtection="1">
      <protection locked="0"/>
    </xf>
    <xf numFmtId="41" fontId="7" fillId="5" borderId="76" xfId="1" applyNumberFormat="1" applyFont="1" applyFill="1" applyBorder="1" applyProtection="1">
      <protection locked="0"/>
    </xf>
    <xf numFmtId="41" fontId="7" fillId="5" borderId="49" xfId="13" applyNumberFormat="1" applyFont="1" applyFill="1" applyBorder="1" applyProtection="1">
      <protection locked="0"/>
    </xf>
    <xf numFmtId="41" fontId="7" fillId="5" borderId="49" xfId="6" applyNumberFormat="1" applyFont="1" applyFill="1" applyBorder="1" applyProtection="1">
      <protection locked="0"/>
    </xf>
    <xf numFmtId="41" fontId="7" fillId="5" borderId="49" xfId="1" applyNumberFormat="1" applyFont="1" applyFill="1" applyBorder="1" applyProtection="1">
      <protection locked="0"/>
    </xf>
    <xf numFmtId="41" fontId="7" fillId="5" borderId="49" xfId="3" applyNumberFormat="1" applyFont="1" applyFill="1" applyBorder="1" applyProtection="1">
      <protection locked="0"/>
    </xf>
    <xf numFmtId="41" fontId="7" fillId="5" borderId="7" xfId="3" applyNumberFormat="1" applyFont="1" applyFill="1" applyBorder="1" applyProtection="1">
      <protection locked="0"/>
    </xf>
    <xf numFmtId="41" fontId="7" fillId="5" borderId="7" xfId="1" applyNumberFormat="1" applyFont="1" applyFill="1" applyBorder="1" applyProtection="1">
      <protection locked="0"/>
    </xf>
    <xf numFmtId="41" fontId="7" fillId="5" borderId="54" xfId="13" applyNumberFormat="1" applyFont="1" applyFill="1" applyBorder="1" applyProtection="1">
      <protection locked="0"/>
    </xf>
    <xf numFmtId="41" fontId="7" fillId="5" borderId="54" xfId="6" applyNumberFormat="1" applyFont="1" applyFill="1" applyBorder="1" applyProtection="1">
      <protection locked="0"/>
    </xf>
    <xf numFmtId="41" fontId="7" fillId="5" borderId="54" xfId="1" applyNumberFormat="1" applyFont="1" applyFill="1" applyBorder="1" applyProtection="1">
      <protection locked="0"/>
    </xf>
    <xf numFmtId="41" fontId="7" fillId="5" borderId="54" xfId="3" applyNumberFormat="1" applyFont="1" applyFill="1" applyBorder="1" applyProtection="1">
      <protection locked="0"/>
    </xf>
    <xf numFmtId="41" fontId="7" fillId="5" borderId="150" xfId="6" applyNumberFormat="1" applyFont="1" applyFill="1" applyBorder="1" applyProtection="1">
      <protection locked="0"/>
    </xf>
    <xf numFmtId="41" fontId="7" fillId="5" borderId="151" xfId="6" applyNumberFormat="1" applyFont="1" applyFill="1" applyBorder="1" applyProtection="1">
      <protection locked="0"/>
    </xf>
    <xf numFmtId="41" fontId="7" fillId="5" borderId="0" xfId="6" applyNumberFormat="1" applyFont="1" applyFill="1" applyProtection="1">
      <protection locked="0"/>
    </xf>
    <xf numFmtId="41" fontId="0" fillId="5" borderId="150" xfId="0" applyNumberFormat="1" applyFill="1" applyBorder="1" applyProtection="1">
      <protection locked="0"/>
    </xf>
    <xf numFmtId="41" fontId="7" fillId="5" borderId="32" xfId="6" applyNumberFormat="1" applyFont="1" applyFill="1" applyBorder="1" applyProtection="1">
      <protection locked="0"/>
    </xf>
    <xf numFmtId="41" fontId="7" fillId="5" borderId="119" xfId="6" applyNumberFormat="1" applyFont="1" applyFill="1" applyBorder="1" applyProtection="1">
      <protection locked="0"/>
    </xf>
    <xf numFmtId="41" fontId="7" fillId="0" borderId="54" xfId="13" applyNumberFormat="1" applyFont="1" applyBorder="1"/>
    <xf numFmtId="41" fontId="7" fillId="4" borderId="76" xfId="7" applyNumberFormat="1" applyFont="1" applyFill="1" applyBorder="1" applyProtection="1">
      <protection locked="0"/>
    </xf>
    <xf numFmtId="41" fontId="7" fillId="4" borderId="7" xfId="6" applyNumberFormat="1" applyFont="1" applyFill="1" applyBorder="1" applyProtection="1">
      <protection locked="0"/>
    </xf>
    <xf numFmtId="41" fontId="7" fillId="4" borderId="26" xfId="6" applyNumberFormat="1" applyFont="1" applyFill="1" applyBorder="1" applyProtection="1">
      <protection locked="0"/>
    </xf>
    <xf numFmtId="41" fontId="7" fillId="0" borderId="75" xfId="6" applyNumberFormat="1" applyFont="1" applyBorder="1"/>
    <xf numFmtId="41" fontId="7" fillId="0" borderId="7" xfId="5" applyNumberFormat="1" applyFont="1" applyBorder="1"/>
    <xf numFmtId="41" fontId="7" fillId="0" borderId="75" xfId="5" applyNumberFormat="1" applyFont="1" applyBorder="1"/>
    <xf numFmtId="41" fontId="7" fillId="0" borderId="76" xfId="6" applyNumberFormat="1" applyFont="1" applyBorder="1"/>
    <xf numFmtId="41" fontId="7" fillId="0" borderId="7" xfId="6" applyNumberFormat="1" applyFont="1" applyBorder="1"/>
    <xf numFmtId="41" fontId="7" fillId="0" borderId="75" xfId="13" applyNumberFormat="1" applyFont="1" applyBorder="1"/>
    <xf numFmtId="41" fontId="7" fillId="0" borderId="76" xfId="13" applyNumberFormat="1" applyFont="1" applyBorder="1"/>
    <xf numFmtId="41" fontId="7" fillId="0" borderId="0" xfId="5" applyNumberFormat="1" applyFont="1"/>
    <xf numFmtId="41" fontId="7" fillId="0" borderId="0" xfId="6" applyNumberFormat="1" applyFont="1"/>
    <xf numFmtId="41" fontId="7" fillId="0" borderId="106" xfId="5" applyNumberFormat="1" applyFont="1" applyBorder="1"/>
    <xf numFmtId="41" fontId="7" fillId="0" borderId="106" xfId="6" applyNumberFormat="1" applyFont="1" applyBorder="1"/>
    <xf numFmtId="43" fontId="7" fillId="0" borderId="21" xfId="6" applyNumberFormat="1" applyFont="1" applyBorder="1"/>
    <xf numFmtId="42" fontId="30" fillId="0" borderId="90" xfId="2" applyNumberFormat="1" applyFont="1" applyBorder="1"/>
    <xf numFmtId="42" fontId="30" fillId="0" borderId="152" xfId="2" applyNumberFormat="1" applyFont="1" applyBorder="1"/>
    <xf numFmtId="42" fontId="30" fillId="0" borderId="84" xfId="2" applyNumberFormat="1" applyFont="1" applyBorder="1"/>
    <xf numFmtId="42" fontId="30" fillId="0" borderId="130" xfId="2" applyNumberFormat="1" applyFont="1" applyBorder="1"/>
    <xf numFmtId="41" fontId="30" fillId="12" borderId="15" xfId="10" applyNumberFormat="1" applyFont="1" applyFill="1" applyBorder="1"/>
    <xf numFmtId="41" fontId="30" fillId="12" borderId="19" xfId="10" applyNumberFormat="1" applyFont="1" applyFill="1" applyBorder="1"/>
    <xf numFmtId="41" fontId="30" fillId="12" borderId="5" xfId="2" applyNumberFormat="1" applyFont="1" applyFill="1" applyBorder="1"/>
    <xf numFmtId="41" fontId="30" fillId="12" borderId="19" xfId="2" applyNumberFormat="1" applyFont="1" applyFill="1" applyBorder="1"/>
    <xf numFmtId="43" fontId="7" fillId="0" borderId="31" xfId="2" applyNumberFormat="1" applyFont="1" applyBorder="1"/>
    <xf numFmtId="0" fontId="7" fillId="0" borderId="82" xfId="10" applyFont="1" applyBorder="1"/>
    <xf numFmtId="0" fontId="7" fillId="0" borderId="27" xfId="10" applyFont="1" applyBorder="1"/>
    <xf numFmtId="164" fontId="7" fillId="6" borderId="54" xfId="11" applyNumberFormat="1" applyFont="1" applyFill="1" applyBorder="1" applyAlignment="1">
      <alignment horizontal="left" vertical="center"/>
    </xf>
    <xf numFmtId="41" fontId="7" fillId="13" borderId="54" xfId="6" applyNumberFormat="1" applyFont="1" applyFill="1" applyBorder="1" applyProtection="1">
      <protection locked="0"/>
    </xf>
    <xf numFmtId="41" fontId="7" fillId="13" borderId="54" xfId="13" applyNumberFormat="1" applyFont="1" applyFill="1" applyBorder="1" applyProtection="1">
      <protection locked="0"/>
    </xf>
    <xf numFmtId="41" fontId="7" fillId="0" borderId="32" xfId="6" applyNumberFormat="1" applyFont="1" applyBorder="1"/>
    <xf numFmtId="41" fontId="7" fillId="13" borderId="32" xfId="6" applyNumberFormat="1" applyFont="1" applyFill="1" applyBorder="1" applyProtection="1">
      <protection locked="0"/>
    </xf>
    <xf numFmtId="41" fontId="7" fillId="6" borderId="32" xfId="6" applyNumberFormat="1" applyFont="1" applyFill="1" applyBorder="1"/>
    <xf numFmtId="41" fontId="7" fillId="13" borderId="32" xfId="13" applyNumberFormat="1" applyFont="1" applyFill="1" applyBorder="1" applyProtection="1">
      <protection locked="0"/>
    </xf>
    <xf numFmtId="41" fontId="7" fillId="6" borderId="54" xfId="6" applyNumberFormat="1" applyFont="1" applyFill="1" applyBorder="1"/>
    <xf numFmtId="43" fontId="7" fillId="6" borderId="54" xfId="13" applyNumberFormat="1" applyFont="1" applyFill="1" applyBorder="1"/>
    <xf numFmtId="43" fontId="7" fillId="6" borderId="32" xfId="13" applyNumberFormat="1" applyFont="1" applyFill="1" applyBorder="1"/>
    <xf numFmtId="43" fontId="7" fillId="6" borderId="54" xfId="6" applyNumberFormat="1" applyFont="1" applyFill="1" applyBorder="1"/>
    <xf numFmtId="43" fontId="7" fillId="6" borderId="112" xfId="6" applyNumberFormat="1" applyFont="1" applyFill="1" applyBorder="1"/>
    <xf numFmtId="43" fontId="7" fillId="6" borderId="108" xfId="6" applyNumberFormat="1" applyFont="1" applyFill="1" applyBorder="1"/>
    <xf numFmtId="43" fontId="7" fillId="6" borderId="75" xfId="6" applyNumberFormat="1" applyFont="1" applyFill="1" applyBorder="1"/>
    <xf numFmtId="43" fontId="7" fillId="6" borderId="116" xfId="6" applyNumberFormat="1" applyFont="1" applyFill="1" applyBorder="1"/>
    <xf numFmtId="41" fontId="7" fillId="0" borderId="63" xfId="13" applyNumberFormat="1" applyFont="1" applyBorder="1"/>
    <xf numFmtId="41" fontId="7" fillId="13" borderId="7" xfId="6" applyNumberFormat="1" applyFont="1" applyFill="1" applyBorder="1" applyProtection="1">
      <protection locked="0"/>
    </xf>
    <xf numFmtId="41" fontId="7" fillId="13" borderId="7" xfId="13" applyNumberFormat="1" applyFont="1" applyFill="1" applyBorder="1" applyProtection="1">
      <protection locked="0"/>
    </xf>
    <xf numFmtId="41" fontId="7" fillId="13" borderId="26" xfId="13" applyNumberFormat="1" applyFont="1" applyFill="1" applyBorder="1" applyProtection="1">
      <protection locked="0"/>
    </xf>
    <xf numFmtId="41" fontId="7" fillId="13" borderId="75" xfId="13" applyNumberFormat="1" applyFont="1" applyFill="1" applyBorder="1" applyProtection="1">
      <protection locked="0"/>
    </xf>
    <xf numFmtId="41" fontId="7" fillId="13" borderId="116" xfId="13" applyNumberFormat="1" applyFont="1" applyFill="1" applyBorder="1" applyProtection="1">
      <protection locked="0"/>
    </xf>
    <xf numFmtId="41" fontId="7" fillId="13" borderId="112" xfId="13" applyNumberFormat="1" applyFont="1" applyFill="1" applyBorder="1" applyProtection="1">
      <protection locked="0"/>
    </xf>
    <xf numFmtId="41" fontId="7" fillId="13" borderId="108" xfId="13" applyNumberFormat="1" applyFont="1" applyFill="1" applyBorder="1" applyProtection="1">
      <protection locked="0"/>
    </xf>
    <xf numFmtId="42" fontId="7" fillId="0" borderId="131" xfId="13" applyNumberFormat="1" applyFont="1" applyBorder="1"/>
    <xf numFmtId="41" fontId="7" fillId="0" borderId="7" xfId="13" applyNumberFormat="1" applyFont="1" applyBorder="1"/>
    <xf numFmtId="41" fontId="7" fillId="0" borderId="62" xfId="7" applyNumberFormat="1" applyFont="1" applyBorder="1"/>
    <xf numFmtId="41" fontId="7" fillId="0" borderId="75" xfId="7" applyNumberFormat="1" applyFont="1" applyBorder="1"/>
    <xf numFmtId="41" fontId="7" fillId="0" borderId="149" xfId="6" applyNumberFormat="1" applyFont="1" applyBorder="1"/>
    <xf numFmtId="41" fontId="7" fillId="0" borderId="26" xfId="6" applyNumberFormat="1" applyFont="1" applyBorder="1"/>
    <xf numFmtId="5" fontId="7" fillId="0" borderId="105" xfId="6" applyFont="1" applyBorder="1"/>
    <xf numFmtId="41" fontId="7" fillId="3" borderId="76" xfId="7" applyNumberFormat="1" applyFont="1" applyFill="1" applyBorder="1"/>
    <xf numFmtId="41" fontId="7" fillId="6" borderId="54" xfId="13" applyNumberFormat="1" applyFont="1" applyFill="1" applyBorder="1"/>
    <xf numFmtId="41" fontId="7" fillId="3" borderId="75" xfId="13" applyNumberFormat="1" applyFont="1" applyFill="1" applyBorder="1"/>
    <xf numFmtId="41" fontId="7" fillId="0" borderId="31" xfId="6" applyNumberFormat="1" applyFont="1" applyBorder="1"/>
    <xf numFmtId="41" fontId="7" fillId="0" borderId="31" xfId="5" applyNumberFormat="1" applyFont="1" applyBorder="1"/>
    <xf numFmtId="41" fontId="7" fillId="0" borderId="31" xfId="13" applyNumberFormat="1" applyFont="1" applyBorder="1"/>
    <xf numFmtId="41" fontId="7" fillId="6" borderId="32" xfId="13" applyNumberFormat="1" applyFont="1" applyFill="1" applyBorder="1"/>
    <xf numFmtId="41" fontId="7" fillId="0" borderId="62" xfId="6" applyNumberFormat="1" applyFont="1" applyBorder="1"/>
    <xf numFmtId="41" fontId="7" fillId="0" borderId="55" xfId="13" applyNumberFormat="1" applyFont="1" applyBorder="1"/>
    <xf numFmtId="41" fontId="7" fillId="13" borderId="76" xfId="6" applyNumberFormat="1" applyFont="1" applyFill="1" applyBorder="1" applyProtection="1">
      <protection locked="0"/>
    </xf>
    <xf numFmtId="41" fontId="7" fillId="0" borderId="26" xfId="13" applyNumberFormat="1" applyFont="1" applyBorder="1"/>
    <xf numFmtId="41" fontId="7" fillId="13" borderId="11" xfId="13" applyNumberFormat="1" applyFont="1" applyFill="1" applyBorder="1" applyProtection="1">
      <protection locked="0"/>
    </xf>
    <xf numFmtId="41" fontId="7" fillId="6" borderId="7" xfId="13" applyNumberFormat="1" applyFont="1" applyFill="1" applyBorder="1"/>
    <xf numFmtId="41" fontId="7" fillId="0" borderId="143" xfId="6" applyNumberFormat="1" applyFont="1" applyBorder="1"/>
    <xf numFmtId="41" fontId="7" fillId="6" borderId="76" xfId="6" applyNumberFormat="1" applyFont="1" applyFill="1" applyBorder="1"/>
    <xf numFmtId="41" fontId="7" fillId="0" borderId="21" xfId="6" applyNumberFormat="1" applyFont="1" applyBorder="1"/>
    <xf numFmtId="41" fontId="7" fillId="0" borderId="21" xfId="13" applyNumberFormat="1" applyFont="1" applyBorder="1"/>
    <xf numFmtId="41" fontId="7" fillId="5" borderId="116" xfId="6" applyNumberFormat="1" applyFont="1" applyFill="1" applyBorder="1" applyProtection="1">
      <protection locked="0"/>
    </xf>
    <xf numFmtId="41" fontId="7" fillId="5" borderId="75" xfId="3" applyNumberFormat="1" applyFont="1" applyFill="1" applyBorder="1" applyProtection="1">
      <protection locked="0"/>
    </xf>
    <xf numFmtId="41" fontId="7" fillId="5" borderId="75" xfId="1" applyNumberFormat="1" applyFont="1" applyFill="1" applyBorder="1" applyProtection="1">
      <protection locked="0"/>
    </xf>
    <xf numFmtId="41" fontId="7" fillId="5" borderId="32" xfId="13" applyNumberFormat="1" applyFont="1" applyFill="1" applyBorder="1" applyProtection="1">
      <protection locked="0"/>
    </xf>
    <xf numFmtId="41" fontId="7" fillId="5" borderId="32" xfId="1" applyNumberFormat="1" applyFont="1" applyFill="1" applyBorder="1" applyProtection="1">
      <protection locked="0"/>
    </xf>
    <xf numFmtId="41" fontId="7" fillId="5" borderId="32" xfId="3" applyNumberFormat="1" applyFont="1" applyFill="1" applyBorder="1" applyProtection="1">
      <protection locked="0"/>
    </xf>
    <xf numFmtId="41" fontId="7" fillId="5" borderId="112" xfId="3" applyNumberFormat="1" applyFont="1" applyFill="1" applyBorder="1" applyProtection="1">
      <protection locked="0"/>
    </xf>
    <xf numFmtId="41" fontId="7" fillId="5" borderId="112" xfId="1" applyNumberFormat="1" applyFont="1" applyFill="1" applyBorder="1" applyProtection="1">
      <protection locked="0"/>
    </xf>
    <xf numFmtId="41" fontId="7" fillId="5" borderId="112" xfId="0" applyNumberFormat="1" applyFont="1" applyFill="1" applyBorder="1" applyProtection="1">
      <protection locked="0"/>
    </xf>
    <xf numFmtId="41" fontId="7" fillId="5" borderId="153" xfId="0" applyNumberFormat="1" applyFont="1" applyFill="1" applyBorder="1" applyProtection="1">
      <protection locked="0"/>
    </xf>
    <xf numFmtId="41" fontId="7" fillId="5" borderId="63" xfId="6" applyNumberFormat="1" applyFont="1" applyFill="1" applyBorder="1" applyProtection="1">
      <protection locked="0"/>
    </xf>
    <xf numFmtId="41" fontId="7" fillId="5" borderId="154" xfId="6" applyNumberFormat="1" applyFont="1" applyFill="1" applyBorder="1" applyProtection="1">
      <protection locked="0"/>
    </xf>
    <xf numFmtId="41" fontId="7" fillId="5" borderId="20" xfId="6" applyNumberFormat="1" applyFont="1" applyFill="1" applyBorder="1" applyProtection="1">
      <protection locked="0"/>
    </xf>
    <xf numFmtId="41" fontId="7" fillId="5" borderId="78" xfId="6" applyNumberFormat="1" applyFont="1" applyFill="1" applyBorder="1" applyProtection="1">
      <protection locked="0"/>
    </xf>
    <xf numFmtId="41" fontId="7" fillId="5" borderId="70" xfId="6" applyNumberFormat="1" applyFont="1" applyFill="1" applyBorder="1" applyProtection="1">
      <protection locked="0"/>
    </xf>
    <xf numFmtId="10" fontId="7" fillId="0" borderId="105" xfId="6" applyNumberFormat="1" applyFont="1" applyBorder="1"/>
    <xf numFmtId="10" fontId="7" fillId="0" borderId="27" xfId="6" applyNumberFormat="1" applyFont="1" applyBorder="1"/>
    <xf numFmtId="10" fontId="7" fillId="0" borderId="23" xfId="6" applyNumberFormat="1" applyFont="1" applyBorder="1"/>
    <xf numFmtId="10" fontId="7" fillId="0" borderId="22" xfId="6" applyNumberFormat="1" applyFont="1" applyBorder="1"/>
    <xf numFmtId="10" fontId="42" fillId="0" borderId="0" xfId="13" applyNumberFormat="1" applyFont="1" applyAlignment="1">
      <alignment horizontal="left"/>
    </xf>
    <xf numFmtId="10" fontId="0" fillId="0" borderId="105" xfId="0" applyNumberFormat="1" applyBorder="1"/>
    <xf numFmtId="10" fontId="0" fillId="0" borderId="27" xfId="0" applyNumberFormat="1" applyBorder="1"/>
    <xf numFmtId="10" fontId="0" fillId="0" borderId="23" xfId="0" applyNumberFormat="1" applyBorder="1"/>
    <xf numFmtId="10" fontId="0" fillId="0" borderId="22" xfId="0" applyNumberFormat="1" applyBorder="1"/>
    <xf numFmtId="10" fontId="0" fillId="0" borderId="31" xfId="0" applyNumberFormat="1" applyBorder="1"/>
    <xf numFmtId="10" fontId="0" fillId="0" borderId="107" xfId="0" applyNumberFormat="1" applyBorder="1"/>
    <xf numFmtId="10" fontId="0" fillId="0" borderId="101" xfId="0" applyNumberFormat="1" applyBorder="1"/>
    <xf numFmtId="10" fontId="0" fillId="0" borderId="114" xfId="0" applyNumberFormat="1" applyBorder="1"/>
    <xf numFmtId="10" fontId="0" fillId="0" borderId="109" xfId="0" applyNumberFormat="1" applyBorder="1"/>
    <xf numFmtId="10" fontId="7" fillId="0" borderId="101" xfId="6" applyNumberFormat="1" applyFont="1" applyBorder="1"/>
    <xf numFmtId="10" fontId="0" fillId="0" borderId="51" xfId="0" applyNumberFormat="1" applyBorder="1"/>
    <xf numFmtId="10" fontId="0" fillId="0" borderId="19" xfId="0" applyNumberFormat="1" applyBorder="1"/>
    <xf numFmtId="41" fontId="7" fillId="4" borderId="147" xfId="5" applyNumberFormat="1" applyFont="1" applyFill="1" applyBorder="1" applyProtection="1">
      <protection locked="0"/>
    </xf>
    <xf numFmtId="41" fontId="7" fillId="4" borderId="106" xfId="5" applyNumberFormat="1" applyFont="1" applyFill="1" applyBorder="1" applyProtection="1">
      <protection locked="0"/>
    </xf>
    <xf numFmtId="41" fontId="7" fillId="4" borderId="155" xfId="5" applyNumberFormat="1" applyFont="1" applyFill="1" applyBorder="1" applyProtection="1">
      <protection locked="0"/>
    </xf>
    <xf numFmtId="38" fontId="7" fillId="0" borderId="30" xfId="6" applyNumberFormat="1" applyFont="1" applyBorder="1"/>
    <xf numFmtId="10" fontId="0" fillId="0" borderId="156" xfId="0" applyNumberFormat="1" applyBorder="1"/>
    <xf numFmtId="10" fontId="7" fillId="6" borderId="7" xfId="7" applyNumberFormat="1" applyFont="1" applyFill="1" applyBorder="1"/>
    <xf numFmtId="10" fontId="7" fillId="0" borderId="0" xfId="6" applyNumberFormat="1" applyFont="1"/>
    <xf numFmtId="10" fontId="7" fillId="0" borderId="30" xfId="6" applyNumberFormat="1" applyFont="1" applyBorder="1"/>
    <xf numFmtId="10" fontId="7" fillId="0" borderId="19" xfId="6" applyNumberFormat="1" applyFont="1" applyBorder="1"/>
    <xf numFmtId="10" fontId="7" fillId="0" borderId="129" xfId="6" applyNumberFormat="1" applyFont="1" applyBorder="1"/>
    <xf numFmtId="41" fontId="7" fillId="0" borderId="21" xfId="5" applyNumberFormat="1" applyFont="1" applyBorder="1"/>
    <xf numFmtId="43" fontId="7" fillId="6" borderId="7" xfId="6" applyNumberFormat="1" applyFont="1" applyFill="1" applyBorder="1"/>
    <xf numFmtId="41" fontId="7" fillId="0" borderId="11" xfId="6" applyNumberFormat="1" applyFont="1" applyBorder="1"/>
    <xf numFmtId="41" fontId="0" fillId="0" borderId="21" xfId="0" applyNumberFormat="1" applyBorder="1"/>
    <xf numFmtId="0" fontId="0" fillId="0" borderId="0" xfId="0" applyAlignment="1">
      <alignment vertical="top"/>
    </xf>
    <xf numFmtId="5" fontId="7" fillId="0" borderId="19" xfId="6" applyFont="1" applyBorder="1"/>
    <xf numFmtId="38" fontId="7" fillId="0" borderId="19" xfId="13" applyNumberFormat="1" applyFont="1" applyBorder="1"/>
    <xf numFmtId="38" fontId="7" fillId="0" borderId="129" xfId="6" applyNumberFormat="1" applyFont="1" applyBorder="1"/>
    <xf numFmtId="38" fontId="7" fillId="7" borderId="143" xfId="6" applyNumberFormat="1" applyFont="1" applyFill="1" applyBorder="1"/>
    <xf numFmtId="3" fontId="7" fillId="7" borderId="11" xfId="6" applyNumberFormat="1" applyFont="1" applyFill="1" applyBorder="1"/>
    <xf numFmtId="38" fontId="7" fillId="7" borderId="11" xfId="6" applyNumberFormat="1" applyFont="1" applyFill="1" applyBorder="1"/>
    <xf numFmtId="0" fontId="0" fillId="0" borderId="0" xfId="0" applyAlignment="1">
      <alignment horizontal="center"/>
    </xf>
    <xf numFmtId="41" fontId="7" fillId="6" borderId="7" xfId="6" applyNumberFormat="1" applyFont="1" applyFill="1" applyBorder="1"/>
    <xf numFmtId="41" fontId="7" fillId="7" borderId="76" xfId="6" applyNumberFormat="1" applyFont="1" applyFill="1" applyBorder="1"/>
    <xf numFmtId="41" fontId="7" fillId="7" borderId="149" xfId="6" applyNumberFormat="1" applyFont="1" applyFill="1" applyBorder="1"/>
    <xf numFmtId="41" fontId="7" fillId="5" borderId="116" xfId="7" applyNumberFormat="1" applyFont="1" applyFill="1" applyBorder="1" applyProtection="1">
      <protection locked="0"/>
    </xf>
    <xf numFmtId="41" fontId="7" fillId="6" borderId="112" xfId="6" applyNumberFormat="1" applyFont="1" applyFill="1" applyBorder="1"/>
    <xf numFmtId="41" fontId="7" fillId="6" borderId="108" xfId="6" applyNumberFormat="1" applyFont="1" applyFill="1" applyBorder="1"/>
    <xf numFmtId="41" fontId="7" fillId="0" borderId="55" xfId="7" applyNumberFormat="1" applyFont="1" applyBorder="1"/>
    <xf numFmtId="41" fontId="7" fillId="0" borderId="116" xfId="6" applyNumberFormat="1" applyFont="1" applyBorder="1"/>
    <xf numFmtId="41" fontId="7" fillId="10" borderId="106" xfId="6" applyNumberFormat="1" applyFont="1" applyFill="1" applyBorder="1" applyProtection="1">
      <protection locked="0"/>
    </xf>
    <xf numFmtId="41" fontId="7" fillId="10" borderId="157" xfId="6" applyNumberFormat="1" applyFont="1" applyFill="1" applyBorder="1" applyProtection="1">
      <protection locked="0"/>
    </xf>
    <xf numFmtId="41" fontId="7" fillId="10" borderId="11" xfId="6" applyNumberFormat="1" applyFont="1" applyFill="1" applyBorder="1" applyProtection="1">
      <protection locked="0"/>
    </xf>
    <xf numFmtId="0" fontId="7" fillId="0" borderId="119" xfId="0" applyFont="1" applyBorder="1"/>
    <xf numFmtId="42" fontId="7" fillId="0" borderId="131" xfId="6" applyNumberFormat="1" applyFont="1" applyBorder="1"/>
    <xf numFmtId="10" fontId="7" fillId="0" borderId="131" xfId="13" applyNumberFormat="1" applyFont="1" applyBorder="1"/>
    <xf numFmtId="10" fontId="7" fillId="0" borderId="110" xfId="13" applyNumberFormat="1" applyFont="1" applyBorder="1"/>
    <xf numFmtId="0" fontId="7" fillId="0" borderId="158" xfId="0" applyFont="1" applyBorder="1" applyAlignment="1">
      <alignment horizontal="left"/>
    </xf>
    <xf numFmtId="42" fontId="7" fillId="0" borderId="159" xfId="6" applyNumberFormat="1" applyFont="1" applyBorder="1"/>
    <xf numFmtId="0" fontId="31" fillId="0" borderId="104" xfId="0" applyFont="1" applyBorder="1"/>
    <xf numFmtId="41" fontId="7" fillId="0" borderId="146" xfId="5" applyNumberFormat="1" applyFont="1" applyBorder="1"/>
    <xf numFmtId="41" fontId="7" fillId="0" borderId="26" xfId="5" applyNumberFormat="1" applyFont="1" applyBorder="1"/>
    <xf numFmtId="10" fontId="7" fillId="6" borderId="160" xfId="13" applyNumberFormat="1" applyFont="1" applyFill="1" applyBorder="1"/>
    <xf numFmtId="10" fontId="7" fillId="6" borderId="161" xfId="13" applyNumberFormat="1" applyFont="1" applyFill="1" applyBorder="1"/>
    <xf numFmtId="0" fontId="7" fillId="0" borderId="162" xfId="0" applyFont="1" applyBorder="1"/>
    <xf numFmtId="0" fontId="7" fillId="0" borderId="115" xfId="0" applyFont="1" applyBorder="1" applyAlignment="1">
      <alignment horizontal="center"/>
    </xf>
    <xf numFmtId="0" fontId="7" fillId="0" borderId="159" xfId="0" applyFont="1" applyBorder="1"/>
    <xf numFmtId="0" fontId="7" fillId="0" borderId="131" xfId="0" applyFont="1" applyBorder="1"/>
    <xf numFmtId="0" fontId="7" fillId="0" borderId="131" xfId="0" applyFont="1" applyBorder="1" applyAlignment="1">
      <alignment horizontal="center"/>
    </xf>
    <xf numFmtId="0" fontId="6" fillId="0" borderId="163" xfId="0" applyFont="1" applyBorder="1"/>
    <xf numFmtId="0" fontId="7" fillId="0" borderId="133" xfId="0" applyFont="1" applyBorder="1"/>
    <xf numFmtId="42" fontId="7" fillId="0" borderId="133" xfId="6" applyNumberFormat="1" applyFont="1" applyBorder="1"/>
    <xf numFmtId="10" fontId="7" fillId="0" borderId="133" xfId="13" applyNumberFormat="1" applyFont="1" applyBorder="1"/>
    <xf numFmtId="10" fontId="7" fillId="0" borderId="134" xfId="13" applyNumberFormat="1" applyFont="1" applyBorder="1"/>
    <xf numFmtId="0" fontId="7" fillId="0" borderId="164" xfId="0" applyFont="1" applyBorder="1"/>
    <xf numFmtId="0" fontId="7" fillId="0" borderId="165" xfId="0" applyFont="1" applyBorder="1" applyAlignment="1">
      <alignment horizontal="center"/>
    </xf>
    <xf numFmtId="0" fontId="7" fillId="0" borderId="63" xfId="0" applyFont="1" applyBorder="1"/>
    <xf numFmtId="41" fontId="7" fillId="10" borderId="116" xfId="7" applyNumberFormat="1" applyFont="1" applyFill="1" applyBorder="1" applyProtection="1">
      <protection locked="0"/>
    </xf>
    <xf numFmtId="41" fontId="7" fillId="4" borderId="108" xfId="7" applyNumberFormat="1" applyFont="1" applyFill="1" applyBorder="1" applyProtection="1">
      <protection locked="0"/>
    </xf>
    <xf numFmtId="41" fontId="7" fillId="4" borderId="26" xfId="7" applyNumberFormat="1" applyFont="1" applyFill="1" applyBorder="1" applyProtection="1">
      <protection locked="0"/>
    </xf>
    <xf numFmtId="10" fontId="7" fillId="0" borderId="132" xfId="13" applyNumberFormat="1" applyFont="1" applyBorder="1"/>
    <xf numFmtId="0" fontId="7" fillId="0" borderId="56" xfId="0" applyFont="1" applyBorder="1"/>
    <xf numFmtId="0" fontId="7" fillId="0" borderId="78" xfId="0" applyFont="1" applyBorder="1" applyAlignment="1">
      <alignment horizontal="center"/>
    </xf>
    <xf numFmtId="0" fontId="7" fillId="0" borderId="158" xfId="0" applyFont="1" applyBorder="1"/>
    <xf numFmtId="0" fontId="7" fillId="0" borderId="166" xfId="0" applyFont="1" applyBorder="1"/>
    <xf numFmtId="0" fontId="7" fillId="0" borderId="167" xfId="0" applyFont="1" applyBorder="1"/>
    <xf numFmtId="0" fontId="7" fillId="0" borderId="104" xfId="0" applyFont="1" applyBorder="1"/>
    <xf numFmtId="0" fontId="7" fillId="0" borderId="119" xfId="0" applyFont="1" applyBorder="1" applyAlignment="1">
      <alignment horizontal="center"/>
    </xf>
    <xf numFmtId="41" fontId="7" fillId="4" borderId="63" xfId="6" applyNumberFormat="1" applyFont="1" applyFill="1" applyBorder="1" applyProtection="1">
      <protection locked="0"/>
    </xf>
    <xf numFmtId="41" fontId="7" fillId="4" borderId="149" xfId="7" applyNumberFormat="1" applyFont="1" applyFill="1" applyBorder="1" applyProtection="1">
      <protection locked="0"/>
    </xf>
    <xf numFmtId="0" fontId="0" fillId="6" borderId="160" xfId="0" applyFill="1" applyBorder="1" applyAlignment="1">
      <alignment horizontal="center"/>
    </xf>
    <xf numFmtId="3" fontId="7" fillId="6" borderId="160" xfId="13" applyNumberFormat="1" applyFont="1" applyFill="1" applyBorder="1"/>
    <xf numFmtId="41" fontId="7" fillId="0" borderId="119" xfId="0" applyNumberFormat="1" applyFont="1" applyBorder="1"/>
    <xf numFmtId="41" fontId="7" fillId="0" borderId="158" xfId="0" applyNumberFormat="1" applyFont="1" applyBorder="1"/>
    <xf numFmtId="0" fontId="7" fillId="6" borderId="54" xfId="0" applyFont="1" applyFill="1" applyBorder="1"/>
    <xf numFmtId="38" fontId="7" fillId="6" borderId="54" xfId="13" applyNumberFormat="1" applyFont="1" applyFill="1" applyBorder="1" applyAlignment="1">
      <alignment horizontal="left"/>
    </xf>
    <xf numFmtId="41" fontId="7" fillId="0" borderId="146" xfId="6" applyNumberFormat="1" applyFont="1" applyBorder="1"/>
    <xf numFmtId="41" fontId="7" fillId="0" borderId="115" xfId="6" applyNumberFormat="1" applyFont="1" applyBorder="1"/>
    <xf numFmtId="10" fontId="7" fillId="0" borderId="160" xfId="6" applyNumberFormat="1" applyFont="1" applyBorder="1"/>
    <xf numFmtId="0" fontId="6" fillId="0" borderId="168" xfId="0" applyFont="1" applyBorder="1"/>
    <xf numFmtId="10" fontId="7" fillId="0" borderId="169" xfId="6" applyNumberFormat="1" applyFont="1" applyBorder="1"/>
    <xf numFmtId="10" fontId="7" fillId="0" borderId="170" xfId="6" applyNumberFormat="1" applyFont="1" applyBorder="1"/>
    <xf numFmtId="0" fontId="6" fillId="0" borderId="171" xfId="0" applyFont="1" applyBorder="1"/>
    <xf numFmtId="41" fontId="7" fillId="0" borderId="27" xfId="0" applyNumberFormat="1" applyFont="1" applyBorder="1"/>
    <xf numFmtId="9" fontId="6" fillId="0" borderId="27" xfId="13" applyFont="1" applyBorder="1" applyAlignment="1">
      <alignment horizontal="right"/>
    </xf>
    <xf numFmtId="41" fontId="7" fillId="0" borderId="119" xfId="13" applyNumberFormat="1" applyFont="1" applyBorder="1"/>
    <xf numFmtId="41" fontId="7" fillId="13" borderId="63" xfId="13" applyNumberFormat="1" applyFont="1" applyFill="1" applyBorder="1" applyProtection="1">
      <protection locked="0"/>
    </xf>
    <xf numFmtId="41" fontId="7" fillId="13" borderId="119" xfId="13" applyNumberFormat="1" applyFont="1" applyFill="1" applyBorder="1" applyProtection="1">
      <protection locked="0"/>
    </xf>
    <xf numFmtId="42" fontId="7" fillId="0" borderId="169" xfId="6" applyNumberFormat="1" applyFont="1" applyBorder="1"/>
    <xf numFmtId="41" fontId="7" fillId="6" borderId="75" xfId="6" applyNumberFormat="1" applyFont="1" applyFill="1" applyBorder="1"/>
    <xf numFmtId="42" fontId="7" fillId="0" borderId="54" xfId="13" applyNumberFormat="1" applyFont="1" applyBorder="1"/>
    <xf numFmtId="0" fontId="7" fillId="0" borderId="172" xfId="0" applyFont="1" applyBorder="1"/>
    <xf numFmtId="0" fontId="7" fillId="0" borderId="167" xfId="0" applyFont="1" applyBorder="1" applyAlignment="1">
      <alignment horizontal="center"/>
    </xf>
    <xf numFmtId="0" fontId="7" fillId="0" borderId="169" xfId="0" applyFont="1" applyBorder="1"/>
    <xf numFmtId="42" fontId="7" fillId="0" borderId="169" xfId="13" applyNumberFormat="1" applyFont="1" applyBorder="1"/>
    <xf numFmtId="0" fontId="7" fillId="0" borderId="173" xfId="0" applyFont="1" applyBorder="1"/>
    <xf numFmtId="0" fontId="7" fillId="0" borderId="174" xfId="0" applyFont="1" applyBorder="1" applyAlignment="1">
      <alignment horizontal="center"/>
    </xf>
    <xf numFmtId="5" fontId="7" fillId="0" borderId="56" xfId="6" applyFont="1" applyBorder="1"/>
    <xf numFmtId="10" fontId="7" fillId="0" borderId="56" xfId="13" applyNumberFormat="1" applyFont="1" applyBorder="1"/>
    <xf numFmtId="0" fontId="7" fillId="0" borderId="76" xfId="0" applyFont="1" applyBorder="1" applyAlignment="1">
      <alignment horizontal="center"/>
    </xf>
    <xf numFmtId="0" fontId="29" fillId="6" borderId="31" xfId="0" applyFont="1" applyFill="1" applyBorder="1"/>
    <xf numFmtId="0" fontId="31" fillId="6" borderId="49" xfId="0" quotePrefix="1" applyFont="1" applyFill="1" applyBorder="1" applyAlignment="1">
      <alignment horizontal="center"/>
    </xf>
    <xf numFmtId="9" fontId="6" fillId="0" borderId="0" xfId="13" applyFont="1" applyAlignment="1">
      <alignment horizontal="right"/>
    </xf>
    <xf numFmtId="9" fontId="7" fillId="0" borderId="0" xfId="13" applyFont="1" applyAlignment="1">
      <alignment horizontal="left"/>
    </xf>
    <xf numFmtId="38" fontId="7" fillId="0" borderId="0" xfId="13" applyNumberFormat="1" applyFont="1" applyAlignment="1">
      <alignment horizontal="left"/>
    </xf>
    <xf numFmtId="38" fontId="7" fillId="0" borderId="0" xfId="13" applyNumberFormat="1" applyFont="1"/>
    <xf numFmtId="9" fontId="7" fillId="0" borderId="54" xfId="13" applyFont="1" applyBorder="1" applyAlignment="1">
      <alignment horizontal="left"/>
    </xf>
    <xf numFmtId="167" fontId="7" fillId="6" borderId="54" xfId="6" applyNumberFormat="1" applyFont="1" applyFill="1" applyBorder="1"/>
    <xf numFmtId="167" fontId="7" fillId="6" borderId="54" xfId="13" applyNumberFormat="1" applyFont="1" applyFill="1" applyBorder="1"/>
    <xf numFmtId="44" fontId="7" fillId="0" borderId="54" xfId="13" applyNumberFormat="1" applyFont="1" applyBorder="1"/>
    <xf numFmtId="9" fontId="7" fillId="0" borderId="49" xfId="13" applyFont="1" applyBorder="1" applyAlignment="1">
      <alignment horizontal="left"/>
    </xf>
    <xf numFmtId="3" fontId="7" fillId="6" borderId="54" xfId="13" applyNumberFormat="1" applyFont="1" applyFill="1" applyBorder="1" applyAlignment="1">
      <alignment horizontal="left"/>
    </xf>
    <xf numFmtId="42" fontId="7" fillId="0" borderId="54" xfId="6" applyNumberFormat="1" applyFont="1" applyBorder="1"/>
    <xf numFmtId="41" fontId="7" fillId="0" borderId="74" xfId="5" applyNumberFormat="1" applyFont="1" applyBorder="1"/>
    <xf numFmtId="41" fontId="7" fillId="0" borderId="74" xfId="6" applyNumberFormat="1" applyFont="1" applyBorder="1"/>
    <xf numFmtId="41" fontId="7" fillId="0" borderId="86" xfId="5" applyNumberFormat="1" applyFont="1" applyBorder="1"/>
    <xf numFmtId="10" fontId="0" fillId="0" borderId="0" xfId="0" applyNumberFormat="1"/>
    <xf numFmtId="10" fontId="7" fillId="0" borderId="56" xfId="6" applyNumberFormat="1" applyFont="1" applyBorder="1"/>
    <xf numFmtId="10" fontId="7" fillId="0" borderId="175" xfId="6" applyNumberFormat="1" applyFont="1" applyBorder="1"/>
    <xf numFmtId="41" fontId="7" fillId="0" borderId="0" xfId="0" applyNumberFormat="1" applyFont="1"/>
    <xf numFmtId="41" fontId="7" fillId="6" borderId="75" xfId="7" applyNumberFormat="1" applyFont="1" applyFill="1" applyBorder="1"/>
    <xf numFmtId="0" fontId="31" fillId="0" borderId="49" xfId="0" applyFont="1" applyBorder="1" applyAlignment="1">
      <alignment horizontal="center"/>
    </xf>
    <xf numFmtId="0" fontId="31" fillId="0" borderId="176" xfId="0" applyFont="1" applyBorder="1" applyAlignment="1">
      <alignment horizontal="center"/>
    </xf>
    <xf numFmtId="0" fontId="31" fillId="6" borderId="49" xfId="0" applyFont="1" applyFill="1" applyBorder="1" applyAlignment="1">
      <alignment horizontal="center"/>
    </xf>
    <xf numFmtId="41" fontId="7" fillId="6" borderId="143" xfId="6" applyNumberFormat="1" applyFont="1" applyFill="1" applyBorder="1"/>
    <xf numFmtId="41" fontId="7" fillId="6" borderId="11" xfId="6" applyNumberFormat="1" applyFont="1" applyFill="1" applyBorder="1"/>
    <xf numFmtId="41" fontId="7" fillId="6" borderId="11" xfId="13" applyNumberFormat="1" applyFont="1" applyFill="1" applyBorder="1"/>
    <xf numFmtId="41" fontId="7" fillId="6" borderId="136" xfId="13" applyNumberFormat="1" applyFont="1" applyFill="1" applyBorder="1"/>
    <xf numFmtId="41" fontId="7" fillId="6" borderId="75" xfId="13" applyNumberFormat="1" applyFont="1" applyFill="1" applyBorder="1"/>
    <xf numFmtId="41" fontId="0" fillId="6" borderId="112" xfId="0" applyNumberFormat="1" applyFill="1" applyBorder="1"/>
    <xf numFmtId="41" fontId="7" fillId="6" borderId="112" xfId="13" applyNumberFormat="1" applyFont="1" applyFill="1" applyBorder="1"/>
    <xf numFmtId="43" fontId="6" fillId="0" borderId="0" xfId="11" applyNumberFormat="1" applyFont="1" applyAlignment="1">
      <alignment horizontal="center" vertical="center"/>
    </xf>
    <xf numFmtId="10" fontId="7" fillId="14" borderId="160" xfId="13" applyNumberFormat="1" applyFont="1" applyFill="1" applyBorder="1"/>
    <xf numFmtId="10" fontId="7" fillId="14" borderId="161" xfId="13" applyNumberFormat="1" applyFont="1" applyFill="1" applyBorder="1"/>
    <xf numFmtId="9" fontId="6" fillId="5" borderId="6" xfId="13" applyFont="1" applyFill="1" applyBorder="1" applyAlignment="1" applyProtection="1">
      <alignment horizontal="center" vertical="center"/>
      <protection locked="0"/>
    </xf>
    <xf numFmtId="10" fontId="30" fillId="0" borderId="177" xfId="13" applyNumberFormat="1" applyFont="1" applyBorder="1"/>
    <xf numFmtId="42" fontId="30" fillId="0" borderId="178" xfId="2" applyNumberFormat="1" applyFont="1" applyBorder="1"/>
    <xf numFmtId="9" fontId="7" fillId="0" borderId="124" xfId="13" applyFont="1" applyBorder="1" applyAlignment="1">
      <alignment horizontal="center"/>
    </xf>
    <xf numFmtId="9" fontId="7" fillId="0" borderId="125" xfId="13" applyFont="1" applyBorder="1" applyAlignment="1">
      <alignment horizontal="center"/>
    </xf>
    <xf numFmtId="41" fontId="7" fillId="0" borderId="45" xfId="13" applyNumberFormat="1" applyFont="1" applyBorder="1"/>
    <xf numFmtId="43" fontId="7" fillId="14" borderId="75" xfId="6" applyNumberFormat="1" applyFont="1" applyFill="1" applyBorder="1"/>
    <xf numFmtId="10" fontId="7" fillId="0" borderId="51" xfId="13" applyNumberFormat="1" applyFont="1" applyBorder="1" applyAlignment="1">
      <alignment vertical="center"/>
    </xf>
    <xf numFmtId="0" fontId="7" fillId="0" borderId="10" xfId="11" applyFont="1" applyBorder="1" applyAlignment="1">
      <alignment vertical="center"/>
    </xf>
    <xf numFmtId="43" fontId="7" fillId="14" borderId="84" xfId="11" applyNumberFormat="1" applyFont="1" applyFill="1" applyBorder="1" applyAlignment="1">
      <alignment horizontal="left" vertical="center"/>
    </xf>
    <xf numFmtId="43" fontId="6" fillId="0" borderId="179" xfId="11" applyNumberFormat="1" applyFont="1" applyBorder="1" applyAlignment="1">
      <alignment horizontal="left" vertical="center" wrapText="1"/>
    </xf>
    <xf numFmtId="43" fontId="6" fillId="0" borderId="46" xfId="11" applyNumberFormat="1" applyFont="1" applyBorder="1" applyAlignment="1">
      <alignment horizontal="left" vertical="center" wrapText="1"/>
    </xf>
    <xf numFmtId="10" fontId="7" fillId="14" borderId="179" xfId="11" applyNumberFormat="1" applyFont="1" applyFill="1" applyBorder="1" applyAlignment="1">
      <alignment vertical="center"/>
    </xf>
    <xf numFmtId="10" fontId="7" fillId="14" borderId="180" xfId="11" applyNumberFormat="1" applyFont="1" applyFill="1" applyBorder="1" applyAlignment="1">
      <alignment vertical="center"/>
    </xf>
    <xf numFmtId="43" fontId="7" fillId="14" borderId="181" xfId="11" applyNumberFormat="1" applyFont="1" applyFill="1" applyBorder="1" applyAlignment="1">
      <alignment horizontal="left" vertical="center"/>
    </xf>
    <xf numFmtId="43" fontId="7" fillId="14" borderId="182" xfId="11" applyNumberFormat="1" applyFont="1" applyFill="1" applyBorder="1" applyAlignment="1">
      <alignment horizontal="left" vertical="center"/>
    </xf>
    <xf numFmtId="42" fontId="7" fillId="0" borderId="7" xfId="13" applyNumberFormat="1" applyFont="1" applyBorder="1"/>
    <xf numFmtId="41" fontId="7" fillId="5" borderId="31" xfId="10" quotePrefix="1" applyNumberFormat="1" applyFont="1" applyFill="1" applyBorder="1" applyAlignment="1" applyProtection="1">
      <alignment horizontal="center"/>
      <protection locked="0"/>
    </xf>
    <xf numFmtId="41" fontId="7" fillId="5" borderId="31" xfId="10" applyNumberFormat="1" applyFont="1" applyFill="1" applyBorder="1" applyAlignment="1" applyProtection="1">
      <alignment horizontal="center"/>
      <protection locked="0"/>
    </xf>
    <xf numFmtId="41" fontId="6" fillId="0" borderId="0" xfId="10" applyNumberFormat="1" applyFont="1"/>
    <xf numFmtId="41" fontId="7" fillId="0" borderId="9" xfId="2" applyNumberFormat="1" applyFont="1" applyBorder="1" applyAlignment="1">
      <alignment horizontal="center"/>
    </xf>
    <xf numFmtId="41" fontId="7" fillId="0" borderId="0" xfId="10" applyNumberFormat="1" applyFont="1" applyAlignment="1">
      <alignment horizontal="center"/>
    </xf>
    <xf numFmtId="41" fontId="7" fillId="0" borderId="0" xfId="10" applyNumberFormat="1" applyFont="1"/>
    <xf numFmtId="41" fontId="7" fillId="0" borderId="183" xfId="10" applyNumberFormat="1" applyFont="1" applyBorder="1" applyAlignment="1">
      <alignment horizontal="center"/>
    </xf>
    <xf numFmtId="41" fontId="7" fillId="0" borderId="86" xfId="10" applyNumberFormat="1" applyFont="1" applyBorder="1" applyAlignment="1">
      <alignment horizontal="center"/>
    </xf>
    <xf numFmtId="41" fontId="7" fillId="0" borderId="17" xfId="10" applyNumberFormat="1" applyFont="1" applyBorder="1"/>
    <xf numFmtId="41" fontId="7" fillId="0" borderId="27" xfId="10" applyNumberFormat="1" applyFont="1" applyBorder="1"/>
    <xf numFmtId="41" fontId="7" fillId="0" borderId="31" xfId="10" applyNumberFormat="1" applyFont="1" applyBorder="1"/>
    <xf numFmtId="41" fontId="6" fillId="0" borderId="0" xfId="10" applyNumberFormat="1" applyFont="1" applyAlignment="1">
      <alignment horizontal="center"/>
    </xf>
    <xf numFmtId="41" fontId="6" fillId="0" borderId="0" xfId="10" applyNumberFormat="1" applyFont="1" applyAlignment="1">
      <alignment horizontal="left"/>
    </xf>
    <xf numFmtId="41" fontId="30" fillId="0" borderId="31" xfId="10" applyNumberFormat="1" applyFont="1" applyBorder="1"/>
    <xf numFmtId="41" fontId="7" fillId="0" borderId="184" xfId="10" applyNumberFormat="1" applyFont="1" applyBorder="1" applyAlignment="1">
      <alignment horizontal="center"/>
    </xf>
    <xf numFmtId="41" fontId="7" fillId="0" borderId="15" xfId="10" applyNumberFormat="1" applyFont="1" applyBorder="1" applyAlignment="1">
      <alignment horizontal="center"/>
    </xf>
    <xf numFmtId="41" fontId="7" fillId="0" borderId="15" xfId="10" applyNumberFormat="1" applyFont="1" applyBorder="1"/>
    <xf numFmtId="41" fontId="7" fillId="0" borderId="101" xfId="10" applyNumberFormat="1" applyFont="1" applyBorder="1"/>
    <xf numFmtId="41" fontId="7" fillId="12" borderId="5" xfId="10" applyNumberFormat="1" applyFont="1" applyFill="1" applyBorder="1"/>
    <xf numFmtId="41" fontId="30" fillId="12" borderId="10" xfId="2" applyNumberFormat="1" applyFont="1" applyFill="1" applyBorder="1"/>
    <xf numFmtId="41" fontId="7" fillId="0" borderId="128" xfId="10" applyNumberFormat="1" applyFont="1" applyBorder="1"/>
    <xf numFmtId="41" fontId="7" fillId="0" borderId="19" xfId="10" applyNumberFormat="1" applyFont="1" applyBorder="1"/>
    <xf numFmtId="41" fontId="30" fillId="12" borderId="184" xfId="10" applyNumberFormat="1" applyFont="1" applyFill="1" applyBorder="1"/>
    <xf numFmtId="41" fontId="7" fillId="12" borderId="19" xfId="10" applyNumberFormat="1" applyFont="1" applyFill="1" applyBorder="1"/>
    <xf numFmtId="41" fontId="30" fillId="12" borderId="53" xfId="2" applyNumberFormat="1" applyFont="1" applyFill="1" applyBorder="1"/>
    <xf numFmtId="42" fontId="30" fillId="0" borderId="4" xfId="2" applyNumberFormat="1" applyFont="1" applyBorder="1"/>
    <xf numFmtId="9" fontId="7" fillId="0" borderId="0" xfId="13" applyFont="1" applyBorder="1" applyAlignment="1">
      <alignment horizontal="center"/>
    </xf>
    <xf numFmtId="41" fontId="7" fillId="0" borderId="4" xfId="13" applyNumberFormat="1" applyFont="1" applyBorder="1"/>
    <xf numFmtId="41" fontId="7" fillId="0" borderId="0" xfId="2" applyNumberFormat="1" applyFont="1" applyBorder="1"/>
    <xf numFmtId="42" fontId="30" fillId="0" borderId="10" xfId="2" applyNumberFormat="1" applyFont="1" applyBorder="1"/>
    <xf numFmtId="10" fontId="7" fillId="0" borderId="0" xfId="13" applyNumberFormat="1" applyFont="1" applyBorder="1"/>
    <xf numFmtId="42" fontId="30" fillId="0" borderId="87" xfId="2" applyNumberFormat="1" applyFont="1" applyBorder="1"/>
    <xf numFmtId="43" fontId="6" fillId="0" borderId="0" xfId="2" applyNumberFormat="1" applyFont="1" applyFill="1" applyBorder="1" applyAlignment="1">
      <alignment horizontal="center"/>
    </xf>
    <xf numFmtId="41" fontId="7" fillId="2" borderId="185" xfId="2" applyNumberFormat="1" applyFont="1" applyFill="1" applyBorder="1" applyProtection="1">
      <protection locked="0"/>
    </xf>
    <xf numFmtId="10" fontId="7" fillId="0" borderId="124" xfId="13" applyNumberFormat="1" applyFont="1" applyBorder="1"/>
    <xf numFmtId="41" fontId="7" fillId="0" borderId="183" xfId="2" applyNumberFormat="1" applyFont="1" applyBorder="1"/>
    <xf numFmtId="10" fontId="7" fillId="0" borderId="186" xfId="13" applyNumberFormat="1" applyFont="1" applyBorder="1"/>
    <xf numFmtId="41" fontId="7" fillId="0" borderId="187" xfId="2" applyNumberFormat="1" applyFont="1" applyBorder="1"/>
    <xf numFmtId="10" fontId="30" fillId="0" borderId="124" xfId="13" applyNumberFormat="1" applyFont="1" applyBorder="1"/>
    <xf numFmtId="41" fontId="30" fillId="0" borderId="183" xfId="2" applyNumberFormat="1" applyFont="1" applyBorder="1"/>
    <xf numFmtId="43" fontId="7" fillId="0" borderId="187" xfId="2" applyNumberFormat="1" applyFont="1" applyBorder="1"/>
    <xf numFmtId="9" fontId="7" fillId="0" borderId="99" xfId="13" applyFont="1" applyBorder="1"/>
    <xf numFmtId="0" fontId="7" fillId="0" borderId="188" xfId="0" applyFont="1" applyBorder="1"/>
    <xf numFmtId="0" fontId="7" fillId="0" borderId="51" xfId="10" applyFont="1" applyBorder="1" applyAlignment="1">
      <alignment horizontal="center"/>
    </xf>
    <xf numFmtId="43" fontId="6" fillId="0" borderId="88" xfId="2" applyNumberFormat="1" applyFont="1" applyFill="1" applyBorder="1" applyAlignment="1">
      <alignment horizontal="center"/>
    </xf>
    <xf numFmtId="0" fontId="7" fillId="0" borderId="128" xfId="10" applyFont="1" applyBorder="1" applyAlignment="1">
      <alignment horizontal="center"/>
    </xf>
    <xf numFmtId="0" fontId="7" fillId="0" borderId="101" xfId="10" applyFont="1" applyBorder="1" applyAlignment="1">
      <alignment horizontal="center"/>
    </xf>
    <xf numFmtId="0" fontId="7" fillId="0" borderId="51" xfId="0" applyFont="1" applyBorder="1" applyAlignment="1">
      <alignment horizontal="center"/>
    </xf>
    <xf numFmtId="0" fontId="7" fillId="0" borderId="120" xfId="10" applyFont="1" applyBorder="1" applyAlignment="1">
      <alignment horizontal="center"/>
    </xf>
    <xf numFmtId="0" fontId="7" fillId="0" borderId="51" xfId="10" quotePrefix="1" applyFont="1" applyBorder="1" applyAlignment="1">
      <alignment horizontal="center"/>
    </xf>
    <xf numFmtId="42" fontId="30" fillId="0" borderId="53" xfId="2" applyNumberFormat="1" applyFont="1" applyBorder="1"/>
    <xf numFmtId="0" fontId="7" fillId="0" borderId="53" xfId="10" applyFont="1" applyBorder="1" applyAlignment="1">
      <alignment horizontal="center"/>
    </xf>
    <xf numFmtId="43" fontId="7" fillId="0" borderId="83" xfId="10" applyNumberFormat="1" applyFont="1" applyBorder="1"/>
    <xf numFmtId="41" fontId="7" fillId="0" borderId="8" xfId="2" applyNumberFormat="1" applyFont="1" applyBorder="1" applyAlignment="1">
      <alignment horizontal="center"/>
    </xf>
    <xf numFmtId="41" fontId="7" fillId="0" borderId="5" xfId="10" applyNumberFormat="1" applyFont="1" applyBorder="1" applyAlignment="1">
      <alignment horizontal="center"/>
    </xf>
    <xf numFmtId="41" fontId="7" fillId="0" borderId="88" xfId="2" applyNumberFormat="1" applyFont="1" applyBorder="1"/>
    <xf numFmtId="0" fontId="44" fillId="0" borderId="0" xfId="10" applyFont="1"/>
    <xf numFmtId="10" fontId="7" fillId="6" borderId="189" xfId="13" applyNumberFormat="1" applyFont="1" applyFill="1" applyBorder="1"/>
    <xf numFmtId="41" fontId="7" fillId="6" borderId="62" xfId="13" applyNumberFormat="1" applyFont="1" applyFill="1" applyBorder="1"/>
    <xf numFmtId="41" fontId="7" fillId="6" borderId="148" xfId="13" applyNumberFormat="1" applyFont="1" applyFill="1" applyBorder="1"/>
    <xf numFmtId="10" fontId="7" fillId="6" borderId="55" xfId="6" applyNumberFormat="1" applyFont="1" applyFill="1" applyBorder="1"/>
    <xf numFmtId="10" fontId="7" fillId="6" borderId="148" xfId="6" applyNumberFormat="1" applyFont="1" applyFill="1" applyBorder="1"/>
    <xf numFmtId="10" fontId="7" fillId="6" borderId="135" xfId="6" applyNumberFormat="1" applyFont="1" applyFill="1" applyBorder="1"/>
    <xf numFmtId="44" fontId="7" fillId="0" borderId="54" xfId="13" applyNumberFormat="1" applyFont="1" applyFill="1" applyBorder="1"/>
    <xf numFmtId="42" fontId="7" fillId="0" borderId="54" xfId="6" applyNumberFormat="1" applyFont="1" applyFill="1" applyBorder="1"/>
    <xf numFmtId="44" fontId="7" fillId="6" borderId="54" xfId="13" applyNumberFormat="1" applyFont="1" applyFill="1" applyBorder="1"/>
    <xf numFmtId="42" fontId="7" fillId="6" borderId="54" xfId="6" applyNumberFormat="1" applyFont="1" applyFill="1" applyBorder="1"/>
    <xf numFmtId="41" fontId="7" fillId="0" borderId="75" xfId="7" applyNumberFormat="1" applyFont="1" applyFill="1" applyBorder="1" applyProtection="1">
      <protection locked="0"/>
    </xf>
    <xf numFmtId="0" fontId="7" fillId="6" borderId="119" xfId="0" applyFont="1" applyFill="1" applyBorder="1"/>
    <xf numFmtId="0" fontId="31" fillId="6" borderId="104" xfId="0" applyFont="1" applyFill="1" applyBorder="1"/>
    <xf numFmtId="0" fontId="7" fillId="6" borderId="63" xfId="0" applyFont="1" applyFill="1" applyBorder="1" applyAlignment="1">
      <alignment horizontal="center"/>
    </xf>
    <xf numFmtId="5" fontId="7" fillId="6" borderId="190" xfId="6" applyFont="1" applyFill="1" applyBorder="1" applyAlignment="1">
      <alignment horizontal="left"/>
    </xf>
    <xf numFmtId="5" fontId="7" fillId="6" borderId="191" xfId="6" applyFont="1" applyFill="1" applyBorder="1" applyAlignment="1">
      <alignment horizontal="left"/>
    </xf>
    <xf numFmtId="41" fontId="49" fillId="0" borderId="0" xfId="0" applyNumberFormat="1" applyFont="1" applyAlignment="1">
      <alignment horizontal="center"/>
    </xf>
    <xf numFmtId="41" fontId="50" fillId="0" borderId="0" xfId="0" applyNumberFormat="1" applyFont="1" applyAlignment="1">
      <alignment horizontal="center"/>
    </xf>
    <xf numFmtId="0" fontId="7" fillId="6" borderId="158" xfId="0" applyFont="1" applyFill="1" applyBorder="1"/>
    <xf numFmtId="0" fontId="7" fillId="6" borderId="166" xfId="0" applyFont="1" applyFill="1" applyBorder="1"/>
    <xf numFmtId="0" fontId="7" fillId="6" borderId="166" xfId="0" applyFont="1" applyFill="1" applyBorder="1" applyAlignment="1">
      <alignment horizontal="center"/>
    </xf>
    <xf numFmtId="42" fontId="7" fillId="6" borderId="192" xfId="13" applyNumberFormat="1" applyFont="1" applyFill="1" applyBorder="1"/>
    <xf numFmtId="10" fontId="7" fillId="6" borderId="192" xfId="13" applyNumberFormat="1" applyFont="1" applyFill="1" applyBorder="1"/>
    <xf numFmtId="10" fontId="7" fillId="6" borderId="193" xfId="13" applyNumberFormat="1" applyFont="1" applyFill="1" applyBorder="1"/>
    <xf numFmtId="41" fontId="7" fillId="0" borderId="116" xfId="6" applyNumberFormat="1" applyFont="1" applyFill="1" applyBorder="1"/>
    <xf numFmtId="41" fontId="7" fillId="0" borderId="108" xfId="6" applyNumberFormat="1" applyFont="1" applyFill="1" applyBorder="1"/>
    <xf numFmtId="8" fontId="7" fillId="0" borderId="131" xfId="6" applyNumberFormat="1" applyFont="1" applyFill="1" applyBorder="1"/>
    <xf numFmtId="10" fontId="7" fillId="0" borderId="7" xfId="13" applyNumberFormat="1" applyFont="1" applyFill="1" applyBorder="1"/>
    <xf numFmtId="10" fontId="7" fillId="0" borderId="26" xfId="13" applyNumberFormat="1" applyFont="1" applyFill="1" applyBorder="1"/>
    <xf numFmtId="10" fontId="7" fillId="0" borderId="131" xfId="13" applyNumberFormat="1" applyFont="1" applyFill="1" applyBorder="1"/>
    <xf numFmtId="44" fontId="7" fillId="0" borderId="76" xfId="6" applyNumberFormat="1" applyFont="1" applyFill="1" applyBorder="1"/>
    <xf numFmtId="42" fontId="7" fillId="0" borderId="76" xfId="6" applyNumberFormat="1" applyFont="1" applyFill="1" applyBorder="1"/>
    <xf numFmtId="41" fontId="7" fillId="0" borderId="112" xfId="6" applyNumberFormat="1" applyFont="1" applyFill="1" applyBorder="1"/>
    <xf numFmtId="41" fontId="7" fillId="0" borderId="21" xfId="13" applyNumberFormat="1" applyFont="1" applyFill="1" applyBorder="1"/>
    <xf numFmtId="41" fontId="7" fillId="0" borderId="21" xfId="1" applyNumberFormat="1" applyFont="1" applyFill="1" applyBorder="1"/>
    <xf numFmtId="41" fontId="7" fillId="0" borderId="112" xfId="13" applyNumberFormat="1" applyFont="1" applyFill="1" applyBorder="1"/>
    <xf numFmtId="41" fontId="7" fillId="0" borderId="148" xfId="6" applyNumberFormat="1" applyFont="1" applyFill="1" applyBorder="1"/>
    <xf numFmtId="41" fontId="7" fillId="0" borderId="21" xfId="0" applyNumberFormat="1" applyFont="1" applyBorder="1"/>
    <xf numFmtId="41" fontId="7" fillId="0" borderId="31" xfId="13" applyNumberFormat="1" applyFont="1" applyFill="1" applyBorder="1"/>
    <xf numFmtId="41" fontId="7" fillId="0" borderId="31" xfId="6" applyNumberFormat="1" applyFont="1" applyFill="1" applyBorder="1"/>
    <xf numFmtId="41" fontId="7" fillId="0" borderId="31" xfId="1" applyNumberFormat="1" applyFont="1" applyFill="1" applyBorder="1"/>
    <xf numFmtId="41" fontId="7" fillId="0" borderId="31" xfId="3" applyNumberFormat="1" applyFont="1" applyFill="1" applyBorder="1"/>
    <xf numFmtId="41" fontId="7" fillId="0" borderId="30" xfId="6" applyNumberFormat="1" applyFont="1" applyFill="1" applyBorder="1"/>
    <xf numFmtId="41" fontId="7" fillId="0" borderId="150" xfId="6" applyNumberFormat="1" applyFont="1" applyFill="1" applyBorder="1"/>
    <xf numFmtId="41" fontId="7" fillId="0" borderId="151" xfId="6" applyNumberFormat="1" applyFont="1" applyFill="1" applyBorder="1"/>
    <xf numFmtId="41" fontId="7" fillId="0" borderId="0" xfId="6" applyNumberFormat="1" applyFont="1" applyFill="1"/>
    <xf numFmtId="41" fontId="0" fillId="0" borderId="150" xfId="0" applyNumberFormat="1" applyBorder="1"/>
    <xf numFmtId="41" fontId="0" fillId="0" borderId="194" xfId="0" applyNumberFormat="1" applyBorder="1"/>
    <xf numFmtId="10" fontId="7" fillId="0" borderId="131" xfId="6" applyNumberFormat="1" applyFont="1" applyFill="1" applyBorder="1"/>
    <xf numFmtId="42" fontId="7" fillId="0" borderId="131" xfId="6" applyNumberFormat="1" applyFont="1" applyFill="1" applyBorder="1"/>
    <xf numFmtId="41" fontId="7" fillId="5" borderId="7" xfId="0" applyNumberFormat="1" applyFont="1" applyFill="1" applyBorder="1" applyProtection="1">
      <protection locked="0"/>
    </xf>
    <xf numFmtId="41" fontId="7" fillId="5" borderId="20" xfId="0" applyNumberFormat="1" applyFont="1" applyFill="1" applyBorder="1" applyProtection="1">
      <protection locked="0"/>
    </xf>
    <xf numFmtId="41" fontId="7" fillId="5" borderId="70" xfId="13" applyNumberFormat="1" applyFont="1" applyFill="1" applyBorder="1" applyProtection="1">
      <protection locked="0"/>
    </xf>
    <xf numFmtId="41" fontId="7" fillId="5" borderId="70" xfId="1" applyNumberFormat="1" applyFont="1" applyFill="1" applyBorder="1" applyProtection="1">
      <protection locked="0"/>
    </xf>
    <xf numFmtId="41" fontId="7" fillId="5" borderId="70" xfId="3" applyNumberFormat="1" applyFont="1" applyFill="1" applyBorder="1" applyProtection="1">
      <protection locked="0"/>
    </xf>
    <xf numFmtId="41" fontId="7" fillId="5" borderId="195" xfId="6" applyNumberFormat="1" applyFont="1" applyFill="1" applyBorder="1" applyProtection="1">
      <protection locked="0"/>
    </xf>
    <xf numFmtId="41" fontId="7" fillId="5" borderId="106" xfId="1" applyNumberFormat="1" applyFont="1" applyFill="1" applyBorder="1" applyProtection="1">
      <protection locked="0"/>
    </xf>
    <xf numFmtId="41" fontId="7" fillId="5" borderId="106" xfId="13" applyNumberFormat="1" applyFont="1" applyFill="1" applyBorder="1" applyProtection="1">
      <protection locked="0"/>
    </xf>
    <xf numFmtId="41" fontId="7" fillId="5" borderId="106" xfId="0" applyNumberFormat="1" applyFont="1" applyFill="1" applyBorder="1" applyProtection="1">
      <protection locked="0"/>
    </xf>
    <xf numFmtId="41" fontId="7" fillId="5" borderId="196" xfId="0" applyNumberFormat="1" applyFont="1" applyFill="1" applyBorder="1" applyProtection="1">
      <protection locked="0"/>
    </xf>
    <xf numFmtId="41" fontId="7" fillId="5" borderId="150" xfId="13" applyNumberFormat="1" applyFont="1" applyFill="1" applyBorder="1" applyProtection="1">
      <protection locked="0"/>
    </xf>
    <xf numFmtId="41" fontId="7" fillId="5" borderId="150" xfId="1" applyNumberFormat="1" applyFont="1" applyFill="1" applyBorder="1" applyProtection="1">
      <protection locked="0"/>
    </xf>
    <xf numFmtId="41" fontId="7" fillId="5" borderId="150" xfId="3" applyNumberFormat="1" applyFont="1" applyFill="1" applyBorder="1" applyProtection="1">
      <protection locked="0"/>
    </xf>
    <xf numFmtId="41" fontId="7" fillId="5" borderId="197" xfId="6" applyNumberFormat="1" applyFont="1" applyFill="1" applyBorder="1" applyProtection="1">
      <protection locked="0"/>
    </xf>
    <xf numFmtId="41" fontId="7" fillId="5" borderId="155" xfId="6" applyNumberFormat="1" applyFont="1" applyFill="1" applyBorder="1" applyProtection="1">
      <protection locked="0"/>
    </xf>
    <xf numFmtId="41" fontId="7" fillId="5" borderId="196" xfId="6" applyNumberFormat="1" applyFont="1" applyFill="1" applyBorder="1" applyProtection="1">
      <protection locked="0"/>
    </xf>
    <xf numFmtId="41" fontId="7" fillId="5" borderId="194" xfId="6" applyNumberFormat="1" applyFont="1" applyFill="1" applyBorder="1" applyProtection="1">
      <protection locked="0"/>
    </xf>
    <xf numFmtId="41" fontId="7" fillId="0" borderId="74" xfId="6" applyNumberFormat="1" applyFont="1" applyFill="1" applyBorder="1"/>
    <xf numFmtId="41" fontId="7" fillId="0" borderId="74" xfId="13" applyNumberFormat="1" applyFont="1" applyFill="1" applyBorder="1"/>
    <xf numFmtId="41" fontId="7" fillId="0" borderId="74" xfId="3" applyNumberFormat="1" applyFont="1" applyFill="1" applyBorder="1"/>
    <xf numFmtId="41" fontId="7" fillId="5" borderId="106" xfId="6" applyNumberFormat="1" applyFont="1" applyFill="1" applyBorder="1" applyProtection="1">
      <protection locked="0"/>
    </xf>
    <xf numFmtId="41" fontId="7" fillId="5" borderId="106" xfId="3" applyNumberFormat="1" applyFont="1" applyFill="1" applyBorder="1" applyProtection="1">
      <protection locked="0"/>
    </xf>
    <xf numFmtId="3" fontId="7" fillId="6" borderId="54" xfId="5" applyNumberFormat="1" applyFont="1" applyFill="1" applyBorder="1" applyProtection="1"/>
    <xf numFmtId="3" fontId="7" fillId="6" borderId="54" xfId="6" applyNumberFormat="1" applyFont="1" applyFill="1" applyBorder="1" applyProtection="1"/>
    <xf numFmtId="41" fontId="7" fillId="0" borderId="54" xfId="5" applyNumberFormat="1" applyFont="1" applyFill="1" applyBorder="1" applyProtection="1"/>
    <xf numFmtId="3" fontId="7" fillId="0" borderId="31" xfId="5" applyNumberFormat="1" applyFont="1" applyBorder="1" applyProtection="1"/>
    <xf numFmtId="41" fontId="7" fillId="0" borderId="63" xfId="5" applyNumberFormat="1" applyFont="1" applyFill="1" applyBorder="1" applyProtection="1"/>
    <xf numFmtId="42" fontId="7" fillId="0" borderId="131" xfId="6" applyNumberFormat="1" applyFont="1" applyBorder="1" applyProtection="1"/>
    <xf numFmtId="41" fontId="7" fillId="0" borderId="54" xfId="6" applyNumberFormat="1" applyFont="1" applyFill="1" applyBorder="1" applyProtection="1"/>
    <xf numFmtId="41" fontId="7" fillId="0" borderId="63" xfId="6" applyNumberFormat="1" applyFont="1" applyFill="1" applyBorder="1" applyProtection="1"/>
    <xf numFmtId="41" fontId="7" fillId="0" borderId="7" xfId="6" applyNumberFormat="1" applyFont="1" applyFill="1" applyBorder="1" applyProtection="1"/>
    <xf numFmtId="41" fontId="7" fillId="0" borderId="26" xfId="6" applyNumberFormat="1" applyFont="1" applyFill="1" applyBorder="1" applyProtection="1"/>
    <xf numFmtId="5" fontId="7" fillId="0" borderId="0" xfId="6" applyFont="1" applyProtection="1"/>
    <xf numFmtId="41" fontId="7" fillId="0" borderId="62" xfId="7" applyNumberFormat="1" applyFont="1" applyBorder="1" applyProtection="1"/>
    <xf numFmtId="41" fontId="7" fillId="0" borderId="7" xfId="13" applyNumberFormat="1" applyFont="1" applyFill="1" applyBorder="1" applyProtection="1"/>
    <xf numFmtId="41" fontId="7" fillId="0" borderId="75" xfId="7" applyNumberFormat="1" applyFont="1" applyBorder="1" applyProtection="1"/>
    <xf numFmtId="41" fontId="7" fillId="0" borderId="7" xfId="7" applyNumberFormat="1" applyFont="1" applyFill="1" applyBorder="1" applyProtection="1"/>
    <xf numFmtId="41" fontId="7" fillId="0" borderId="149" xfId="6" applyNumberFormat="1" applyFont="1" applyBorder="1" applyProtection="1"/>
    <xf numFmtId="41" fontId="7" fillId="0" borderId="55" xfId="13" applyNumberFormat="1" applyFont="1" applyBorder="1" applyProtection="1"/>
    <xf numFmtId="41" fontId="7" fillId="0" borderId="147" xfId="6" applyNumberFormat="1" applyFont="1" applyBorder="1" applyProtection="1"/>
    <xf numFmtId="41" fontId="7" fillId="0" borderId="7" xfId="13" applyNumberFormat="1" applyFont="1" applyBorder="1" applyProtection="1"/>
    <xf numFmtId="41" fontId="7" fillId="0" borderId="76" xfId="6" applyNumberFormat="1" applyFont="1" applyFill="1" applyBorder="1" applyProtection="1"/>
    <xf numFmtId="41" fontId="7" fillId="0" borderId="76" xfId="6" applyNumberFormat="1" applyFont="1" applyBorder="1" applyProtection="1"/>
    <xf numFmtId="41" fontId="7" fillId="0" borderId="75" xfId="7" applyNumberFormat="1" applyFont="1" applyFill="1" applyBorder="1" applyProtection="1"/>
    <xf numFmtId="41" fontId="7" fillId="0" borderId="54" xfId="6" applyNumberFormat="1" applyFont="1" applyBorder="1" applyProtection="1"/>
    <xf numFmtId="41" fontId="7" fillId="0" borderId="63" xfId="6" applyNumberFormat="1" applyFont="1" applyBorder="1" applyProtection="1"/>
    <xf numFmtId="41" fontId="7" fillId="0" borderId="26" xfId="7" applyNumberFormat="1" applyFont="1" applyFill="1" applyBorder="1" applyProtection="1"/>
    <xf numFmtId="41" fontId="7" fillId="0" borderId="116" xfId="7" applyNumberFormat="1" applyFont="1" applyFill="1" applyBorder="1" applyProtection="1"/>
    <xf numFmtId="42" fontId="7" fillId="0" borderId="169" xfId="6" applyNumberFormat="1" applyFont="1" applyBorder="1" applyProtection="1"/>
    <xf numFmtId="5" fontId="7" fillId="0" borderId="23" xfId="6" applyFont="1" applyBorder="1" applyProtection="1"/>
    <xf numFmtId="41" fontId="7" fillId="0" borderId="7" xfId="6" applyNumberFormat="1" applyFont="1" applyBorder="1" applyProtection="1"/>
    <xf numFmtId="41" fontId="7" fillId="0" borderId="26" xfId="6" applyNumberFormat="1" applyFont="1" applyBorder="1" applyProtection="1"/>
    <xf numFmtId="41" fontId="7" fillId="0" borderId="62" xfId="6" applyNumberFormat="1" applyFont="1" applyBorder="1" applyProtection="1"/>
    <xf numFmtId="41" fontId="7" fillId="6" borderId="112" xfId="6" applyNumberFormat="1" applyFont="1" applyFill="1" applyBorder="1" applyProtection="1"/>
    <xf numFmtId="41" fontId="7" fillId="6" borderId="108" xfId="6" applyNumberFormat="1" applyFont="1" applyFill="1" applyBorder="1" applyProtection="1"/>
    <xf numFmtId="41" fontId="7" fillId="0" borderId="11" xfId="6" applyNumberFormat="1" applyFont="1" applyFill="1" applyBorder="1" applyProtection="1"/>
    <xf numFmtId="41" fontId="7" fillId="0" borderId="143" xfId="6" applyNumberFormat="1" applyFont="1" applyBorder="1" applyProtection="1"/>
    <xf numFmtId="41" fontId="7" fillId="6" borderId="76" xfId="6" applyNumberFormat="1" applyFont="1" applyFill="1" applyBorder="1" applyProtection="1"/>
    <xf numFmtId="41" fontId="7" fillId="6" borderId="7" xfId="6" applyNumberFormat="1" applyFont="1" applyFill="1" applyBorder="1" applyProtection="1"/>
    <xf numFmtId="41" fontId="7" fillId="0" borderId="21" xfId="6" applyNumberFormat="1" applyFont="1" applyBorder="1" applyProtection="1"/>
    <xf numFmtId="10" fontId="7" fillId="14" borderId="160" xfId="13" applyNumberFormat="1" applyFont="1" applyFill="1" applyBorder="1" applyProtection="1"/>
    <xf numFmtId="41" fontId="7" fillId="0" borderId="26" xfId="13" applyNumberFormat="1" applyFont="1" applyBorder="1" applyProtection="1"/>
    <xf numFmtId="42" fontId="7" fillId="0" borderId="167" xfId="6" applyNumberFormat="1" applyFont="1" applyBorder="1"/>
    <xf numFmtId="41" fontId="7" fillId="0" borderId="198" xfId="7" applyNumberFormat="1" applyFont="1" applyBorder="1"/>
    <xf numFmtId="41" fontId="7" fillId="0" borderId="148" xfId="7" applyNumberFormat="1" applyFont="1" applyBorder="1"/>
    <xf numFmtId="41" fontId="7" fillId="0" borderId="199" xfId="7" applyNumberFormat="1" applyFont="1" applyBorder="1"/>
    <xf numFmtId="41" fontId="7" fillId="5" borderId="199" xfId="6" applyNumberFormat="1" applyFont="1" applyFill="1" applyBorder="1" applyProtection="1">
      <protection locked="0"/>
    </xf>
    <xf numFmtId="41" fontId="7" fillId="5" borderId="200" xfId="6" applyNumberFormat="1" applyFont="1" applyFill="1" applyBorder="1" applyProtection="1">
      <protection locked="0"/>
    </xf>
    <xf numFmtId="41" fontId="7" fillId="5" borderId="153" xfId="6" applyNumberFormat="1" applyFont="1" applyFill="1" applyBorder="1" applyProtection="1">
      <protection locked="0"/>
    </xf>
    <xf numFmtId="0" fontId="0" fillId="0" borderId="0" xfId="0" applyProtection="1">
      <protection locked="0"/>
    </xf>
    <xf numFmtId="0" fontId="11" fillId="0" borderId="0" xfId="11" applyFont="1" applyAlignment="1" applyProtection="1">
      <alignment vertical="center"/>
      <protection locked="0"/>
    </xf>
    <xf numFmtId="0" fontId="10" fillId="0" borderId="0" xfId="11" applyFont="1" applyAlignment="1" applyProtection="1">
      <alignment vertical="center"/>
      <protection locked="0"/>
    </xf>
    <xf numFmtId="0" fontId="8" fillId="0" borderId="0" xfId="0" applyFont="1" applyProtection="1">
      <protection locked="0"/>
    </xf>
    <xf numFmtId="10" fontId="8" fillId="0" borderId="0" xfId="0" applyNumberFormat="1" applyFont="1" applyProtection="1">
      <protection locked="0"/>
    </xf>
    <xf numFmtId="0" fontId="28" fillId="5" borderId="27" xfId="0" quotePrefix="1" applyFont="1" applyFill="1" applyBorder="1" applyAlignment="1" applyProtection="1">
      <alignment horizontal="left"/>
      <protection locked="0"/>
    </xf>
    <xf numFmtId="0" fontId="28" fillId="5" borderId="31" xfId="0" applyFont="1" applyFill="1" applyBorder="1" applyAlignment="1" applyProtection="1">
      <alignment horizontal="left"/>
      <protection locked="0"/>
    </xf>
    <xf numFmtId="49" fontId="28" fillId="5" borderId="31" xfId="0" applyNumberFormat="1" applyFont="1" applyFill="1" applyBorder="1" applyAlignment="1" applyProtection="1">
      <alignment horizontal="left"/>
      <protection locked="0"/>
    </xf>
    <xf numFmtId="10" fontId="7" fillId="0" borderId="108" xfId="6" applyNumberFormat="1" applyFont="1" applyFill="1" applyBorder="1"/>
    <xf numFmtId="10" fontId="7" fillId="0" borderId="113" xfId="6" applyNumberFormat="1" applyFont="1" applyFill="1" applyBorder="1"/>
    <xf numFmtId="10" fontId="7" fillId="0" borderId="55" xfId="6" applyNumberFormat="1" applyFont="1" applyFill="1" applyBorder="1"/>
    <xf numFmtId="10" fontId="7" fillId="0" borderId="26" xfId="6" applyNumberFormat="1" applyFont="1" applyFill="1" applyBorder="1"/>
    <xf numFmtId="10" fontId="7" fillId="0" borderId="54" xfId="6" applyNumberFormat="1" applyFont="1" applyFill="1" applyBorder="1"/>
    <xf numFmtId="10" fontId="7" fillId="0" borderId="128" xfId="13" applyNumberFormat="1" applyFont="1" applyBorder="1"/>
    <xf numFmtId="9" fontId="7" fillId="0" borderId="0" xfId="13" applyFont="1" applyBorder="1"/>
    <xf numFmtId="0" fontId="4" fillId="0" borderId="0" xfId="0" applyFont="1"/>
    <xf numFmtId="43" fontId="7" fillId="0" borderId="0" xfId="13" applyNumberFormat="1" applyFont="1" applyBorder="1"/>
    <xf numFmtId="172" fontId="7" fillId="0" borderId="0" xfId="6" applyNumberFormat="1" applyFont="1" applyBorder="1"/>
    <xf numFmtId="41" fontId="7" fillId="0" borderId="0" xfId="13" applyNumberFormat="1" applyFont="1" applyBorder="1"/>
    <xf numFmtId="10" fontId="7" fillId="0" borderId="0" xfId="13" applyNumberFormat="1" applyFont="1" applyFill="1" applyBorder="1"/>
    <xf numFmtId="0" fontId="1" fillId="0" borderId="0" xfId="0" applyFont="1" applyProtection="1">
      <protection locked="0"/>
    </xf>
    <xf numFmtId="0" fontId="12" fillId="0" borderId="0" xfId="0" applyFont="1" applyProtection="1">
      <protection locked="0"/>
    </xf>
    <xf numFmtId="9" fontId="1" fillId="0" borderId="0" xfId="13" applyFont="1" applyAlignment="1">
      <alignment horizontal="center"/>
    </xf>
    <xf numFmtId="0" fontId="12" fillId="0" borderId="0" xfId="0" applyFont="1" applyAlignment="1">
      <alignment horizontal="center"/>
    </xf>
    <xf numFmtId="0" fontId="6" fillId="0" borderId="23" xfId="0" applyFont="1" applyBorder="1"/>
    <xf numFmtId="42" fontId="7" fillId="0" borderId="0" xfId="6" applyNumberFormat="1" applyFont="1" applyBorder="1"/>
    <xf numFmtId="0" fontId="23" fillId="0" borderId="0" xfId="12" applyFont="1" applyAlignment="1">
      <alignment wrapText="1"/>
    </xf>
    <xf numFmtId="0" fontId="23" fillId="0" borderId="0" xfId="12" applyFont="1" applyAlignment="1">
      <alignment horizontal="center"/>
    </xf>
    <xf numFmtId="0" fontId="23" fillId="0" borderId="0" xfId="12" applyFont="1"/>
    <xf numFmtId="0" fontId="23" fillId="5" borderId="27" xfId="12" applyFont="1" applyFill="1" applyBorder="1" applyAlignment="1" applyProtection="1">
      <alignment horizontal="center"/>
      <protection locked="0"/>
    </xf>
    <xf numFmtId="0" fontId="23" fillId="0" borderId="0" xfId="12" applyFont="1" applyAlignment="1">
      <alignment horizontal="right"/>
    </xf>
    <xf numFmtId="0" fontId="1" fillId="0" borderId="0" xfId="9" applyAlignment="1">
      <alignment horizontal="left"/>
    </xf>
    <xf numFmtId="41" fontId="7" fillId="5" borderId="76" xfId="7" applyNumberFormat="1" applyFont="1" applyFill="1" applyBorder="1" applyProtection="1">
      <protection locked="0"/>
    </xf>
    <xf numFmtId="41" fontId="7" fillId="5" borderId="7" xfId="7" applyNumberFormat="1" applyFont="1" applyFill="1" applyBorder="1" applyProtection="1">
      <protection locked="0"/>
    </xf>
    <xf numFmtId="41" fontId="7" fillId="5" borderId="148" xfId="7" applyNumberFormat="1" applyFont="1" applyFill="1" applyBorder="1" applyProtection="1">
      <protection locked="0"/>
    </xf>
    <xf numFmtId="41" fontId="7" fillId="5" borderId="75" xfId="7" applyNumberFormat="1" applyFont="1" applyFill="1" applyBorder="1" applyProtection="1">
      <protection locked="0"/>
    </xf>
    <xf numFmtId="41" fontId="7" fillId="5" borderId="150" xfId="7" applyNumberFormat="1" applyFont="1" applyFill="1" applyBorder="1" applyProtection="1">
      <protection locked="0"/>
    </xf>
    <xf numFmtId="41" fontId="7" fillId="5" borderId="151" xfId="7" applyNumberFormat="1" applyFont="1" applyFill="1" applyBorder="1" applyProtection="1">
      <protection locked="0"/>
    </xf>
    <xf numFmtId="41" fontId="7" fillId="0" borderId="127" xfId="2" applyNumberFormat="1" applyFont="1" applyFill="1" applyBorder="1" applyProtection="1"/>
    <xf numFmtId="41" fontId="7" fillId="5" borderId="27" xfId="6" applyNumberFormat="1" applyFont="1" applyFill="1" applyBorder="1" applyProtection="1">
      <protection locked="0"/>
    </xf>
    <xf numFmtId="41" fontId="7" fillId="5" borderId="187" xfId="6" applyNumberFormat="1" applyFont="1" applyFill="1" applyBorder="1" applyProtection="1">
      <protection locked="0"/>
    </xf>
    <xf numFmtId="41" fontId="7" fillId="5" borderId="84" xfId="6" applyNumberFormat="1" applyFont="1" applyFill="1" applyBorder="1" applyProtection="1">
      <protection locked="0"/>
    </xf>
    <xf numFmtId="41" fontId="7" fillId="5" borderId="152" xfId="6" applyNumberFormat="1" applyFont="1" applyFill="1" applyBorder="1" applyProtection="1">
      <protection locked="0"/>
    </xf>
    <xf numFmtId="0" fontId="1" fillId="0" borderId="32" xfId="0" applyFont="1" applyBorder="1"/>
    <xf numFmtId="0" fontId="1" fillId="0" borderId="31" xfId="0" applyFont="1" applyBorder="1"/>
    <xf numFmtId="5" fontId="7" fillId="0" borderId="0" xfId="6" applyFont="1" applyFill="1" applyBorder="1" applyAlignment="1">
      <alignment horizontal="left"/>
    </xf>
    <xf numFmtId="3" fontId="7" fillId="0" borderId="0" xfId="13" applyNumberFormat="1" applyFont="1" applyFill="1" applyBorder="1"/>
    <xf numFmtId="10" fontId="7" fillId="0" borderId="19" xfId="13" applyNumberFormat="1" applyFont="1" applyFill="1" applyBorder="1"/>
    <xf numFmtId="0" fontId="3" fillId="0" borderId="201" xfId="12" applyFont="1" applyBorder="1"/>
    <xf numFmtId="0" fontId="1" fillId="0" borderId="201" xfId="12" applyBorder="1"/>
    <xf numFmtId="0" fontId="0" fillId="0" borderId="201" xfId="0" applyBorder="1"/>
    <xf numFmtId="44" fontId="1" fillId="0" borderId="0" xfId="12" applyNumberFormat="1"/>
    <xf numFmtId="0" fontId="5" fillId="0" borderId="17" xfId="12" applyFont="1" applyBorder="1" applyAlignment="1">
      <alignment horizontal="right"/>
    </xf>
    <xf numFmtId="1" fontId="28" fillId="0" borderId="31" xfId="0" applyNumberFormat="1" applyFont="1" applyBorder="1" applyAlignment="1" applyProtection="1">
      <alignment horizontal="left"/>
      <protection locked="0"/>
    </xf>
    <xf numFmtId="171" fontId="0" fillId="0" borderId="0" xfId="13" applyNumberFormat="1" applyFont="1" applyAlignment="1">
      <alignment horizontal="center"/>
    </xf>
    <xf numFmtId="171" fontId="12" fillId="0" borderId="0" xfId="13" applyNumberFormat="1" applyFont="1" applyAlignment="1">
      <alignment horizontal="center"/>
    </xf>
    <xf numFmtId="10" fontId="12" fillId="0" borderId="0" xfId="13" applyNumberFormat="1" applyFont="1" applyAlignment="1">
      <alignment horizontal="center"/>
    </xf>
    <xf numFmtId="10" fontId="7" fillId="6" borderId="202" xfId="13" applyNumberFormat="1" applyFont="1" applyFill="1" applyBorder="1"/>
    <xf numFmtId="0" fontId="0" fillId="0" borderId="203" xfId="0" applyBorder="1"/>
    <xf numFmtId="10" fontId="7" fillId="0" borderId="204" xfId="13" applyNumberFormat="1" applyFont="1" applyBorder="1"/>
    <xf numFmtId="10" fontId="7" fillId="0" borderId="205" xfId="13" applyNumberFormat="1" applyFont="1" applyBorder="1"/>
    <xf numFmtId="6" fontId="7" fillId="0" borderId="206" xfId="6" applyNumberFormat="1" applyFont="1" applyBorder="1"/>
    <xf numFmtId="38" fontId="7" fillId="0" borderId="203" xfId="13" applyNumberFormat="1" applyFont="1" applyBorder="1"/>
    <xf numFmtId="10" fontId="7" fillId="6" borderId="207" xfId="6" applyNumberFormat="1" applyFont="1" applyFill="1" applyBorder="1"/>
    <xf numFmtId="10" fontId="7" fillId="0" borderId="207" xfId="6" applyNumberFormat="1" applyFont="1" applyBorder="1"/>
    <xf numFmtId="6" fontId="7" fillId="0" borderId="203" xfId="13" applyNumberFormat="1" applyFont="1" applyBorder="1"/>
    <xf numFmtId="10" fontId="7" fillId="0" borderId="208" xfId="13" applyNumberFormat="1" applyFont="1" applyBorder="1"/>
    <xf numFmtId="0" fontId="0" fillId="0" borderId="209" xfId="0" applyBorder="1"/>
    <xf numFmtId="9" fontId="42" fillId="0" borderId="22" xfId="13" applyFont="1" applyBorder="1" applyAlignment="1">
      <alignment horizontal="left"/>
    </xf>
    <xf numFmtId="41" fontId="7" fillId="5" borderId="210" xfId="6" applyNumberFormat="1" applyFont="1" applyFill="1" applyBorder="1" applyProtection="1">
      <protection locked="0"/>
    </xf>
    <xf numFmtId="41" fontId="7" fillId="5" borderId="151" xfId="0" applyNumberFormat="1" applyFont="1" applyFill="1" applyBorder="1" applyProtection="1">
      <protection locked="0"/>
    </xf>
    <xf numFmtId="41" fontId="7" fillId="5" borderId="150" xfId="0" applyNumberFormat="1" applyFont="1" applyFill="1" applyBorder="1" applyProtection="1">
      <protection locked="0"/>
    </xf>
    <xf numFmtId="41" fontId="7" fillId="5" borderId="211" xfId="0" applyNumberFormat="1" applyFont="1" applyFill="1" applyBorder="1" applyProtection="1">
      <protection locked="0"/>
    </xf>
    <xf numFmtId="0" fontId="12" fillId="5" borderId="4" xfId="0" applyFont="1" applyFill="1" applyBorder="1" applyAlignment="1" applyProtection="1">
      <alignment horizontal="center"/>
      <protection locked="0"/>
    </xf>
    <xf numFmtId="0" fontId="28" fillId="5" borderId="27" xfId="0" quotePrefix="1" applyFont="1" applyFill="1" applyBorder="1" applyAlignment="1">
      <alignment horizontal="left"/>
    </xf>
    <xf numFmtId="0" fontId="28" fillId="5" borderId="31" xfId="0" applyFont="1" applyFill="1" applyBorder="1" applyAlignment="1">
      <alignment horizontal="left"/>
    </xf>
    <xf numFmtId="49" fontId="28" fillId="5" borderId="31" xfId="0" applyNumberFormat="1" applyFont="1" applyFill="1" applyBorder="1" applyAlignment="1">
      <alignment horizontal="left"/>
    </xf>
    <xf numFmtId="10" fontId="0" fillId="0" borderId="0" xfId="13" applyNumberFormat="1" applyFont="1" applyProtection="1"/>
    <xf numFmtId="0" fontId="7" fillId="0" borderId="30" xfId="0" applyFont="1" applyBorder="1" applyAlignment="1">
      <alignment horizontal="left"/>
    </xf>
    <xf numFmtId="0" fontId="0" fillId="0" borderId="30" xfId="0" applyBorder="1"/>
    <xf numFmtId="42" fontId="7" fillId="0" borderId="0" xfId="7" applyNumberFormat="1" applyFont="1" applyFill="1" applyBorder="1" applyProtection="1"/>
    <xf numFmtId="10" fontId="7" fillId="0" borderId="115" xfId="13" applyNumberFormat="1" applyFont="1" applyFill="1" applyBorder="1" applyProtection="1"/>
    <xf numFmtId="9" fontId="7" fillId="0" borderId="5" xfId="13" applyFont="1" applyBorder="1" applyProtection="1"/>
    <xf numFmtId="9" fontId="7" fillId="0" borderId="30" xfId="13" applyFont="1" applyBorder="1" applyProtection="1"/>
    <xf numFmtId="43" fontId="7" fillId="0" borderId="115" xfId="13" applyNumberFormat="1" applyFont="1" applyBorder="1" applyProtection="1"/>
    <xf numFmtId="172" fontId="7" fillId="0" borderId="115" xfId="6" applyNumberFormat="1" applyFont="1" applyBorder="1" applyProtection="1"/>
    <xf numFmtId="10" fontId="7" fillId="0" borderId="115" xfId="13" applyNumberFormat="1" applyFont="1" applyBorder="1" applyProtection="1"/>
    <xf numFmtId="165" fontId="7" fillId="0" borderId="115" xfId="13" applyNumberFormat="1" applyFont="1" applyBorder="1" applyProtection="1"/>
    <xf numFmtId="10" fontId="7" fillId="0" borderId="144" xfId="13" applyNumberFormat="1" applyFont="1" applyBorder="1" applyProtection="1"/>
    <xf numFmtId="43" fontId="7" fillId="0" borderId="0" xfId="6" applyNumberFormat="1" applyFont="1" applyProtection="1"/>
    <xf numFmtId="10" fontId="7" fillId="0" borderId="19" xfId="0" applyNumberFormat="1" applyFont="1" applyBorder="1"/>
    <xf numFmtId="38" fontId="7" fillId="7" borderId="54" xfId="6" applyNumberFormat="1" applyFont="1" applyFill="1" applyBorder="1" applyProtection="1"/>
    <xf numFmtId="38" fontId="7" fillId="7" borderId="54" xfId="5" applyNumberFormat="1" applyFont="1" applyFill="1" applyBorder="1" applyProtection="1"/>
    <xf numFmtId="10" fontId="7" fillId="6" borderId="54" xfId="6" applyNumberFormat="1" applyFont="1" applyFill="1" applyBorder="1" applyProtection="1"/>
    <xf numFmtId="10" fontId="7" fillId="6" borderId="52" xfId="6" applyNumberFormat="1" applyFont="1" applyFill="1" applyBorder="1" applyProtection="1"/>
    <xf numFmtId="10" fontId="7" fillId="6" borderId="54" xfId="13" applyNumberFormat="1" applyFont="1" applyFill="1" applyBorder="1" applyProtection="1"/>
    <xf numFmtId="10" fontId="7" fillId="6" borderId="52" xfId="13" applyNumberFormat="1" applyFont="1" applyFill="1" applyBorder="1" applyProtection="1"/>
    <xf numFmtId="41" fontId="7" fillId="0" borderId="54" xfId="5" applyNumberFormat="1" applyFont="1" applyBorder="1" applyProtection="1"/>
    <xf numFmtId="10" fontId="7" fillId="0" borderId="54" xfId="6" applyNumberFormat="1" applyFont="1" applyBorder="1" applyProtection="1"/>
    <xf numFmtId="10" fontId="7" fillId="0" borderId="54" xfId="13" applyNumberFormat="1" applyFont="1" applyBorder="1" applyProtection="1"/>
    <xf numFmtId="10" fontId="7" fillId="0" borderId="52" xfId="13" applyNumberFormat="1" applyFont="1" applyBorder="1" applyProtection="1"/>
    <xf numFmtId="38" fontId="7" fillId="0" borderId="31" xfId="6" applyNumberFormat="1" applyFont="1" applyBorder="1" applyProtection="1"/>
    <xf numFmtId="38" fontId="7" fillId="0" borderId="31" xfId="5" applyNumberFormat="1" applyFont="1" applyBorder="1" applyProtection="1"/>
    <xf numFmtId="10" fontId="7" fillId="0" borderId="31" xfId="13" applyNumberFormat="1" applyFont="1" applyBorder="1" applyProtection="1"/>
    <xf numFmtId="10" fontId="7" fillId="0" borderId="51" xfId="13" applyNumberFormat="1" applyFont="1" applyBorder="1" applyProtection="1"/>
    <xf numFmtId="38" fontId="7" fillId="3" borderId="54" xfId="13" applyNumberFormat="1" applyFont="1" applyFill="1" applyBorder="1" applyProtection="1"/>
    <xf numFmtId="38" fontId="7" fillId="3" borderId="54" xfId="5" applyNumberFormat="1" applyFont="1" applyFill="1" applyBorder="1" applyProtection="1"/>
    <xf numFmtId="10" fontId="7" fillId="3" borderId="54" xfId="13" applyNumberFormat="1" applyFont="1" applyFill="1" applyBorder="1" applyProtection="1"/>
    <xf numFmtId="38" fontId="7" fillId="3" borderId="54" xfId="6" applyNumberFormat="1" applyFont="1" applyFill="1" applyBorder="1" applyProtection="1"/>
    <xf numFmtId="10" fontId="7" fillId="3" borderId="52" xfId="13" applyNumberFormat="1" applyFont="1" applyFill="1" applyBorder="1" applyProtection="1"/>
    <xf numFmtId="0" fontId="0" fillId="0" borderId="212" xfId="0" applyBorder="1"/>
    <xf numFmtId="41" fontId="7" fillId="0" borderId="213" xfId="6" applyNumberFormat="1" applyFont="1" applyFill="1" applyBorder="1" applyAlignment="1" applyProtection="1">
      <alignment horizontal="center" wrapText="1"/>
    </xf>
    <xf numFmtId="10" fontId="7" fillId="0" borderId="26" xfId="13" applyNumberFormat="1" applyFont="1" applyBorder="1" applyProtection="1"/>
    <xf numFmtId="10" fontId="7" fillId="0" borderId="72" xfId="13" applyNumberFormat="1" applyFont="1" applyBorder="1" applyProtection="1"/>
    <xf numFmtId="5" fontId="7" fillId="0" borderId="0" xfId="6" applyFont="1" applyAlignment="1" applyProtection="1">
      <alignment horizontal="left"/>
    </xf>
    <xf numFmtId="10" fontId="7" fillId="0" borderId="0" xfId="13" applyNumberFormat="1" applyFont="1" applyProtection="1"/>
    <xf numFmtId="10" fontId="7" fillId="0" borderId="19" xfId="13" applyNumberFormat="1" applyFont="1" applyBorder="1" applyProtection="1"/>
    <xf numFmtId="0" fontId="7" fillId="0" borderId="0" xfId="0" applyFont="1" applyAlignment="1">
      <alignment horizontal="left"/>
    </xf>
    <xf numFmtId="43" fontId="7" fillId="0" borderId="0" xfId="0" applyNumberFormat="1" applyFont="1"/>
    <xf numFmtId="10" fontId="7" fillId="0" borderId="128" xfId="0" applyNumberFormat="1" applyFont="1" applyBorder="1"/>
    <xf numFmtId="10" fontId="7" fillId="0" borderId="54" xfId="0" applyNumberFormat="1" applyFont="1" applyBorder="1"/>
    <xf numFmtId="10" fontId="7" fillId="0" borderId="52" xfId="0" applyNumberFormat="1" applyFont="1" applyBorder="1"/>
    <xf numFmtId="10" fontId="7" fillId="0" borderId="77" xfId="13" applyNumberFormat="1" applyFont="1" applyBorder="1" applyProtection="1"/>
    <xf numFmtId="41" fontId="7" fillId="0" borderId="151" xfId="0" applyNumberFormat="1" applyFont="1" applyBorder="1"/>
    <xf numFmtId="10" fontId="7" fillId="0" borderId="11" xfId="13" applyNumberFormat="1" applyFont="1" applyBorder="1" applyProtection="1"/>
    <xf numFmtId="10" fontId="7" fillId="0" borderId="7" xfId="13" applyNumberFormat="1" applyFont="1" applyBorder="1" applyProtection="1"/>
    <xf numFmtId="10" fontId="7" fillId="0" borderId="71" xfId="13" applyNumberFormat="1" applyFont="1" applyBorder="1" applyProtection="1"/>
    <xf numFmtId="41" fontId="7" fillId="0" borderId="197" xfId="0" applyNumberFormat="1" applyFont="1" applyBorder="1"/>
    <xf numFmtId="10" fontId="7" fillId="0" borderId="214" xfId="13" applyNumberFormat="1" applyFont="1" applyBorder="1" applyProtection="1"/>
    <xf numFmtId="10" fontId="7" fillId="5" borderId="54" xfId="13" applyNumberFormat="1" applyFont="1" applyFill="1" applyBorder="1" applyProtection="1">
      <protection locked="0"/>
    </xf>
    <xf numFmtId="9" fontId="0" fillId="0" borderId="0" xfId="13" applyFont="1" applyProtection="1"/>
    <xf numFmtId="169" fontId="0" fillId="0" borderId="0" xfId="5" applyNumberFormat="1" applyFont="1" applyProtection="1"/>
    <xf numFmtId="165" fontId="0" fillId="0" borderId="0" xfId="1" applyNumberFormat="1" applyFont="1" applyAlignment="1" applyProtection="1">
      <alignment horizontal="right"/>
    </xf>
    <xf numFmtId="0" fontId="0" fillId="0" borderId="0" xfId="0" applyAlignment="1">
      <alignment horizontal="right"/>
    </xf>
    <xf numFmtId="9" fontId="12" fillId="0" borderId="0" xfId="13" applyFont="1" applyProtection="1"/>
    <xf numFmtId="0" fontId="0" fillId="0" borderId="215" xfId="0" applyBorder="1"/>
    <xf numFmtId="0" fontId="0" fillId="0" borderId="17" xfId="0" applyBorder="1"/>
    <xf numFmtId="0" fontId="0" fillId="0" borderId="14" xfId="0" applyBorder="1"/>
    <xf numFmtId="0" fontId="1" fillId="0" borderId="14" xfId="0" applyFont="1" applyBorder="1" applyAlignment="1">
      <alignment horizontal="center"/>
    </xf>
    <xf numFmtId="0" fontId="0" fillId="0" borderId="216" xfId="0" applyBorder="1" applyAlignment="1">
      <alignment horizontal="center"/>
    </xf>
    <xf numFmtId="0" fontId="0" fillId="0" borderId="217" xfId="0" applyBorder="1"/>
    <xf numFmtId="0" fontId="0" fillId="0" borderId="15" xfId="0" applyBorder="1"/>
    <xf numFmtId="49" fontId="1" fillId="0" borderId="15" xfId="0" applyNumberFormat="1" applyFont="1" applyBorder="1" applyAlignment="1">
      <alignment horizontal="center"/>
    </xf>
    <xf numFmtId="0" fontId="1" fillId="0" borderId="218" xfId="0" applyFont="1" applyBorder="1" applyAlignment="1">
      <alignment horizontal="center"/>
    </xf>
    <xf numFmtId="0" fontId="1" fillId="0" borderId="15" xfId="0" applyFont="1" applyBorder="1"/>
    <xf numFmtId="0" fontId="1" fillId="0" borderId="15"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0" fillId="0" borderId="218" xfId="0" applyBorder="1"/>
    <xf numFmtId="49" fontId="0" fillId="0" borderId="219" xfId="0" applyNumberFormat="1" applyBorder="1"/>
    <xf numFmtId="0" fontId="0" fillId="0" borderId="220" xfId="0" applyBorder="1"/>
    <xf numFmtId="41" fontId="0" fillId="0" borderId="4" xfId="0" applyNumberFormat="1" applyBorder="1"/>
    <xf numFmtId="49" fontId="0" fillId="0" borderId="221" xfId="0" applyNumberFormat="1" applyBorder="1"/>
    <xf numFmtId="0" fontId="0" fillId="0" borderId="222" xfId="0" applyBorder="1" applyAlignment="1">
      <alignment horizontal="left"/>
    </xf>
    <xf numFmtId="0" fontId="0" fillId="0" borderId="9" xfId="0" applyBorder="1" applyAlignment="1">
      <alignment horizontal="left"/>
    </xf>
    <xf numFmtId="0" fontId="0" fillId="0" borderId="223" xfId="0" applyBorder="1" applyAlignment="1">
      <alignment horizontal="left"/>
    </xf>
    <xf numFmtId="0" fontId="12" fillId="0" borderId="34" xfId="0" applyFont="1" applyBorder="1"/>
    <xf numFmtId="0" fontId="12" fillId="0" borderId="35" xfId="0" applyFont="1" applyBorder="1"/>
    <xf numFmtId="0" fontId="12" fillId="0" borderId="184" xfId="0" applyFont="1" applyBorder="1" applyAlignment="1">
      <alignment horizontal="center"/>
    </xf>
    <xf numFmtId="41" fontId="0" fillId="5" borderId="184" xfId="0" applyNumberFormat="1" applyFill="1" applyBorder="1" applyProtection="1">
      <protection locked="0"/>
    </xf>
    <xf numFmtId="41" fontId="0" fillId="5" borderId="8" xfId="0" applyNumberFormat="1" applyFill="1" applyBorder="1" applyProtection="1">
      <protection locked="0"/>
    </xf>
    <xf numFmtId="41" fontId="0" fillId="5" borderId="37" xfId="0" applyNumberFormat="1" applyFill="1" applyBorder="1" applyProtection="1">
      <protection locked="0"/>
    </xf>
    <xf numFmtId="41" fontId="12" fillId="0" borderId="224" xfId="0" applyNumberFormat="1" applyFont="1" applyBorder="1"/>
    <xf numFmtId="41" fontId="12" fillId="0" borderId="225" xfId="0" applyNumberFormat="1" applyFont="1" applyBorder="1"/>
    <xf numFmtId="41" fontId="12" fillId="0" borderId="226" xfId="0" applyNumberFormat="1" applyFont="1" applyBorder="1"/>
    <xf numFmtId="49" fontId="12" fillId="0" borderId="227" xfId="0" applyNumberFormat="1" applyFont="1" applyBorder="1" applyAlignment="1">
      <alignment horizontal="center" wrapText="1"/>
    </xf>
    <xf numFmtId="0" fontId="10" fillId="0" borderId="0" xfId="11" applyFont="1" applyAlignment="1">
      <alignment vertical="center"/>
    </xf>
    <xf numFmtId="41" fontId="7" fillId="0" borderId="228" xfId="0" applyNumberFormat="1" applyFont="1" applyBorder="1"/>
    <xf numFmtId="41" fontId="7" fillId="5" borderId="186" xfId="6" applyNumberFormat="1" applyFont="1" applyFill="1" applyBorder="1" applyProtection="1">
      <protection locked="0"/>
    </xf>
    <xf numFmtId="41" fontId="7" fillId="0" borderId="199" xfId="0" applyNumberFormat="1" applyFont="1" applyBorder="1"/>
    <xf numFmtId="10" fontId="7" fillId="0" borderId="229" xfId="13" applyNumberFormat="1" applyFont="1" applyBorder="1" applyProtection="1"/>
    <xf numFmtId="10" fontId="7" fillId="0" borderId="230" xfId="13" applyNumberFormat="1" applyFont="1" applyBorder="1" applyProtection="1"/>
    <xf numFmtId="10" fontId="7" fillId="0" borderId="195" xfId="13" applyNumberFormat="1" applyFont="1" applyBorder="1" applyProtection="1"/>
    <xf numFmtId="10" fontId="7" fillId="0" borderId="231" xfId="13" applyNumberFormat="1" applyFont="1" applyBorder="1" applyProtection="1"/>
    <xf numFmtId="5" fontId="7" fillId="0" borderId="0" xfId="6" applyFont="1" applyFill="1" applyBorder="1" applyAlignment="1" applyProtection="1">
      <alignment horizontal="left"/>
    </xf>
    <xf numFmtId="10" fontId="7" fillId="0" borderId="0" xfId="13" applyNumberFormat="1" applyFont="1" applyFill="1" applyBorder="1" applyProtection="1"/>
    <xf numFmtId="3" fontId="7" fillId="0" borderId="0" xfId="13" applyNumberFormat="1" applyFont="1" applyFill="1" applyBorder="1" applyProtection="1"/>
    <xf numFmtId="9" fontId="7" fillId="0" borderId="27" xfId="13" applyFont="1" applyBorder="1" applyProtection="1"/>
    <xf numFmtId="9" fontId="42" fillId="0" borderId="0" xfId="13" applyFont="1" applyAlignment="1" applyProtection="1">
      <alignment horizontal="left"/>
    </xf>
    <xf numFmtId="10" fontId="7" fillId="0" borderId="23" xfId="13" applyNumberFormat="1" applyFont="1" applyFill="1" applyBorder="1" applyProtection="1"/>
    <xf numFmtId="0" fontId="0" fillId="0" borderId="232" xfId="0" applyBorder="1"/>
    <xf numFmtId="10" fontId="7" fillId="0" borderId="17" xfId="0" applyNumberFormat="1" applyFont="1" applyBorder="1"/>
    <xf numFmtId="0" fontId="0" fillId="0" borderId="128" xfId="0" applyBorder="1"/>
    <xf numFmtId="10" fontId="7" fillId="0" borderId="7" xfId="13" applyNumberFormat="1" applyFont="1" applyFill="1" applyBorder="1" applyProtection="1"/>
    <xf numFmtId="10" fontId="7" fillId="0" borderId="111" xfId="13" applyNumberFormat="1" applyFont="1" applyFill="1" applyBorder="1" applyProtection="1"/>
    <xf numFmtId="10" fontId="7" fillId="0" borderId="113" xfId="13" applyNumberFormat="1" applyFont="1" applyFill="1" applyBorder="1" applyProtection="1"/>
    <xf numFmtId="10" fontId="7" fillId="0" borderId="233" xfId="13" applyNumberFormat="1" applyFont="1" applyFill="1" applyBorder="1" applyProtection="1"/>
    <xf numFmtId="10" fontId="7" fillId="0" borderId="234" xfId="13" applyNumberFormat="1" applyFont="1" applyFill="1" applyBorder="1" applyProtection="1"/>
    <xf numFmtId="10" fontId="7" fillId="0" borderId="26" xfId="13" applyNumberFormat="1" applyFont="1" applyFill="1" applyBorder="1" applyProtection="1"/>
    <xf numFmtId="10" fontId="7" fillId="0" borderId="195" xfId="13" applyNumberFormat="1" applyFont="1" applyFill="1" applyBorder="1" applyProtection="1"/>
    <xf numFmtId="10" fontId="7" fillId="0" borderId="235" xfId="13" applyNumberFormat="1" applyFont="1" applyFill="1" applyBorder="1" applyProtection="1"/>
    <xf numFmtId="10" fontId="7" fillId="0" borderId="54" xfId="13" applyNumberFormat="1" applyFont="1" applyFill="1" applyBorder="1" applyProtection="1"/>
    <xf numFmtId="41" fontId="7" fillId="0" borderId="150" xfId="0" applyNumberFormat="1" applyFont="1" applyBorder="1"/>
    <xf numFmtId="41" fontId="7" fillId="0" borderId="210" xfId="0" applyNumberFormat="1" applyFont="1" applyBorder="1"/>
    <xf numFmtId="10" fontId="7" fillId="5" borderId="54" xfId="0" applyNumberFormat="1" applyFont="1" applyFill="1" applyBorder="1" applyProtection="1">
      <protection locked="0"/>
    </xf>
    <xf numFmtId="10" fontId="7" fillId="0" borderId="0" xfId="6" applyNumberFormat="1" applyFont="1" applyFill="1" applyBorder="1"/>
    <xf numFmtId="5" fontId="7" fillId="0" borderId="0" xfId="6" applyFont="1" applyFill="1" applyBorder="1"/>
    <xf numFmtId="38" fontId="7" fillId="0" borderId="0" xfId="6" applyNumberFormat="1" applyFont="1" applyFill="1" applyBorder="1"/>
    <xf numFmtId="10" fontId="1" fillId="5" borderId="0" xfId="0" applyNumberFormat="1" applyFont="1" applyFill="1" applyAlignment="1" applyProtection="1">
      <alignment horizontal="center"/>
      <protection locked="0"/>
    </xf>
    <xf numFmtId="9" fontId="12" fillId="5" borderId="0" xfId="13" applyFont="1" applyFill="1" applyAlignment="1" applyProtection="1">
      <alignment horizontal="center"/>
      <protection locked="0"/>
    </xf>
    <xf numFmtId="41" fontId="7" fillId="0" borderId="185" xfId="2" applyNumberFormat="1" applyFont="1" applyFill="1" applyBorder="1" applyProtection="1"/>
    <xf numFmtId="10" fontId="7" fillId="0" borderId="22" xfId="13" applyNumberFormat="1" applyFont="1" applyFill="1" applyBorder="1" applyProtection="1"/>
    <xf numFmtId="10" fontId="7" fillId="0" borderId="0" xfId="13" applyNumberFormat="1" applyFont="1" applyBorder="1" applyProtection="1"/>
    <xf numFmtId="10" fontId="7" fillId="5" borderId="49" xfId="13" applyNumberFormat="1" applyFont="1" applyFill="1" applyBorder="1" applyProtection="1">
      <protection locked="0"/>
    </xf>
    <xf numFmtId="41" fontId="7" fillId="0" borderId="236" xfId="0" applyNumberFormat="1" applyFont="1" applyBorder="1"/>
    <xf numFmtId="41" fontId="7" fillId="0" borderId="237" xfId="0" applyNumberFormat="1" applyFont="1" applyBorder="1"/>
    <xf numFmtId="171" fontId="0" fillId="0" borderId="0" xfId="13" applyNumberFormat="1" applyFont="1" applyAlignment="1" applyProtection="1">
      <alignment horizontal="center"/>
    </xf>
    <xf numFmtId="171" fontId="12" fillId="0" borderId="0" xfId="13" applyNumberFormat="1" applyFont="1" applyAlignment="1" applyProtection="1">
      <alignment horizontal="center"/>
    </xf>
    <xf numFmtId="0" fontId="0" fillId="0" borderId="0" xfId="0" applyAlignment="1">
      <alignment horizontal="left" vertical="top"/>
    </xf>
    <xf numFmtId="38" fontId="6" fillId="0" borderId="0" xfId="6" applyNumberFormat="1" applyFont="1" applyProtection="1"/>
    <xf numFmtId="38" fontId="6" fillId="0" borderId="0" xfId="6" applyNumberFormat="1" applyFont="1" applyAlignment="1" applyProtection="1">
      <alignment horizontal="left"/>
    </xf>
    <xf numFmtId="0" fontId="7" fillId="0" borderId="238" xfId="0" applyFont="1" applyBorder="1"/>
    <xf numFmtId="0" fontId="7" fillId="0" borderId="239" xfId="0" applyFont="1" applyBorder="1"/>
    <xf numFmtId="0" fontId="7" fillId="0" borderId="240" xfId="0" applyFont="1" applyBorder="1" applyAlignment="1">
      <alignment horizontal="center"/>
    </xf>
    <xf numFmtId="10" fontId="7" fillId="0" borderId="240" xfId="0" applyNumberFormat="1" applyFont="1" applyBorder="1" applyAlignment="1">
      <alignment horizontal="center"/>
    </xf>
    <xf numFmtId="0" fontId="7" fillId="0" borderId="241" xfId="0" applyFont="1" applyBorder="1"/>
    <xf numFmtId="5" fontId="7" fillId="0" borderId="1" xfId="6" applyFont="1" applyBorder="1" applyProtection="1"/>
    <xf numFmtId="10" fontId="7" fillId="0" borderId="1" xfId="6" applyNumberFormat="1" applyFont="1" applyBorder="1" applyProtection="1"/>
    <xf numFmtId="10" fontId="7" fillId="0" borderId="242" xfId="6" applyNumberFormat="1" applyFont="1" applyBorder="1" applyProtection="1"/>
    <xf numFmtId="5" fontId="7" fillId="0" borderId="61" xfId="6" applyFont="1" applyBorder="1" applyProtection="1"/>
    <xf numFmtId="10" fontId="7" fillId="0" borderId="61" xfId="6" applyNumberFormat="1" applyFont="1" applyBorder="1" applyProtection="1"/>
    <xf numFmtId="10" fontId="7" fillId="0" borderId="137" xfId="6" applyNumberFormat="1" applyFont="1" applyBorder="1" applyProtection="1"/>
    <xf numFmtId="41" fontId="7" fillId="0" borderId="75" xfId="6" applyNumberFormat="1" applyFont="1" applyBorder="1" applyProtection="1"/>
    <xf numFmtId="41" fontId="7" fillId="0" borderId="106" xfId="5" applyNumberFormat="1" applyFont="1" applyBorder="1" applyProtection="1"/>
    <xf numFmtId="10" fontId="7" fillId="0" borderId="7" xfId="6" applyNumberFormat="1" applyFont="1" applyBorder="1" applyProtection="1"/>
    <xf numFmtId="10" fontId="7" fillId="0" borderId="71" xfId="6" applyNumberFormat="1" applyFont="1" applyBorder="1" applyProtection="1"/>
    <xf numFmtId="41" fontId="7" fillId="0" borderId="21" xfId="5" applyNumberFormat="1" applyFont="1" applyBorder="1" applyProtection="1"/>
    <xf numFmtId="10" fontId="7" fillId="0" borderId="21" xfId="13" applyNumberFormat="1" applyFont="1" applyBorder="1" applyProtection="1"/>
    <xf numFmtId="10" fontId="7" fillId="0" borderId="118" xfId="13" applyNumberFormat="1" applyFont="1" applyBorder="1" applyProtection="1"/>
    <xf numFmtId="41" fontId="7" fillId="0" borderId="76" xfId="13" applyNumberFormat="1" applyFont="1" applyBorder="1" applyProtection="1"/>
    <xf numFmtId="41" fontId="7" fillId="0" borderId="75" xfId="13" applyNumberFormat="1" applyFont="1" applyBorder="1" applyProtection="1"/>
    <xf numFmtId="41" fontId="7" fillId="0" borderId="106" xfId="6" applyNumberFormat="1" applyFont="1" applyBorder="1" applyProtection="1"/>
    <xf numFmtId="41" fontId="7" fillId="0" borderId="0" xfId="6" applyNumberFormat="1" applyFont="1" applyProtection="1"/>
    <xf numFmtId="41" fontId="7" fillId="0" borderId="116" xfId="6" applyNumberFormat="1" applyFont="1" applyBorder="1" applyProtection="1"/>
    <xf numFmtId="41" fontId="7" fillId="0" borderId="196" xfId="5" applyNumberFormat="1" applyFont="1" applyBorder="1" applyProtection="1"/>
    <xf numFmtId="10" fontId="7" fillId="0" borderId="26" xfId="6" applyNumberFormat="1" applyFont="1" applyBorder="1" applyProtection="1"/>
    <xf numFmtId="41" fontId="7" fillId="0" borderId="131" xfId="6" applyNumberFormat="1" applyFont="1" applyBorder="1" applyProtection="1"/>
    <xf numFmtId="10" fontId="7" fillId="0" borderId="131" xfId="13" applyNumberFormat="1" applyFont="1" applyBorder="1" applyProtection="1"/>
    <xf numFmtId="10" fontId="7" fillId="0" borderId="110" xfId="13" applyNumberFormat="1" applyFont="1" applyBorder="1" applyProtection="1"/>
    <xf numFmtId="5" fontId="7" fillId="0" borderId="0" xfId="6" applyFont="1" applyAlignment="1" applyProtection="1">
      <alignment horizontal="center"/>
    </xf>
    <xf numFmtId="10" fontId="7" fillId="0" borderId="0" xfId="6" applyNumberFormat="1" applyFont="1" applyAlignment="1" applyProtection="1">
      <alignment horizontal="center"/>
    </xf>
    <xf numFmtId="10" fontId="7" fillId="0" borderId="19" xfId="6" applyNumberFormat="1" applyFont="1" applyBorder="1" applyAlignment="1" applyProtection="1">
      <alignment horizontal="center"/>
    </xf>
    <xf numFmtId="5" fontId="7" fillId="0" borderId="22" xfId="6" applyFont="1" applyBorder="1" applyProtection="1"/>
    <xf numFmtId="5" fontId="7" fillId="0" borderId="22" xfId="6" applyFont="1" applyBorder="1" applyAlignment="1" applyProtection="1">
      <alignment horizontal="center"/>
    </xf>
    <xf numFmtId="10" fontId="7" fillId="0" borderId="22" xfId="6" applyNumberFormat="1" applyFont="1" applyBorder="1" applyAlignment="1" applyProtection="1">
      <alignment horizontal="center"/>
    </xf>
    <xf numFmtId="10" fontId="7" fillId="0" borderId="109" xfId="6" applyNumberFormat="1" applyFont="1" applyBorder="1" applyAlignment="1" applyProtection="1">
      <alignment horizontal="center"/>
    </xf>
    <xf numFmtId="41" fontId="7" fillId="0" borderId="146" xfId="6" applyNumberFormat="1" applyFont="1" applyBorder="1" applyProtection="1"/>
    <xf numFmtId="0" fontId="7" fillId="0" borderId="243" xfId="0" applyFont="1" applyBorder="1" applyAlignment="1">
      <alignment horizontal="center"/>
    </xf>
    <xf numFmtId="38" fontId="7" fillId="0" borderId="56" xfId="6" applyNumberFormat="1" applyFont="1" applyBorder="1" applyProtection="1"/>
    <xf numFmtId="10" fontId="7" fillId="0" borderId="56" xfId="6" applyNumberFormat="1" applyFont="1" applyBorder="1" applyProtection="1"/>
    <xf numFmtId="10" fontId="7" fillId="0" borderId="175" xfId="6" applyNumberFormat="1" applyFont="1" applyBorder="1" applyProtection="1"/>
    <xf numFmtId="42" fontId="7" fillId="0" borderId="133" xfId="6" applyNumberFormat="1" applyFont="1" applyBorder="1" applyProtection="1"/>
    <xf numFmtId="10" fontId="7" fillId="0" borderId="133" xfId="13" applyNumberFormat="1" applyFont="1" applyBorder="1" applyProtection="1"/>
    <xf numFmtId="10" fontId="7" fillId="0" borderId="134" xfId="13" applyNumberFormat="1" applyFont="1" applyBorder="1" applyProtection="1"/>
    <xf numFmtId="10" fontId="7" fillId="0" borderId="23" xfId="6" applyNumberFormat="1" applyFont="1" applyBorder="1" applyProtection="1"/>
    <xf numFmtId="10" fontId="7" fillId="0" borderId="114" xfId="6" applyNumberFormat="1" applyFont="1" applyBorder="1" applyProtection="1"/>
    <xf numFmtId="10" fontId="7" fillId="0" borderId="22" xfId="6" applyNumberFormat="1" applyFont="1" applyBorder="1" applyProtection="1"/>
    <xf numFmtId="10" fontId="7" fillId="0" borderId="109" xfId="6" applyNumberFormat="1" applyFont="1" applyBorder="1" applyProtection="1"/>
    <xf numFmtId="10" fontId="7" fillId="0" borderId="0" xfId="6" applyNumberFormat="1" applyFont="1" applyProtection="1"/>
    <xf numFmtId="10" fontId="7" fillId="0" borderId="19" xfId="6" applyNumberFormat="1" applyFont="1" applyBorder="1" applyProtection="1"/>
    <xf numFmtId="10" fontId="7" fillId="0" borderId="55" xfId="6" applyNumberFormat="1" applyFont="1" applyFill="1" applyBorder="1" applyProtection="1"/>
    <xf numFmtId="41" fontId="7" fillId="6" borderId="62" xfId="13" applyNumberFormat="1" applyFont="1" applyFill="1" applyBorder="1" applyProtection="1"/>
    <xf numFmtId="10" fontId="7" fillId="6" borderId="148" xfId="6" applyNumberFormat="1" applyFont="1" applyFill="1" applyBorder="1" applyProtection="1"/>
    <xf numFmtId="41" fontId="7" fillId="6" borderId="148" xfId="13" applyNumberFormat="1" applyFont="1" applyFill="1" applyBorder="1" applyProtection="1"/>
    <xf numFmtId="10" fontId="7" fillId="6" borderId="135" xfId="6" applyNumberFormat="1" applyFont="1" applyFill="1" applyBorder="1" applyProtection="1"/>
    <xf numFmtId="43" fontId="7" fillId="6" borderId="7" xfId="6" applyNumberFormat="1" applyFont="1" applyFill="1" applyBorder="1" applyProtection="1"/>
    <xf numFmtId="10" fontId="7" fillId="6" borderId="7" xfId="6" applyNumberFormat="1" applyFont="1" applyFill="1" applyBorder="1" applyProtection="1"/>
    <xf numFmtId="43" fontId="7" fillId="6" borderId="75" xfId="6" applyNumberFormat="1" applyFont="1" applyFill="1" applyBorder="1" applyProtection="1"/>
    <xf numFmtId="10" fontId="7" fillId="6" borderId="112" xfId="6" applyNumberFormat="1" applyFont="1" applyFill="1" applyBorder="1" applyProtection="1"/>
    <xf numFmtId="43" fontId="7" fillId="6" borderId="112" xfId="6" applyNumberFormat="1" applyFont="1" applyFill="1" applyBorder="1" applyProtection="1"/>
    <xf numFmtId="10" fontId="7" fillId="6" borderId="111" xfId="6" applyNumberFormat="1" applyFont="1" applyFill="1" applyBorder="1" applyProtection="1"/>
    <xf numFmtId="43" fontId="7" fillId="14" borderId="75" xfId="6" applyNumberFormat="1" applyFont="1" applyFill="1" applyBorder="1" applyProtection="1"/>
    <xf numFmtId="43" fontId="7" fillId="6" borderId="116" xfId="6" applyNumberFormat="1" applyFont="1" applyFill="1" applyBorder="1" applyProtection="1"/>
    <xf numFmtId="10" fontId="7" fillId="6" borderId="108" xfId="6" applyNumberFormat="1" applyFont="1" applyFill="1" applyBorder="1" applyProtection="1"/>
    <xf numFmtId="43" fontId="7" fillId="6" borderId="108" xfId="6" applyNumberFormat="1" applyFont="1" applyFill="1" applyBorder="1" applyProtection="1"/>
    <xf numFmtId="10" fontId="7" fillId="6" borderId="113" xfId="6" applyNumberFormat="1" applyFont="1" applyFill="1" applyBorder="1" applyProtection="1"/>
    <xf numFmtId="10" fontId="7" fillId="0" borderId="26" xfId="6" applyNumberFormat="1" applyFont="1" applyFill="1" applyBorder="1" applyProtection="1"/>
    <xf numFmtId="41" fontId="7" fillId="0" borderId="116" xfId="6" applyNumberFormat="1" applyFont="1" applyFill="1" applyBorder="1" applyProtection="1"/>
    <xf numFmtId="10" fontId="7" fillId="0" borderId="108" xfId="6" applyNumberFormat="1" applyFont="1" applyFill="1" applyBorder="1" applyProtection="1"/>
    <xf numFmtId="41" fontId="7" fillId="0" borderId="108" xfId="6" applyNumberFormat="1" applyFont="1" applyFill="1" applyBorder="1" applyProtection="1"/>
    <xf numFmtId="10" fontId="7" fillId="0" borderId="113" xfId="6" applyNumberFormat="1" applyFont="1" applyFill="1" applyBorder="1" applyProtection="1"/>
    <xf numFmtId="10" fontId="7" fillId="0" borderId="131" xfId="6" applyNumberFormat="1" applyFont="1" applyBorder="1" applyProtection="1"/>
    <xf numFmtId="10" fontId="7" fillId="0" borderId="110" xfId="6" applyNumberFormat="1" applyFont="1" applyBorder="1" applyProtection="1"/>
    <xf numFmtId="6" fontId="7" fillId="0" borderId="0" xfId="6" applyNumberFormat="1" applyFont="1" applyProtection="1"/>
    <xf numFmtId="5" fontId="7" fillId="0" borderId="27" xfId="6" applyFont="1" applyBorder="1" applyProtection="1"/>
    <xf numFmtId="5" fontId="7" fillId="0" borderId="30" xfId="6" applyFont="1" applyBorder="1" applyProtection="1"/>
    <xf numFmtId="10" fontId="7" fillId="0" borderId="30" xfId="6" applyNumberFormat="1" applyFont="1" applyBorder="1" applyProtection="1"/>
    <xf numFmtId="10" fontId="7" fillId="0" borderId="129" xfId="6" applyNumberFormat="1" applyFont="1" applyBorder="1" applyProtection="1"/>
    <xf numFmtId="10" fontId="7" fillId="0" borderId="21" xfId="6" applyNumberFormat="1" applyFont="1" applyBorder="1" applyProtection="1"/>
    <xf numFmtId="10" fontId="7" fillId="0" borderId="160" xfId="6" applyNumberFormat="1" applyFont="1" applyBorder="1" applyProtection="1"/>
    <xf numFmtId="10" fontId="7" fillId="6" borderId="160" xfId="13" applyNumberFormat="1" applyFont="1" applyFill="1" applyBorder="1" applyProtection="1"/>
    <xf numFmtId="10" fontId="7" fillId="6" borderId="161" xfId="13" applyNumberFormat="1" applyFont="1" applyFill="1" applyBorder="1" applyProtection="1"/>
    <xf numFmtId="9" fontId="1" fillId="0" borderId="0" xfId="13" applyFont="1" applyAlignment="1" applyProtection="1">
      <alignment horizontal="center"/>
    </xf>
    <xf numFmtId="0" fontId="6" fillId="0" borderId="0" xfId="0" applyFont="1" applyAlignment="1" applyProtection="1">
      <alignment horizontal="center"/>
      <protection locked="0"/>
    </xf>
    <xf numFmtId="10" fontId="6" fillId="0" borderId="0" xfId="0" applyNumberFormat="1" applyFont="1" applyAlignment="1" applyProtection="1">
      <alignment horizontal="right"/>
      <protection locked="0"/>
    </xf>
    <xf numFmtId="10" fontId="7" fillId="0" borderId="0" xfId="0" applyNumberFormat="1" applyFont="1" applyAlignment="1" applyProtection="1">
      <alignment horizontal="center"/>
      <protection locked="0"/>
    </xf>
    <xf numFmtId="10" fontId="7" fillId="0" borderId="0" xfId="6" applyNumberFormat="1" applyFont="1" applyFill="1" applyBorder="1" applyProtection="1">
      <protection locked="0"/>
    </xf>
    <xf numFmtId="10" fontId="7" fillId="0" borderId="0" xfId="13" applyNumberFormat="1" applyFont="1" applyFill="1" applyBorder="1" applyProtection="1">
      <protection locked="0"/>
    </xf>
    <xf numFmtId="10" fontId="7" fillId="0" borderId="0" xfId="6" applyNumberFormat="1" applyFont="1" applyFill="1" applyBorder="1" applyAlignment="1" applyProtection="1">
      <alignment horizontal="center"/>
      <protection locked="0"/>
    </xf>
    <xf numFmtId="10" fontId="0" fillId="0" borderId="0" xfId="0" applyNumberFormat="1" applyProtection="1">
      <protection locked="0"/>
    </xf>
    <xf numFmtId="0" fontId="4" fillId="0" borderId="49" xfId="0" applyFont="1" applyBorder="1"/>
    <xf numFmtId="10" fontId="7" fillId="4" borderId="112" xfId="13" applyNumberFormat="1" applyFont="1" applyFill="1" applyBorder="1" applyAlignment="1" applyProtection="1">
      <alignment horizontal="center"/>
      <protection locked="0"/>
    </xf>
    <xf numFmtId="10" fontId="7" fillId="4" borderId="112" xfId="6" applyNumberFormat="1" applyFont="1" applyFill="1" applyBorder="1" applyAlignment="1" applyProtection="1">
      <alignment horizontal="center"/>
      <protection locked="0"/>
    </xf>
    <xf numFmtId="10" fontId="7" fillId="10" borderId="112" xfId="13" applyNumberFormat="1" applyFont="1" applyFill="1" applyBorder="1" applyAlignment="1" applyProtection="1">
      <alignment horizontal="center"/>
      <protection locked="0"/>
    </xf>
    <xf numFmtId="42" fontId="7" fillId="5" borderId="112" xfId="13" applyNumberFormat="1" applyFont="1" applyFill="1" applyBorder="1" applyProtection="1">
      <protection locked="0"/>
    </xf>
    <xf numFmtId="42" fontId="7" fillId="5" borderId="112" xfId="6" applyNumberFormat="1" applyFont="1" applyFill="1" applyBorder="1" applyProtection="1">
      <protection locked="0"/>
    </xf>
    <xf numFmtId="14" fontId="4" fillId="5" borderId="49" xfId="0" applyNumberFormat="1" applyFont="1" applyFill="1" applyBorder="1" applyProtection="1">
      <protection locked="0"/>
    </xf>
    <xf numFmtId="169" fontId="7" fillId="6" borderId="112" xfId="13" applyNumberFormat="1" applyFont="1" applyFill="1" applyBorder="1"/>
    <xf numFmtId="169" fontId="7" fillId="6" borderId="112" xfId="6" applyNumberFormat="1" applyFont="1" applyFill="1" applyBorder="1"/>
    <xf numFmtId="10" fontId="7" fillId="6" borderId="112" xfId="13" applyNumberFormat="1" applyFont="1" applyFill="1" applyBorder="1"/>
    <xf numFmtId="10" fontId="7" fillId="6" borderId="111" xfId="13" applyNumberFormat="1" applyFont="1" applyFill="1" applyBorder="1"/>
    <xf numFmtId="44" fontId="7" fillId="0" borderId="112" xfId="13" applyNumberFormat="1" applyFont="1" applyBorder="1"/>
    <xf numFmtId="44" fontId="7" fillId="0" borderId="111" xfId="13" applyNumberFormat="1" applyFont="1" applyBorder="1"/>
    <xf numFmtId="0" fontId="0" fillId="0" borderId="49" xfId="0" applyBorder="1"/>
    <xf numFmtId="43" fontId="7" fillId="8" borderId="112" xfId="13" applyNumberFormat="1" applyFont="1" applyFill="1" applyBorder="1"/>
    <xf numFmtId="43" fontId="7" fillId="0" borderId="112" xfId="13" applyNumberFormat="1" applyFont="1" applyBorder="1"/>
    <xf numFmtId="2" fontId="7" fillId="0" borderId="112" xfId="13" applyNumberFormat="1" applyFont="1" applyBorder="1"/>
    <xf numFmtId="43" fontId="7" fillId="8" borderId="112" xfId="13" applyNumberFormat="1" applyFont="1" applyFill="1" applyBorder="1" applyAlignment="1">
      <alignment wrapText="1"/>
    </xf>
    <xf numFmtId="43" fontId="7" fillId="0" borderId="112" xfId="1" applyFont="1" applyBorder="1"/>
    <xf numFmtId="43" fontId="7" fillId="0" borderId="112" xfId="3" applyNumberFormat="1" applyFont="1" applyBorder="1"/>
    <xf numFmtId="38" fontId="7" fillId="5" borderId="49" xfId="0" applyNumberFormat="1" applyFont="1" applyFill="1" applyBorder="1" applyProtection="1">
      <protection locked="0"/>
    </xf>
    <xf numFmtId="37" fontId="7" fillId="5" borderId="112" xfId="1" applyNumberFormat="1" applyFont="1" applyFill="1" applyBorder="1" applyProtection="1">
      <protection locked="0"/>
    </xf>
    <xf numFmtId="0" fontId="0" fillId="0" borderId="125" xfId="0" applyBorder="1"/>
    <xf numFmtId="10" fontId="7" fillId="0" borderId="104" xfId="13" applyNumberFormat="1" applyFont="1" applyBorder="1"/>
    <xf numFmtId="10" fontId="7" fillId="5" borderId="112" xfId="13" applyNumberFormat="1" applyFont="1" applyFill="1" applyBorder="1" applyProtection="1">
      <protection locked="0"/>
    </xf>
    <xf numFmtId="2" fontId="7" fillId="5" borderId="54" xfId="6" applyNumberFormat="1" applyFont="1" applyFill="1" applyBorder="1" applyProtection="1">
      <protection locked="0"/>
    </xf>
    <xf numFmtId="2" fontId="7" fillId="5" borderId="112" xfId="13" applyNumberFormat="1" applyFont="1" applyFill="1" applyBorder="1" applyProtection="1">
      <protection locked="0"/>
    </xf>
    <xf numFmtId="2" fontId="7" fillId="0" borderId="111" xfId="13" applyNumberFormat="1" applyFont="1" applyBorder="1"/>
    <xf numFmtId="0" fontId="0" fillId="0" borderId="186" xfId="0" applyBorder="1"/>
    <xf numFmtId="2" fontId="7" fillId="5" borderId="153" xfId="6" applyNumberFormat="1" applyFont="1" applyFill="1" applyBorder="1" applyProtection="1">
      <protection locked="0"/>
    </xf>
    <xf numFmtId="2" fontId="7" fillId="5" borderId="54" xfId="7" applyNumberFormat="1" applyFont="1" applyFill="1" applyBorder="1" applyProtection="1">
      <protection locked="0"/>
    </xf>
    <xf numFmtId="42" fontId="7" fillId="5" borderId="54" xfId="7" applyNumberFormat="1" applyFont="1" applyFill="1" applyBorder="1" applyProtection="1">
      <protection locked="0"/>
    </xf>
    <xf numFmtId="10" fontId="7" fillId="5" borderId="54" xfId="6" applyNumberFormat="1" applyFont="1" applyFill="1" applyBorder="1" applyProtection="1">
      <protection locked="0"/>
    </xf>
    <xf numFmtId="10" fontId="7" fillId="0" borderId="200" xfId="13" applyNumberFormat="1" applyFont="1" applyBorder="1"/>
    <xf numFmtId="10" fontId="7" fillId="0" borderId="244" xfId="13" applyNumberFormat="1" applyFont="1" applyBorder="1"/>
    <xf numFmtId="42" fontId="7" fillId="5" borderId="54" xfId="6" applyNumberFormat="1" applyFont="1" applyFill="1" applyBorder="1" applyProtection="1">
      <protection locked="0"/>
    </xf>
    <xf numFmtId="10" fontId="7" fillId="0" borderId="148" xfId="13" applyNumberFormat="1" applyFont="1" applyBorder="1"/>
    <xf numFmtId="42" fontId="7" fillId="5" borderId="54" xfId="0" applyNumberFormat="1" applyFont="1" applyFill="1" applyBorder="1" applyProtection="1">
      <protection locked="0"/>
    </xf>
    <xf numFmtId="42" fontId="7" fillId="5" borderId="46" xfId="0" applyNumberFormat="1" applyFont="1" applyFill="1" applyBorder="1" applyProtection="1">
      <protection locked="0"/>
    </xf>
    <xf numFmtId="10" fontId="7" fillId="0" borderId="245" xfId="13" applyNumberFormat="1" applyFont="1" applyBorder="1"/>
    <xf numFmtId="10" fontId="7" fillId="0" borderId="246" xfId="13" applyNumberFormat="1" applyFont="1" applyBorder="1"/>
    <xf numFmtId="10" fontId="7" fillId="0" borderId="144" xfId="13" applyNumberFormat="1" applyFont="1" applyFill="1" applyBorder="1" applyProtection="1"/>
    <xf numFmtId="166" fontId="0" fillId="0" borderId="0" xfId="0" applyNumberFormat="1"/>
    <xf numFmtId="42" fontId="7" fillId="0" borderId="63" xfId="6" applyNumberFormat="1" applyFont="1" applyBorder="1"/>
    <xf numFmtId="41" fontId="7" fillId="0" borderId="187" xfId="0" applyNumberFormat="1" applyFont="1" applyBorder="1"/>
    <xf numFmtId="10" fontId="7" fillId="0" borderId="76" xfId="13" applyNumberFormat="1" applyFont="1" applyFill="1" applyBorder="1" applyProtection="1"/>
    <xf numFmtId="10" fontId="7" fillId="0" borderId="149" xfId="13" applyNumberFormat="1" applyFont="1" applyFill="1" applyBorder="1" applyProtection="1"/>
    <xf numFmtId="41" fontId="7" fillId="0" borderId="70" xfId="6" applyNumberFormat="1" applyFont="1" applyFill="1" applyBorder="1" applyProtection="1"/>
    <xf numFmtId="41" fontId="7" fillId="0" borderId="211" xfId="0" applyNumberFormat="1" applyFont="1" applyBorder="1"/>
    <xf numFmtId="41" fontId="7" fillId="0" borderId="84" xfId="6" applyNumberFormat="1" applyFont="1" applyFill="1" applyBorder="1" applyProtection="1"/>
    <xf numFmtId="37" fontId="7" fillId="0" borderId="0" xfId="0" applyNumberFormat="1" applyFont="1" applyAlignment="1">
      <alignment horizontal="center"/>
    </xf>
    <xf numFmtId="165" fontId="7" fillId="0" borderId="0" xfId="13" applyNumberFormat="1" applyFont="1" applyBorder="1"/>
    <xf numFmtId="0" fontId="1" fillId="0" borderId="119" xfId="0" applyFont="1" applyBorder="1"/>
    <xf numFmtId="43" fontId="7" fillId="0" borderId="0" xfId="6" applyNumberFormat="1" applyFont="1" applyBorder="1" applyProtection="1"/>
    <xf numFmtId="0" fontId="1" fillId="0" borderId="0" xfId="0" applyFont="1" applyAlignment="1" applyProtection="1">
      <alignment horizontal="left" vertical="top"/>
      <protection locked="0"/>
    </xf>
    <xf numFmtId="0" fontId="0" fillId="0" borderId="30" xfId="0" applyBorder="1" applyAlignment="1" applyProtection="1">
      <alignment horizontal="left" vertical="top"/>
      <protection locked="0"/>
    </xf>
    <xf numFmtId="170" fontId="7" fillId="5" borderId="54" xfId="0" applyNumberFormat="1" applyFont="1" applyFill="1" applyBorder="1" applyProtection="1">
      <protection locked="0"/>
    </xf>
    <xf numFmtId="41" fontId="7" fillId="0" borderId="32" xfId="2" applyNumberFormat="1" applyFont="1" applyFill="1" applyBorder="1" applyProtection="1"/>
    <xf numFmtId="41" fontId="7" fillId="0" borderId="51" xfId="2" applyNumberFormat="1" applyFont="1" applyBorder="1" applyProtection="1"/>
    <xf numFmtId="42" fontId="30" fillId="0" borderId="152" xfId="2" applyNumberFormat="1" applyFont="1" applyBorder="1" applyProtection="1"/>
    <xf numFmtId="41" fontId="7" fillId="0" borderId="52" xfId="2" applyNumberFormat="1" applyFont="1" applyFill="1" applyBorder="1" applyProtection="1"/>
    <xf numFmtId="41" fontId="7" fillId="0" borderId="86" xfId="2" applyNumberFormat="1" applyFont="1" applyBorder="1" applyProtection="1"/>
    <xf numFmtId="41" fontId="7" fillId="15" borderId="32" xfId="13" applyNumberFormat="1" applyFont="1" applyFill="1" applyBorder="1" applyProtection="1"/>
    <xf numFmtId="41" fontId="7" fillId="0" borderId="27" xfId="2" applyNumberFormat="1" applyFont="1" applyBorder="1" applyProtection="1"/>
    <xf numFmtId="41" fontId="30" fillId="0" borderId="4" xfId="2" applyNumberFormat="1" applyFont="1" applyBorder="1" applyProtection="1"/>
    <xf numFmtId="41" fontId="51" fillId="0" borderId="47" xfId="10" applyNumberFormat="1" applyFont="1" applyBorder="1"/>
    <xf numFmtId="0" fontId="52" fillId="0" borderId="0" xfId="0" applyFont="1"/>
    <xf numFmtId="41" fontId="42" fillId="0" borderId="0" xfId="0" applyNumberFormat="1" applyFont="1"/>
    <xf numFmtId="41" fontId="42" fillId="0" borderId="0" xfId="0" applyNumberFormat="1" applyFont="1" applyAlignment="1">
      <alignment horizontal="right"/>
    </xf>
    <xf numFmtId="42" fontId="42" fillId="0" borderId="0" xfId="0" applyNumberFormat="1" applyFont="1"/>
    <xf numFmtId="41" fontId="36" fillId="0" borderId="0" xfId="0" applyNumberFormat="1" applyFont="1"/>
    <xf numFmtId="42" fontId="36" fillId="0" borderId="42" xfId="0" applyNumberFormat="1" applyFont="1" applyBorder="1"/>
    <xf numFmtId="14" fontId="23" fillId="0" borderId="0" xfId="0" applyNumberFormat="1" applyFont="1"/>
    <xf numFmtId="0" fontId="53" fillId="0" borderId="0" xfId="0" applyFont="1"/>
    <xf numFmtId="0" fontId="54" fillId="0" borderId="0" xfId="0" applyFont="1" applyAlignment="1">
      <alignment horizontal="left"/>
    </xf>
    <xf numFmtId="0" fontId="54" fillId="0" borderId="4" xfId="0" applyFont="1" applyBorder="1"/>
    <xf numFmtId="0" fontId="54" fillId="0" borderId="5" xfId="11" applyFont="1" applyBorder="1" applyAlignment="1">
      <alignment vertical="center"/>
    </xf>
    <xf numFmtId="0" fontId="53" fillId="0" borderId="42" xfId="12" applyFont="1" applyBorder="1" applyAlignment="1">
      <alignment horizontal="right"/>
    </xf>
    <xf numFmtId="0" fontId="55" fillId="0" borderId="0" xfId="0" applyFont="1"/>
    <xf numFmtId="14" fontId="56" fillId="0" borderId="0" xfId="0" quotePrefix="1" applyNumberFormat="1" applyFont="1"/>
    <xf numFmtId="0" fontId="57" fillId="0" borderId="0" xfId="10" applyFont="1"/>
    <xf numFmtId="0" fontId="53" fillId="0" borderId="0" xfId="12" applyFont="1" applyAlignment="1">
      <alignment horizontal="right"/>
    </xf>
    <xf numFmtId="0" fontId="58" fillId="0" borderId="4" xfId="0" applyFont="1" applyBorder="1"/>
    <xf numFmtId="0" fontId="58" fillId="0" borderId="0" xfId="0" applyFont="1" applyAlignment="1">
      <alignment horizontal="left"/>
    </xf>
    <xf numFmtId="0" fontId="59" fillId="0" borderId="0" xfId="0" applyFont="1" applyAlignment="1">
      <alignment horizontal="left"/>
    </xf>
    <xf numFmtId="0" fontId="60" fillId="0" borderId="0" xfId="0" applyFont="1"/>
    <xf numFmtId="0" fontId="54" fillId="0" borderId="68" xfId="0" applyFont="1" applyBorder="1"/>
    <xf numFmtId="0" fontId="54" fillId="0" borderId="247" xfId="0" applyFont="1" applyBorder="1"/>
    <xf numFmtId="10" fontId="7" fillId="0" borderId="19" xfId="13" applyNumberFormat="1" applyFont="1" applyFill="1" applyBorder="1" applyProtection="1"/>
    <xf numFmtId="49" fontId="7" fillId="5" borderId="31" xfId="13" applyNumberFormat="1" applyFont="1" applyFill="1" applyBorder="1" applyProtection="1">
      <protection locked="0"/>
    </xf>
    <xf numFmtId="49" fontId="7" fillId="5" borderId="31" xfId="13" applyNumberFormat="1" applyFont="1" applyFill="1" applyBorder="1" applyAlignment="1" applyProtection="1">
      <alignment horizontal="left" vertical="top"/>
      <protection locked="0"/>
    </xf>
    <xf numFmtId="49" fontId="7" fillId="5" borderId="176" xfId="13" applyNumberFormat="1" applyFont="1" applyFill="1" applyBorder="1" applyProtection="1">
      <protection locked="0"/>
    </xf>
    <xf numFmtId="49" fontId="7" fillId="5" borderId="176" xfId="13" applyNumberFormat="1" applyFont="1" applyFill="1" applyBorder="1" applyAlignment="1" applyProtection="1">
      <alignment horizontal="left" vertical="top"/>
      <protection locked="0"/>
    </xf>
    <xf numFmtId="41" fontId="7" fillId="5" borderId="52" xfId="10" quotePrefix="1" applyNumberFormat="1" applyFont="1" applyFill="1" applyBorder="1" applyAlignment="1" applyProtection="1">
      <alignment horizontal="center"/>
      <protection locked="0"/>
    </xf>
    <xf numFmtId="0" fontId="19" fillId="0" borderId="0" xfId="0" applyFont="1"/>
    <xf numFmtId="0" fontId="19" fillId="0" borderId="0" xfId="0" applyFont="1" applyAlignment="1">
      <alignment horizontal="center"/>
    </xf>
    <xf numFmtId="173" fontId="4" fillId="0" borderId="0" xfId="0" applyNumberFormat="1" applyFont="1" applyAlignment="1">
      <alignment horizontal="center"/>
    </xf>
    <xf numFmtId="44" fontId="4" fillId="0" borderId="0" xfId="0" applyNumberFormat="1" applyFont="1"/>
    <xf numFmtId="38" fontId="4" fillId="0" borderId="0" xfId="0" applyNumberFormat="1" applyFont="1"/>
    <xf numFmtId="37" fontId="4" fillId="0" borderId="0" xfId="0" applyNumberFormat="1" applyFont="1"/>
    <xf numFmtId="10" fontId="4" fillId="0" borderId="0" xfId="13" applyNumberFormat="1" applyFont="1" applyProtection="1"/>
    <xf numFmtId="41" fontId="4" fillId="0" borderId="0" xfId="0" applyNumberFormat="1" applyFont="1"/>
    <xf numFmtId="42" fontId="4" fillId="0" borderId="0" xfId="0" applyNumberFormat="1" applyFont="1"/>
    <xf numFmtId="2" fontId="4" fillId="0" borderId="0" xfId="0" applyNumberFormat="1" applyFont="1"/>
    <xf numFmtId="10" fontId="4" fillId="0" borderId="0" xfId="0" applyNumberFormat="1" applyFont="1"/>
    <xf numFmtId="171" fontId="4" fillId="0" borderId="0" xfId="13" applyNumberFormat="1" applyFont="1" applyProtection="1"/>
    <xf numFmtId="0" fontId="4" fillId="0" borderId="86" xfId="0" applyFont="1" applyBorder="1"/>
    <xf numFmtId="0" fontId="4" fillId="0" borderId="0" xfId="0" applyFont="1" applyAlignment="1">
      <alignment horizontal="left"/>
    </xf>
    <xf numFmtId="0" fontId="47" fillId="0" borderId="0" xfId="0" applyFont="1"/>
    <xf numFmtId="44" fontId="4" fillId="0" borderId="0" xfId="13" applyNumberFormat="1" applyFont="1" applyProtection="1"/>
    <xf numFmtId="9" fontId="4" fillId="0" borderId="0" xfId="13" applyFont="1" applyProtection="1"/>
    <xf numFmtId="44" fontId="4" fillId="0" borderId="0" xfId="0" applyNumberFormat="1" applyFont="1" applyAlignment="1">
      <alignment horizontal="center"/>
    </xf>
    <xf numFmtId="44" fontId="47" fillId="0" borderId="0" xfId="0" applyNumberFormat="1" applyFont="1" applyAlignment="1">
      <alignment horizontal="center"/>
    </xf>
    <xf numFmtId="168" fontId="4" fillId="0" borderId="0" xfId="13" applyNumberFormat="1" applyFont="1" applyProtection="1"/>
    <xf numFmtId="170" fontId="4" fillId="0" borderId="0" xfId="13" applyNumberFormat="1" applyFont="1" applyBorder="1"/>
    <xf numFmtId="170" fontId="4" fillId="0" borderId="0" xfId="13" applyNumberFormat="1" applyFont="1" applyProtection="1"/>
    <xf numFmtId="170" fontId="4" fillId="0" borderId="0" xfId="0" applyNumberFormat="1" applyFont="1"/>
    <xf numFmtId="4" fontId="4" fillId="0" borderId="0" xfId="0" applyNumberFormat="1" applyFont="1"/>
    <xf numFmtId="170" fontId="4" fillId="0" borderId="0" xfId="13" applyNumberFormat="1" applyFont="1"/>
    <xf numFmtId="10" fontId="1" fillId="0" borderId="0" xfId="0" applyNumberFormat="1" applyFont="1" applyAlignment="1">
      <alignment horizontal="center"/>
    </xf>
    <xf numFmtId="0" fontId="8" fillId="0" borderId="30" xfId="0" applyFont="1" applyBorder="1"/>
    <xf numFmtId="41" fontId="4" fillId="0" borderId="32" xfId="13" applyNumberFormat="1" applyFont="1" applyBorder="1"/>
    <xf numFmtId="0" fontId="4" fillId="0" borderId="32" xfId="0" applyFont="1" applyBorder="1"/>
    <xf numFmtId="0" fontId="4" fillId="0" borderId="119" xfId="0" applyFont="1" applyBorder="1"/>
    <xf numFmtId="41" fontId="4" fillId="0" borderId="32" xfId="0" applyNumberFormat="1" applyFont="1" applyBorder="1"/>
    <xf numFmtId="41" fontId="7" fillId="0" borderId="213" xfId="7" applyNumberFormat="1" applyFont="1" applyFill="1" applyBorder="1" applyAlignment="1" applyProtection="1">
      <alignment horizontal="center" wrapText="1"/>
    </xf>
    <xf numFmtId="41" fontId="7" fillId="0" borderId="0" xfId="7" applyNumberFormat="1" applyFont="1" applyFill="1" applyBorder="1" applyAlignment="1" applyProtection="1">
      <alignment horizontal="center" wrapText="1"/>
    </xf>
    <xf numFmtId="0" fontId="5" fillId="0" borderId="0" xfId="0" applyFont="1"/>
    <xf numFmtId="10" fontId="7" fillId="0" borderId="11" xfId="13" applyNumberFormat="1" applyFont="1" applyFill="1" applyBorder="1" applyProtection="1"/>
    <xf numFmtId="41" fontId="7" fillId="5" borderId="260" xfId="6" applyNumberFormat="1" applyFont="1" applyFill="1" applyBorder="1" applyProtection="1">
      <protection locked="0"/>
    </xf>
    <xf numFmtId="10" fontId="7" fillId="0" borderId="140" xfId="13" applyNumberFormat="1" applyFont="1" applyFill="1" applyBorder="1" applyProtection="1"/>
    <xf numFmtId="41" fontId="7" fillId="10" borderId="32" xfId="13" applyNumberFormat="1" applyFont="1" applyFill="1" applyBorder="1" applyProtection="1">
      <protection locked="0"/>
    </xf>
    <xf numFmtId="41" fontId="61" fillId="0" borderId="0" xfId="0" applyNumberFormat="1" applyFont="1"/>
    <xf numFmtId="42" fontId="30" fillId="12" borderId="152" xfId="2" applyNumberFormat="1" applyFont="1" applyFill="1" applyBorder="1"/>
    <xf numFmtId="0" fontId="6" fillId="0" borderId="90" xfId="10" applyFont="1" applyBorder="1"/>
    <xf numFmtId="0" fontId="61" fillId="0" borderId="0" xfId="0" applyFont="1"/>
    <xf numFmtId="41" fontId="7" fillId="0" borderId="154" xfId="6" applyNumberFormat="1" applyFont="1" applyFill="1" applyBorder="1" applyProtection="1"/>
    <xf numFmtId="0" fontId="7" fillId="0" borderId="172" xfId="0" applyFont="1" applyBorder="1" applyAlignment="1">
      <alignment horizontal="center"/>
    </xf>
    <xf numFmtId="41" fontId="7" fillId="10" borderId="60" xfId="6" applyNumberFormat="1" applyFont="1" applyFill="1" applyBorder="1" applyProtection="1">
      <protection locked="0"/>
    </xf>
    <xf numFmtId="41" fontId="7" fillId="7" borderId="106" xfId="6" applyNumberFormat="1" applyFont="1" applyFill="1" applyBorder="1"/>
    <xf numFmtId="41" fontId="7" fillId="10" borderId="146" xfId="6" applyNumberFormat="1" applyFont="1" applyFill="1" applyBorder="1" applyProtection="1">
      <protection locked="0"/>
    </xf>
    <xf numFmtId="41" fontId="7" fillId="0" borderId="261" xfId="6" applyNumberFormat="1" applyFont="1" applyBorder="1"/>
    <xf numFmtId="41" fontId="7" fillId="0" borderId="60" xfId="6" applyNumberFormat="1" applyFont="1" applyBorder="1"/>
    <xf numFmtId="41" fontId="7" fillId="6" borderId="261" xfId="6" applyNumberFormat="1" applyFont="1" applyFill="1" applyBorder="1"/>
    <xf numFmtId="0" fontId="7" fillId="0" borderId="21" xfId="0" applyFont="1" applyBorder="1" applyAlignment="1">
      <alignment horizontal="center"/>
    </xf>
    <xf numFmtId="41" fontId="7" fillId="0" borderId="148" xfId="6" applyNumberFormat="1" applyFont="1" applyBorder="1" applyProtection="1"/>
    <xf numFmtId="41" fontId="7" fillId="6" borderId="261" xfId="6" applyNumberFormat="1" applyFont="1" applyFill="1" applyBorder="1" applyProtection="1"/>
    <xf numFmtId="41" fontId="7" fillId="0" borderId="60" xfId="7" applyNumberFormat="1" applyFont="1" applyBorder="1"/>
    <xf numFmtId="38" fontId="7" fillId="6" borderId="74" xfId="7" applyNumberFormat="1" applyFont="1" applyFill="1" applyBorder="1"/>
    <xf numFmtId="38" fontId="7" fillId="6" borderId="162" xfId="7" applyNumberFormat="1" applyFont="1" applyFill="1" applyBorder="1"/>
    <xf numFmtId="38" fontId="7" fillId="6" borderId="261" xfId="6" applyNumberFormat="1" applyFont="1" applyFill="1" applyBorder="1"/>
    <xf numFmtId="41" fontId="30" fillId="12" borderId="4" xfId="2" applyNumberFormat="1" applyFont="1" applyFill="1" applyBorder="1"/>
    <xf numFmtId="42" fontId="64" fillId="0" borderId="130" xfId="2" applyNumberFormat="1" applyFont="1" applyBorder="1"/>
    <xf numFmtId="41" fontId="64" fillId="0" borderId="47" xfId="10" applyNumberFormat="1" applyFont="1" applyBorder="1"/>
    <xf numFmtId="41" fontId="64" fillId="0" borderId="47" xfId="2" applyNumberFormat="1" applyFont="1" applyBorder="1"/>
    <xf numFmtId="42" fontId="64" fillId="0" borderId="130" xfId="10" applyNumberFormat="1" applyFont="1" applyBorder="1"/>
    <xf numFmtId="41" fontId="30" fillId="12" borderId="0" xfId="2" applyNumberFormat="1" applyFont="1" applyFill="1" applyBorder="1"/>
    <xf numFmtId="41" fontId="30" fillId="12" borderId="8" xfId="2" applyNumberFormat="1" applyFont="1" applyFill="1" applyBorder="1"/>
    <xf numFmtId="0" fontId="65" fillId="0" borderId="0" xfId="0" applyFont="1"/>
    <xf numFmtId="41" fontId="7" fillId="0" borderId="52" xfId="10" quotePrefix="1" applyNumberFormat="1" applyFont="1" applyBorder="1" applyAlignment="1">
      <alignment horizontal="center"/>
    </xf>
    <xf numFmtId="41" fontId="7" fillId="0" borderId="31" xfId="10" quotePrefix="1" applyNumberFormat="1" applyFont="1" applyBorder="1" applyAlignment="1">
      <alignment horizontal="center"/>
    </xf>
    <xf numFmtId="41" fontId="7" fillId="0" borderId="31" xfId="10" applyNumberFormat="1" applyFont="1" applyBorder="1" applyAlignment="1">
      <alignment horizontal="center"/>
    </xf>
    <xf numFmtId="0" fontId="1" fillId="0" borderId="0" xfId="0" applyFont="1" applyAlignment="1">
      <alignment horizontal="right"/>
    </xf>
    <xf numFmtId="41" fontId="0" fillId="0" borderId="42" xfId="0" applyNumberFormat="1" applyBorder="1"/>
    <xf numFmtId="41" fontId="7" fillId="12" borderId="75" xfId="7" applyNumberFormat="1" applyFont="1" applyFill="1" applyBorder="1"/>
    <xf numFmtId="41" fontId="7" fillId="12" borderId="7" xfId="7" applyNumberFormat="1" applyFont="1" applyFill="1" applyBorder="1"/>
    <xf numFmtId="10" fontId="7" fillId="12" borderId="7" xfId="13" applyNumberFormat="1" applyFont="1" applyFill="1" applyBorder="1"/>
    <xf numFmtId="10" fontId="7" fillId="12" borderId="71" xfId="13" applyNumberFormat="1" applyFont="1" applyFill="1" applyBorder="1"/>
    <xf numFmtId="41" fontId="7" fillId="12" borderId="26" xfId="7" applyNumberFormat="1" applyFont="1" applyFill="1" applyBorder="1"/>
    <xf numFmtId="10" fontId="7" fillId="12" borderId="26" xfId="13" applyNumberFormat="1" applyFont="1" applyFill="1" applyBorder="1"/>
    <xf numFmtId="10" fontId="7" fillId="12" borderId="72" xfId="13" applyNumberFormat="1" applyFont="1" applyFill="1" applyBorder="1"/>
    <xf numFmtId="44" fontId="30" fillId="0" borderId="152" xfId="2" applyNumberFormat="1" applyFont="1" applyBorder="1" applyProtection="1"/>
    <xf numFmtId="0" fontId="66" fillId="0" borderId="0" xfId="0" applyFont="1"/>
    <xf numFmtId="0" fontId="67" fillId="0" borderId="0" xfId="0" applyFont="1" applyAlignment="1">
      <alignment horizontal="right"/>
    </xf>
    <xf numFmtId="0" fontId="60" fillId="0" borderId="0" xfId="0" applyFont="1" applyAlignment="1">
      <alignment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right" vertical="top"/>
    </xf>
    <xf numFmtId="0" fontId="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wrapText="1"/>
    </xf>
    <xf numFmtId="0" fontId="24" fillId="0" borderId="0" xfId="0" applyFont="1" applyAlignment="1">
      <alignment horizontal="left" vertical="center"/>
    </xf>
    <xf numFmtId="0" fontId="24" fillId="0" borderId="0" xfId="0" applyFont="1" applyAlignment="1">
      <alignment horizontal="left"/>
    </xf>
    <xf numFmtId="0" fontId="48" fillId="0" borderId="0" xfId="8" applyAlignment="1">
      <alignment horizontal="left"/>
    </xf>
    <xf numFmtId="0" fontId="6" fillId="0" borderId="0" xfId="11" applyFont="1" applyAlignment="1">
      <alignment horizontal="left" vertical="center"/>
    </xf>
    <xf numFmtId="1" fontId="6" fillId="0" borderId="0" xfId="11" applyNumberFormat="1" applyFont="1" applyAlignment="1">
      <alignment horizontal="left" vertical="center"/>
    </xf>
    <xf numFmtId="15" fontId="1" fillId="0" borderId="0" xfId="0" applyNumberFormat="1" applyFont="1" applyAlignment="1">
      <alignment horizontal="left"/>
    </xf>
    <xf numFmtId="0" fontId="3" fillId="5" borderId="27" xfId="12" applyFont="1" applyFill="1" applyBorder="1" applyAlignment="1" applyProtection="1">
      <alignment horizontal="left"/>
      <protection locked="0"/>
    </xf>
    <xf numFmtId="0" fontId="3" fillId="0" borderId="0" xfId="12" applyFont="1" applyAlignment="1">
      <alignment horizontal="left" vertical="center" wrapText="1"/>
    </xf>
    <xf numFmtId="0" fontId="3" fillId="0" borderId="27" xfId="12" applyFont="1" applyBorder="1" applyAlignment="1">
      <alignment horizontal="left"/>
    </xf>
    <xf numFmtId="0" fontId="0" fillId="0" borderId="27" xfId="0" applyBorder="1" applyAlignment="1">
      <alignment horizontal="left"/>
    </xf>
    <xf numFmtId="0" fontId="3" fillId="5" borderId="27" xfId="12" applyFont="1" applyFill="1" applyBorder="1" applyAlignment="1" applyProtection="1">
      <alignment horizontal="left" wrapText="1"/>
      <protection locked="0"/>
    </xf>
    <xf numFmtId="0" fontId="0" fillId="5" borderId="27" xfId="0" applyFill="1" applyBorder="1" applyAlignment="1" applyProtection="1">
      <alignment horizontal="left"/>
      <protection locked="0"/>
    </xf>
    <xf numFmtId="14" fontId="3" fillId="0" borderId="27" xfId="12" applyNumberFormat="1" applyFont="1" applyBorder="1" applyAlignment="1">
      <alignment horizontal="left"/>
    </xf>
    <xf numFmtId="0" fontId="23" fillId="0" borderId="0" xfId="12" applyFont="1" applyAlignment="1">
      <alignment wrapText="1"/>
    </xf>
    <xf numFmtId="1" fontId="28" fillId="5" borderId="31" xfId="0" applyNumberFormat="1" applyFont="1" applyFill="1" applyBorder="1" applyAlignment="1" applyProtection="1">
      <alignment horizontal="left"/>
      <protection locked="0"/>
    </xf>
    <xf numFmtId="0" fontId="48" fillId="5" borderId="27" xfId="8" applyFill="1" applyBorder="1" applyAlignment="1" applyProtection="1">
      <alignment horizontal="left" wrapText="1"/>
      <protection locked="0"/>
    </xf>
    <xf numFmtId="164" fontId="7" fillId="0" borderId="31" xfId="11" applyNumberFormat="1" applyFont="1" applyBorder="1" applyAlignment="1">
      <alignment horizontal="left" vertical="center"/>
    </xf>
    <xf numFmtId="164" fontId="7" fillId="0" borderId="51" xfId="11" applyNumberFormat="1" applyFont="1" applyBorder="1" applyAlignment="1">
      <alignment horizontal="left" vertical="center"/>
    </xf>
    <xf numFmtId="0" fontId="7" fillId="0" borderId="32" xfId="11" applyFont="1" applyBorder="1" applyAlignment="1">
      <alignment vertical="center"/>
    </xf>
    <xf numFmtId="0" fontId="7" fillId="0" borderId="31" xfId="11" applyFont="1" applyBorder="1" applyAlignment="1">
      <alignment vertical="center"/>
    </xf>
    <xf numFmtId="0" fontId="7" fillId="0" borderId="51" xfId="11" applyFont="1" applyBorder="1" applyAlignment="1">
      <alignment vertical="center"/>
    </xf>
    <xf numFmtId="0" fontId="6" fillId="0" borderId="152" xfId="11" applyFont="1" applyBorder="1" applyAlignment="1">
      <alignment vertical="center"/>
    </xf>
    <xf numFmtId="0" fontId="6" fillId="0" borderId="84" xfId="11" applyFont="1" applyBorder="1" applyAlignment="1">
      <alignment vertical="center"/>
    </xf>
    <xf numFmtId="0" fontId="6" fillId="0" borderId="120" xfId="11" applyFont="1" applyBorder="1" applyAlignment="1">
      <alignment vertical="center"/>
    </xf>
    <xf numFmtId="0" fontId="7" fillId="0" borderId="31" xfId="0" applyFont="1" applyBorder="1"/>
    <xf numFmtId="0" fontId="7" fillId="0" borderId="51" xfId="0" applyFont="1" applyBorder="1"/>
    <xf numFmtId="0" fontId="6" fillId="0" borderId="9" xfId="11" applyFont="1" applyBorder="1" applyAlignment="1">
      <alignment horizontal="left" vertical="center"/>
    </xf>
    <xf numFmtId="0" fontId="6" fillId="0" borderId="18" xfId="11" applyFont="1" applyBorder="1" applyAlignment="1">
      <alignment horizontal="left" vertical="center"/>
    </xf>
    <xf numFmtId="37" fontId="6" fillId="0" borderId="0" xfId="11" quotePrefix="1" applyNumberFormat="1" applyFont="1" applyAlignment="1">
      <alignment horizontal="center" vertical="center"/>
    </xf>
    <xf numFmtId="0" fontId="6" fillId="0" borderId="96" xfId="0" quotePrefix="1" applyFont="1" applyBorder="1" applyAlignment="1">
      <alignment horizontal="center" wrapText="1"/>
    </xf>
    <xf numFmtId="0" fontId="6" fillId="0" borderId="98" xfId="0" quotePrefix="1" applyFont="1" applyBorder="1" applyAlignment="1">
      <alignment horizontal="center" wrapText="1"/>
    </xf>
    <xf numFmtId="0" fontId="6" fillId="0" borderId="96" xfId="0" quotePrefix="1" applyFont="1" applyBorder="1" applyAlignment="1">
      <alignment horizontal="center"/>
    </xf>
    <xf numFmtId="0" fontId="6" fillId="0" borderId="97" xfId="0" quotePrefix="1" applyFont="1" applyBorder="1" applyAlignment="1">
      <alignment horizontal="center"/>
    </xf>
    <xf numFmtId="0" fontId="6" fillId="0" borderId="98" xfId="0" quotePrefix="1" applyFont="1" applyBorder="1" applyAlignment="1">
      <alignment horizontal="center"/>
    </xf>
    <xf numFmtId="0" fontId="6" fillId="0" borderId="96" xfId="0" applyFont="1" applyBorder="1" applyAlignment="1">
      <alignment horizontal="center"/>
    </xf>
    <xf numFmtId="0" fontId="6" fillId="0" borderId="97" xfId="0" applyFont="1" applyBorder="1" applyAlignment="1">
      <alignment horizontal="center"/>
    </xf>
    <xf numFmtId="0" fontId="6" fillId="0" borderId="99" xfId="0" applyFont="1" applyBorder="1" applyAlignment="1">
      <alignment horizontal="center"/>
    </xf>
    <xf numFmtId="0" fontId="6" fillId="0" borderId="0" xfId="0" applyFont="1" applyAlignment="1">
      <alignment horizontal="left" vertical="top" wrapText="1"/>
    </xf>
    <xf numFmtId="9" fontId="7" fillId="0" borderId="10" xfId="0" applyNumberFormat="1" applyFont="1" applyBorder="1" applyAlignment="1">
      <alignment horizontal="center" vertical="center"/>
    </xf>
    <xf numFmtId="9" fontId="7" fillId="0" borderId="4" xfId="0" applyNumberFormat="1" applyFont="1" applyBorder="1" applyAlignment="1">
      <alignment horizontal="center" vertical="center"/>
    </xf>
    <xf numFmtId="0" fontId="7" fillId="0" borderId="32" xfId="11" applyFont="1" applyBorder="1" applyAlignment="1">
      <alignment vertical="center" wrapText="1"/>
    </xf>
    <xf numFmtId="0" fontId="7" fillId="0" borderId="31" xfId="11" applyFont="1" applyBorder="1" applyAlignment="1">
      <alignment vertical="center" wrapText="1"/>
    </xf>
    <xf numFmtId="0" fontId="7" fillId="0" borderId="51" xfId="11" applyFont="1" applyBorder="1" applyAlignment="1">
      <alignment vertical="center" wrapText="1"/>
    </xf>
    <xf numFmtId="37" fontId="19" fillId="0" borderId="94" xfId="11" applyNumberFormat="1" applyFont="1" applyBorder="1" applyAlignment="1">
      <alignment horizontal="center" wrapText="1"/>
    </xf>
    <xf numFmtId="37" fontId="19" fillId="0" borderId="44" xfId="11" applyNumberFormat="1" applyFont="1" applyBorder="1" applyAlignment="1">
      <alignment horizontal="center" wrapText="1"/>
    </xf>
    <xf numFmtId="37" fontId="19" fillId="0" borderId="132" xfId="11" applyNumberFormat="1" applyFont="1" applyBorder="1" applyAlignment="1">
      <alignment horizontal="center" wrapText="1"/>
    </xf>
    <xf numFmtId="37" fontId="19" fillId="0" borderId="248" xfId="11" applyNumberFormat="1" applyFont="1" applyBorder="1" applyAlignment="1">
      <alignment horizontal="center" wrapText="1"/>
    </xf>
    <xf numFmtId="0" fontId="6" fillId="0" borderId="8" xfId="11" applyFont="1" applyBorder="1" applyAlignment="1">
      <alignment horizontal="left" vertical="center" wrapText="1"/>
    </xf>
    <xf numFmtId="0" fontId="6" fillId="0" borderId="9" xfId="11" applyFont="1" applyBorder="1" applyAlignment="1">
      <alignment horizontal="left" vertical="center" wrapText="1"/>
    </xf>
    <xf numFmtId="0" fontId="6" fillId="0" borderId="37" xfId="11" applyFont="1" applyBorder="1" applyAlignment="1">
      <alignment horizontal="left" vertical="center" wrapText="1"/>
    </xf>
    <xf numFmtId="0" fontId="6" fillId="0" borderId="5" xfId="11" applyFont="1" applyBorder="1" applyAlignment="1">
      <alignment horizontal="left" vertical="center" wrapText="1"/>
    </xf>
    <xf numFmtId="0" fontId="6" fillId="0" borderId="0" xfId="11" applyFont="1" applyAlignment="1">
      <alignment horizontal="left" vertical="center" wrapText="1"/>
    </xf>
    <xf numFmtId="0" fontId="6" fillId="0" borderId="19" xfId="11" applyFont="1" applyBorder="1" applyAlignment="1">
      <alignment horizontal="left" vertical="center" wrapText="1"/>
    </xf>
    <xf numFmtId="49" fontId="7" fillId="5" borderId="54" xfId="0" quotePrefix="1" applyNumberFormat="1" applyFont="1" applyFill="1" applyBorder="1" applyAlignment="1" applyProtection="1">
      <alignment horizontal="left"/>
      <protection locked="0"/>
    </xf>
    <xf numFmtId="49" fontId="7" fillId="5" borderId="46" xfId="0" quotePrefix="1" applyNumberFormat="1" applyFont="1" applyFill="1" applyBorder="1" applyAlignment="1" applyProtection="1">
      <alignment horizontal="left"/>
      <protection locked="0"/>
    </xf>
    <xf numFmtId="49" fontId="4" fillId="5" borderId="32" xfId="0" applyNumberFormat="1"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left" vertical="top" wrapText="1"/>
      <protection locked="0"/>
    </xf>
    <xf numFmtId="49" fontId="4" fillId="5" borderId="51" xfId="0" applyNumberFormat="1" applyFont="1" applyFill="1" applyBorder="1" applyAlignment="1" applyProtection="1">
      <alignment horizontal="left" vertical="top" wrapText="1"/>
      <protection locked="0"/>
    </xf>
    <xf numFmtId="0" fontId="7" fillId="0" borderId="27" xfId="0" applyFont="1" applyBorder="1" applyAlignment="1">
      <alignment horizontal="left"/>
    </xf>
    <xf numFmtId="0" fontId="7" fillId="0" borderId="101" xfId="0" applyFont="1" applyBorder="1" applyAlignment="1">
      <alignment horizontal="left"/>
    </xf>
    <xf numFmtId="37" fontId="6" fillId="0" borderId="0" xfId="0" applyNumberFormat="1" applyFont="1" applyAlignment="1">
      <alignment horizontal="center"/>
    </xf>
    <xf numFmtId="49" fontId="7" fillId="5" borderId="31" xfId="0" applyNumberFormat="1" applyFont="1" applyFill="1" applyBorder="1" applyProtection="1">
      <protection locked="0"/>
    </xf>
    <xf numFmtId="49" fontId="7" fillId="5" borderId="49" xfId="0" applyNumberFormat="1" applyFont="1" applyFill="1" applyBorder="1" applyProtection="1">
      <protection locked="0"/>
    </xf>
    <xf numFmtId="49" fontId="7" fillId="5" borderId="31" xfId="13" applyNumberFormat="1" applyFont="1" applyFill="1" applyBorder="1" applyProtection="1">
      <protection locked="0"/>
    </xf>
    <xf numFmtId="49" fontId="7" fillId="5" borderId="49" xfId="13" applyNumberFormat="1" applyFont="1" applyFill="1" applyBorder="1" applyProtection="1">
      <protection locked="0"/>
    </xf>
    <xf numFmtId="49" fontId="7" fillId="5" borderId="30" xfId="0" applyNumberFormat="1" applyFont="1" applyFill="1" applyBorder="1" applyProtection="1">
      <protection locked="0"/>
    </xf>
    <xf numFmtId="49" fontId="7" fillId="5" borderId="104" xfId="0" applyNumberFormat="1" applyFont="1" applyFill="1" applyBorder="1" applyProtection="1">
      <protection locked="0"/>
    </xf>
    <xf numFmtId="9" fontId="6" fillId="0" borderId="166" xfId="13" applyFont="1" applyBorder="1" applyAlignment="1">
      <alignment horizontal="right"/>
    </xf>
    <xf numFmtId="9" fontId="6" fillId="0" borderId="167" xfId="13" applyFont="1" applyBorder="1" applyAlignment="1">
      <alignment horizontal="right"/>
    </xf>
    <xf numFmtId="10" fontId="7" fillId="0" borderId="0" xfId="13" applyNumberFormat="1" applyFont="1"/>
    <xf numFmtId="10" fontId="7" fillId="0" borderId="19" xfId="13" applyNumberFormat="1" applyFont="1" applyBorder="1"/>
    <xf numFmtId="10" fontId="7" fillId="0" borderId="0" xfId="0" applyNumberFormat="1" applyFont="1" applyAlignment="1">
      <alignment horizontal="center"/>
    </xf>
    <xf numFmtId="10" fontId="7" fillId="0" borderId="19" xfId="0" applyNumberFormat="1" applyFont="1" applyBorder="1" applyAlignment="1">
      <alignment horizontal="center"/>
    </xf>
    <xf numFmtId="5" fontId="7" fillId="0" borderId="0" xfId="6" applyFont="1"/>
    <xf numFmtId="5" fontId="7" fillId="0" borderId="19" xfId="6" applyFont="1" applyBorder="1"/>
    <xf numFmtId="0" fontId="6" fillId="0" borderId="5" xfId="0" applyFont="1" applyBorder="1"/>
    <xf numFmtId="0" fontId="6" fillId="0" borderId="0" xfId="0" applyFont="1"/>
    <xf numFmtId="9" fontId="6" fillId="0" borderId="31" xfId="13" applyFont="1" applyBorder="1" applyAlignment="1">
      <alignment horizontal="right"/>
    </xf>
    <xf numFmtId="9" fontId="42" fillId="0" borderId="0" xfId="13" applyFont="1" applyAlignment="1">
      <alignment horizontal="left"/>
    </xf>
    <xf numFmtId="9" fontId="42" fillId="0" borderId="19" xfId="13" applyFont="1" applyBorder="1" applyAlignment="1">
      <alignment horizontal="left"/>
    </xf>
    <xf numFmtId="41" fontId="7" fillId="0" borderId="0" xfId="6" applyNumberFormat="1" applyFont="1"/>
    <xf numFmtId="41" fontId="7" fillId="0" borderId="19" xfId="6" applyNumberFormat="1" applyFont="1" applyBorder="1"/>
    <xf numFmtId="5" fontId="7" fillId="0" borderId="61" xfId="6" applyFont="1" applyBorder="1"/>
    <xf numFmtId="5" fontId="7" fillId="0" borderId="137" xfId="6" applyFont="1" applyBorder="1"/>
    <xf numFmtId="38" fontId="7" fillId="0" borderId="56" xfId="6" applyNumberFormat="1" applyFont="1" applyBorder="1"/>
    <xf numFmtId="38" fontId="7" fillId="0" borderId="175" xfId="6" applyNumberFormat="1" applyFont="1" applyBorder="1"/>
    <xf numFmtId="5" fontId="7" fillId="0" borderId="1" xfId="6" applyFont="1" applyBorder="1"/>
    <xf numFmtId="5" fontId="7" fillId="0" borderId="242" xfId="6" applyFont="1" applyBorder="1"/>
    <xf numFmtId="5" fontId="7" fillId="0" borderId="49" xfId="6" applyFont="1" applyBorder="1"/>
    <xf numFmtId="5" fontId="7" fillId="0" borderId="54" xfId="6" applyFont="1" applyBorder="1"/>
    <xf numFmtId="5" fontId="7" fillId="0" borderId="52" xfId="6" applyFont="1" applyBorder="1"/>
    <xf numFmtId="5" fontId="7" fillId="0" borderId="23" xfId="6" applyFont="1" applyBorder="1"/>
    <xf numFmtId="5" fontId="7" fillId="0" borderId="114" xfId="6" applyFont="1" applyBorder="1"/>
    <xf numFmtId="5" fontId="7" fillId="0" borderId="22" xfId="6" applyFont="1" applyBorder="1"/>
    <xf numFmtId="5" fontId="7" fillId="0" borderId="109" xfId="6" applyFont="1" applyBorder="1"/>
    <xf numFmtId="0" fontId="29" fillId="0" borderId="31" xfId="0" applyFont="1" applyBorder="1"/>
    <xf numFmtId="0" fontId="29" fillId="0" borderId="49" xfId="0" applyFont="1" applyBorder="1"/>
    <xf numFmtId="0" fontId="6" fillId="0" borderId="250" xfId="0" applyFont="1" applyBorder="1"/>
    <xf numFmtId="0" fontId="6" fillId="0" borderId="192" xfId="0" applyFont="1" applyBorder="1"/>
    <xf numFmtId="0" fontId="6" fillId="0" borderId="165" xfId="0" applyFont="1" applyBorder="1"/>
    <xf numFmtId="0" fontId="7" fillId="0" borderId="158" xfId="0" applyFont="1" applyBorder="1"/>
    <xf numFmtId="0" fontId="7" fillId="0" borderId="166" xfId="0" applyFont="1" applyBorder="1"/>
    <xf numFmtId="0" fontId="7" fillId="0" borderId="167" xfId="0" applyFont="1" applyBorder="1"/>
    <xf numFmtId="0" fontId="7" fillId="0" borderId="74" xfId="0" applyFont="1" applyBorder="1"/>
    <xf numFmtId="0" fontId="7" fillId="0" borderId="21" xfId="0" applyFont="1" applyBorder="1"/>
    <xf numFmtId="0" fontId="7" fillId="0" borderId="251" xfId="0" applyFont="1" applyBorder="1"/>
    <xf numFmtId="0" fontId="7" fillId="0" borderId="252" xfId="0" applyFont="1" applyBorder="1"/>
    <xf numFmtId="5" fontId="7" fillId="14" borderId="249" xfId="6" applyFont="1" applyFill="1" applyBorder="1" applyAlignment="1">
      <alignment horizontal="left"/>
    </xf>
    <xf numFmtId="5" fontId="7" fillId="14" borderId="160" xfId="6" applyFont="1" applyFill="1" applyBorder="1" applyAlignment="1">
      <alignment horizontal="left"/>
    </xf>
    <xf numFmtId="10" fontId="7" fillId="0" borderId="22" xfId="13" applyNumberFormat="1" applyFont="1" applyBorder="1"/>
    <xf numFmtId="10" fontId="7" fillId="0" borderId="109" xfId="13" applyNumberFormat="1" applyFont="1" applyBorder="1"/>
    <xf numFmtId="10" fontId="7" fillId="0" borderId="17" xfId="13" applyNumberFormat="1" applyFont="1" applyBorder="1"/>
    <xf numFmtId="10" fontId="7" fillId="0" borderId="128" xfId="13" applyNumberFormat="1" applyFont="1" applyBorder="1"/>
    <xf numFmtId="49" fontId="7" fillId="5" borderId="31" xfId="13" applyNumberFormat="1" applyFont="1" applyFill="1" applyBorder="1" applyAlignment="1" applyProtection="1">
      <alignment horizontal="left" vertical="top"/>
      <protection locked="0"/>
    </xf>
    <xf numFmtId="0" fontId="6" fillId="0" borderId="5" xfId="0" applyFont="1" applyBorder="1" applyAlignment="1">
      <alignment horizontal="center"/>
    </xf>
    <xf numFmtId="0" fontId="6" fillId="0" borderId="0" xfId="0" applyFont="1" applyAlignment="1">
      <alignment horizontal="center"/>
    </xf>
    <xf numFmtId="0" fontId="7" fillId="0" borderId="162" xfId="0" applyFont="1" applyBorder="1"/>
    <xf numFmtId="0" fontId="7" fillId="0" borderId="115" xfId="0" applyFont="1" applyBorder="1"/>
    <xf numFmtId="9" fontId="6" fillId="0" borderId="131" xfId="13" applyFont="1" applyBorder="1" applyAlignment="1">
      <alignment horizontal="right"/>
    </xf>
    <xf numFmtId="49" fontId="7" fillId="5" borderId="42" xfId="13" applyNumberFormat="1" applyFont="1" applyFill="1" applyBorder="1" applyProtection="1">
      <protection locked="0"/>
    </xf>
    <xf numFmtId="49" fontId="7" fillId="5" borderId="253" xfId="13" applyNumberFormat="1" applyFont="1" applyFill="1" applyBorder="1" applyProtection="1">
      <protection locked="0"/>
    </xf>
    <xf numFmtId="49" fontId="7" fillId="5" borderId="49" xfId="13" applyNumberFormat="1" applyFont="1" applyFill="1" applyBorder="1" applyAlignment="1" applyProtection="1">
      <alignment horizontal="left" vertical="top"/>
      <protection locked="0"/>
    </xf>
    <xf numFmtId="0" fontId="7" fillId="0" borderId="159" xfId="0" applyFont="1" applyBorder="1"/>
    <xf numFmtId="0" fontId="7" fillId="0" borderId="131" xfId="0" applyFont="1" applyBorder="1"/>
    <xf numFmtId="0" fontId="6" fillId="0" borderId="163" xfId="0" applyFont="1" applyBorder="1"/>
    <xf numFmtId="0" fontId="6" fillId="0" borderId="133" xfId="0" applyFont="1" applyBorder="1"/>
    <xf numFmtId="0" fontId="7" fillId="0" borderId="54" xfId="0" applyFont="1" applyBorder="1"/>
    <xf numFmtId="0" fontId="7" fillId="0" borderId="46" xfId="0" applyFont="1" applyBorder="1"/>
    <xf numFmtId="0" fontId="7" fillId="0" borderId="32" xfId="0" applyFont="1" applyBorder="1"/>
    <xf numFmtId="0" fontId="7" fillId="0" borderId="49" xfId="0" applyFont="1" applyBorder="1"/>
    <xf numFmtId="9" fontId="6" fillId="0" borderId="17" xfId="13" applyFont="1" applyBorder="1" applyAlignment="1">
      <alignment horizontal="right"/>
    </xf>
    <xf numFmtId="49" fontId="7" fillId="5" borderId="176" xfId="13" applyNumberFormat="1" applyFont="1" applyFill="1" applyBorder="1" applyAlignment="1" applyProtection="1">
      <alignment horizontal="left" vertical="top"/>
      <protection locked="0"/>
    </xf>
    <xf numFmtId="49" fontId="7" fillId="5" borderId="176" xfId="13" applyNumberFormat="1" applyFont="1" applyFill="1" applyBorder="1" applyProtection="1">
      <protection locked="0"/>
    </xf>
    <xf numFmtId="49" fontId="7" fillId="5" borderId="176" xfId="0" applyNumberFormat="1" applyFont="1" applyFill="1" applyBorder="1" applyProtection="1">
      <protection locked="0"/>
    </xf>
    <xf numFmtId="5" fontId="7" fillId="0" borderId="30" xfId="6" applyFont="1" applyBorder="1"/>
    <xf numFmtId="5" fontId="7" fillId="0" borderId="129" xfId="6" applyFont="1" applyBorder="1"/>
    <xf numFmtId="49" fontId="7" fillId="5" borderId="32" xfId="0" applyNumberFormat="1" applyFont="1" applyFill="1" applyBorder="1" applyProtection="1">
      <protection locked="0"/>
    </xf>
    <xf numFmtId="49" fontId="7" fillId="5" borderId="51" xfId="0" applyNumberFormat="1" applyFont="1" applyFill="1" applyBorder="1" applyProtection="1">
      <protection locked="0"/>
    </xf>
    <xf numFmtId="9" fontId="1" fillId="0" borderId="0" xfId="13" applyFont="1" applyAlignment="1" applyProtection="1">
      <alignment vertical="top" wrapText="1"/>
    </xf>
    <xf numFmtId="9" fontId="0" fillId="0" borderId="0" xfId="13" applyFont="1" applyAlignment="1" applyProtection="1">
      <alignment vertical="top" wrapText="1"/>
    </xf>
    <xf numFmtId="5" fontId="7" fillId="0" borderId="21" xfId="6" applyFont="1" applyBorder="1"/>
    <xf numFmtId="5" fontId="7" fillId="0" borderId="118" xfId="6" applyFont="1" applyBorder="1"/>
    <xf numFmtId="0" fontId="7" fillId="0" borderId="76" xfId="0" applyFont="1" applyBorder="1"/>
    <xf numFmtId="49" fontId="0" fillId="5" borderId="187" xfId="0" applyNumberFormat="1" applyFill="1" applyBorder="1" applyAlignment="1" applyProtection="1">
      <alignment horizontal="left" vertical="top"/>
      <protection locked="0"/>
    </xf>
    <xf numFmtId="49" fontId="0" fillId="5" borderId="27" xfId="0" applyNumberFormat="1" applyFill="1" applyBorder="1" applyAlignment="1" applyProtection="1">
      <alignment horizontal="left" vertical="top"/>
      <protection locked="0"/>
    </xf>
    <xf numFmtId="49" fontId="0" fillId="5" borderId="186" xfId="0" applyNumberFormat="1" applyFill="1" applyBorder="1" applyAlignment="1" applyProtection="1">
      <alignment horizontal="left" vertical="top"/>
      <protection locked="0"/>
    </xf>
    <xf numFmtId="49" fontId="1" fillId="5" borderId="254" xfId="0" applyNumberFormat="1" applyFont="1" applyFill="1" applyBorder="1" applyAlignment="1" applyProtection="1">
      <alignment horizontal="left" vertical="top"/>
      <protection locked="0"/>
    </xf>
    <xf numFmtId="49" fontId="1" fillId="5" borderId="97" xfId="0" applyNumberFormat="1" applyFont="1" applyFill="1" applyBorder="1" applyAlignment="1" applyProtection="1">
      <alignment horizontal="left" vertical="top"/>
      <protection locked="0"/>
    </xf>
    <xf numFmtId="49" fontId="1" fillId="5" borderId="255" xfId="0" applyNumberFormat="1" applyFont="1" applyFill="1" applyBorder="1" applyAlignment="1" applyProtection="1">
      <alignment horizontal="left" vertical="top"/>
      <protection locked="0"/>
    </xf>
    <xf numFmtId="0" fontId="1" fillId="0" borderId="39" xfId="0" applyFont="1" applyBorder="1"/>
    <xf numFmtId="0" fontId="1" fillId="0" borderId="35" xfId="0" applyFont="1" applyBorder="1"/>
    <xf numFmtId="0" fontId="1" fillId="0" borderId="40" xfId="0" applyFont="1" applyBorder="1"/>
    <xf numFmtId="0" fontId="1" fillId="0" borderId="27" xfId="0" applyFont="1" applyBorder="1" applyAlignment="1">
      <alignment horizontal="center"/>
    </xf>
    <xf numFmtId="5" fontId="7" fillId="0" borderId="249" xfId="6" applyFont="1" applyBorder="1" applyAlignment="1">
      <alignment horizontal="left"/>
    </xf>
    <xf numFmtId="5" fontId="7" fillId="0" borderId="160" xfId="6" applyFont="1" applyBorder="1" applyAlignment="1">
      <alignment horizontal="left"/>
    </xf>
    <xf numFmtId="49" fontId="1" fillId="5" borderId="34" xfId="0" applyNumberFormat="1" applyFont="1" applyFill="1" applyBorder="1" applyAlignment="1" applyProtection="1">
      <alignment wrapText="1"/>
      <protection locked="0"/>
    </xf>
    <xf numFmtId="49" fontId="1" fillId="5" borderId="35" xfId="0" applyNumberFormat="1" applyFont="1" applyFill="1" applyBorder="1" applyAlignment="1" applyProtection="1">
      <alignment wrapText="1"/>
      <protection locked="0"/>
    </xf>
    <xf numFmtId="49" fontId="1" fillId="5" borderId="256" xfId="0" applyNumberFormat="1" applyFont="1" applyFill="1" applyBorder="1" applyAlignment="1" applyProtection="1">
      <alignment wrapText="1"/>
      <protection locked="0"/>
    </xf>
    <xf numFmtId="49" fontId="1" fillId="5" borderId="257" xfId="0" applyNumberFormat="1" applyFont="1" applyFill="1" applyBorder="1" applyAlignment="1" applyProtection="1">
      <alignment horizontal="left" vertical="top" wrapText="1"/>
      <protection locked="0"/>
    </xf>
    <xf numFmtId="49" fontId="1" fillId="5" borderId="18" xfId="0" applyNumberFormat="1" applyFont="1" applyFill="1" applyBorder="1" applyAlignment="1" applyProtection="1">
      <alignment horizontal="left" vertical="top" wrapText="1"/>
      <protection locked="0"/>
    </xf>
    <xf numFmtId="49" fontId="1" fillId="5" borderId="258" xfId="0" applyNumberFormat="1" applyFont="1" applyFill="1" applyBorder="1" applyAlignment="1" applyProtection="1">
      <alignment horizontal="left" vertical="top" wrapText="1"/>
      <protection locked="0"/>
    </xf>
    <xf numFmtId="37" fontId="0" fillId="0" borderId="88" xfId="0" applyNumberFormat="1" applyBorder="1" applyAlignment="1">
      <alignment horizontal="center"/>
    </xf>
    <xf numFmtId="37" fontId="0" fillId="0" borderId="128" xfId="0" applyNumberFormat="1" applyBorder="1" applyAlignment="1">
      <alignment horizontal="center"/>
    </xf>
    <xf numFmtId="0" fontId="0" fillId="0" borderId="88" xfId="0" applyBorder="1" applyAlignment="1">
      <alignment horizontal="center"/>
    </xf>
    <xf numFmtId="0" fontId="0" fillId="0" borderId="128"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0" xfId="0" applyAlignment="1">
      <alignment horizontal="left" wrapText="1"/>
    </xf>
    <xf numFmtId="0" fontId="12" fillId="0" borderId="0" xfId="0" applyFont="1" applyAlignment="1">
      <alignment horizontal="left" wrapText="1"/>
    </xf>
    <xf numFmtId="49" fontId="0" fillId="5" borderId="35" xfId="0" applyNumberFormat="1" applyFill="1" applyBorder="1" applyAlignment="1" applyProtection="1">
      <alignment wrapText="1"/>
      <protection locked="0"/>
    </xf>
    <xf numFmtId="49" fontId="0" fillId="5" borderId="256" xfId="0" applyNumberFormat="1" applyFill="1" applyBorder="1" applyAlignment="1" applyProtection="1">
      <alignment wrapText="1"/>
      <protection locked="0"/>
    </xf>
    <xf numFmtId="0" fontId="7" fillId="5" borderId="83" xfId="10" applyFont="1" applyFill="1" applyBorder="1" applyProtection="1">
      <protection locked="0"/>
    </xf>
    <xf numFmtId="0" fontId="7" fillId="5" borderId="31" xfId="10" applyFont="1" applyFill="1" applyBorder="1" applyProtection="1">
      <protection locked="0"/>
    </xf>
    <xf numFmtId="0" fontId="6" fillId="0" borderId="0" xfId="10" applyFont="1" applyAlignment="1">
      <alignment horizontal="center"/>
    </xf>
    <xf numFmtId="0" fontId="7" fillId="0" borderId="183" xfId="10" applyFont="1" applyBorder="1" applyAlignment="1">
      <alignment horizontal="center" vertical="center" wrapText="1"/>
    </xf>
    <xf numFmtId="0" fontId="13" fillId="0" borderId="86" xfId="0" applyFont="1" applyBorder="1" applyAlignment="1">
      <alignment horizontal="center" vertical="center" wrapText="1"/>
    </xf>
    <xf numFmtId="0" fontId="13" fillId="0" borderId="187" xfId="0" applyFont="1" applyBorder="1" applyAlignment="1">
      <alignment horizontal="center" vertical="center" wrapText="1"/>
    </xf>
    <xf numFmtId="41" fontId="7" fillId="0" borderId="184" xfId="10" applyNumberFormat="1" applyFont="1" applyBorder="1" applyAlignment="1">
      <alignment horizontal="center" vertical="center" wrapText="1"/>
    </xf>
    <xf numFmtId="41" fontId="7" fillId="0" borderId="15" xfId="10" applyNumberFormat="1" applyFont="1" applyBorder="1" applyAlignment="1">
      <alignment horizontal="center" vertical="center" wrapText="1"/>
    </xf>
    <xf numFmtId="41" fontId="7" fillId="0" borderId="259" xfId="10" applyNumberFormat="1" applyFont="1" applyBorder="1" applyAlignment="1">
      <alignment horizontal="center" vertical="center" wrapText="1"/>
    </xf>
    <xf numFmtId="0" fontId="6" fillId="0" borderId="4" xfId="11" applyFont="1" applyBorder="1" applyAlignment="1">
      <alignment horizontal="center" vertical="center"/>
    </xf>
    <xf numFmtId="0" fontId="0" fillId="5" borderId="27" xfId="0" applyFill="1" applyBorder="1" applyAlignment="1" applyProtection="1">
      <alignment horizontal="left" wrapText="1"/>
      <protection locked="0"/>
    </xf>
    <xf numFmtId="0" fontId="28" fillId="0" borderId="27" xfId="0" quotePrefix="1" applyFont="1" applyBorder="1" applyAlignment="1" applyProtection="1">
      <alignment horizontal="left"/>
      <protection locked="0"/>
    </xf>
    <xf numFmtId="1" fontId="28" fillId="0" borderId="31" xfId="0" applyNumberFormat="1" applyFont="1" applyBorder="1" applyAlignment="1" applyProtection="1">
      <alignment horizontal="left"/>
      <protection locked="0"/>
    </xf>
    <xf numFmtId="0" fontId="14" fillId="0" borderId="0" xfId="12" applyFont="1" applyAlignment="1">
      <alignment horizontal="left"/>
    </xf>
    <xf numFmtId="0" fontId="1" fillId="0" borderId="0" xfId="0" applyFont="1"/>
    <xf numFmtId="37" fontId="19" fillId="0" borderId="132" xfId="11" applyNumberFormat="1" applyFont="1" applyBorder="1" applyAlignment="1">
      <alignment horizontal="center" vertical="center" wrapText="1"/>
    </xf>
    <xf numFmtId="37" fontId="19" fillId="0" borderId="248" xfId="11" applyNumberFormat="1" applyFont="1" applyBorder="1" applyAlignment="1">
      <alignment horizontal="center" vertical="center" wrapText="1"/>
    </xf>
    <xf numFmtId="37" fontId="19" fillId="0" borderId="94" xfId="11" applyNumberFormat="1" applyFont="1" applyBorder="1" applyAlignment="1">
      <alignment horizontal="center" vertical="center" wrapText="1"/>
    </xf>
    <xf numFmtId="37" fontId="19" fillId="0" borderId="44" xfId="11" applyNumberFormat="1" applyFont="1" applyBorder="1" applyAlignment="1">
      <alignment horizontal="center" vertical="center" wrapText="1"/>
    </xf>
    <xf numFmtId="9" fontId="58" fillId="0" borderId="5" xfId="0" applyNumberFormat="1" applyFont="1" applyBorder="1" applyAlignment="1">
      <alignment horizontal="left" vertical="center"/>
    </xf>
    <xf numFmtId="9" fontId="58" fillId="0" borderId="0" xfId="0" applyNumberFormat="1" applyFont="1" applyAlignment="1">
      <alignment horizontal="left" vertical="center"/>
    </xf>
    <xf numFmtId="0" fontId="6" fillId="0" borderId="98" xfId="0" applyFont="1" applyBorder="1" applyAlignment="1">
      <alignment horizontal="center"/>
    </xf>
    <xf numFmtId="38" fontId="7" fillId="0" borderId="0" xfId="6" applyNumberFormat="1" applyFont="1"/>
    <xf numFmtId="0" fontId="6" fillId="0" borderId="168" xfId="0" applyFont="1" applyBorder="1"/>
    <xf numFmtId="0" fontId="6" fillId="0" borderId="169" xfId="0" applyFont="1" applyBorder="1"/>
    <xf numFmtId="49" fontId="7" fillId="5" borderId="30" xfId="13" applyNumberFormat="1" applyFont="1" applyFill="1" applyBorder="1" applyProtection="1">
      <protection locked="0"/>
    </xf>
    <xf numFmtId="0" fontId="6" fillId="0" borderId="171" xfId="0" applyFont="1" applyBorder="1"/>
    <xf numFmtId="0" fontId="6" fillId="0" borderId="131" xfId="0" applyFont="1" applyBorder="1"/>
    <xf numFmtId="0" fontId="7" fillId="0" borderId="30" xfId="0" applyFont="1" applyBorder="1"/>
    <xf numFmtId="5" fontId="7" fillId="0" borderId="27" xfId="6" applyFont="1" applyBorder="1"/>
    <xf numFmtId="5" fontId="7" fillId="0" borderId="31" xfId="6" applyFont="1" applyBorder="1"/>
    <xf numFmtId="5" fontId="7" fillId="0" borderId="105" xfId="6" applyFont="1" applyBorder="1"/>
    <xf numFmtId="9" fontId="7" fillId="0" borderId="32" xfId="13" applyFont="1" applyBorder="1" applyAlignment="1">
      <alignment horizontal="left"/>
    </xf>
    <xf numFmtId="9" fontId="7" fillId="0" borderId="31" xfId="13" applyFont="1" applyBorder="1" applyAlignment="1">
      <alignment horizontal="left"/>
    </xf>
    <xf numFmtId="9" fontId="7" fillId="0" borderId="49" xfId="13" applyFont="1" applyBorder="1" applyAlignment="1">
      <alignment horizontal="left"/>
    </xf>
    <xf numFmtId="49" fontId="7" fillId="5" borderId="237" xfId="13" applyNumberFormat="1" applyFont="1" applyFill="1" applyBorder="1" applyProtection="1">
      <protection locked="0"/>
    </xf>
    <xf numFmtId="49" fontId="7" fillId="5" borderId="187" xfId="0" applyNumberFormat="1" applyFont="1" applyFill="1" applyBorder="1" applyProtection="1">
      <protection locked="0"/>
    </xf>
    <xf numFmtId="49" fontId="7" fillId="5" borderId="27" xfId="0" applyNumberFormat="1" applyFont="1" applyFill="1" applyBorder="1" applyProtection="1">
      <protection locked="0"/>
    </xf>
    <xf numFmtId="49" fontId="7" fillId="5" borderId="101" xfId="0" applyNumberFormat="1" applyFont="1" applyFill="1" applyBorder="1" applyProtection="1">
      <protection locked="0"/>
    </xf>
    <xf numFmtId="9" fontId="1" fillId="0" borderId="0" xfId="13" applyFont="1" applyAlignment="1" applyProtection="1">
      <alignment horizontal="left" vertical="top" wrapText="1"/>
    </xf>
    <xf numFmtId="9" fontId="0" fillId="0" borderId="0" xfId="13" applyFont="1" applyAlignment="1" applyProtection="1">
      <alignment horizontal="left" vertical="top" wrapText="1"/>
    </xf>
    <xf numFmtId="49" fontId="1" fillId="5" borderId="187" xfId="0" applyNumberFormat="1" applyFont="1" applyFill="1" applyBorder="1" applyAlignment="1" applyProtection="1">
      <alignment horizontal="left" vertical="top"/>
      <protection locked="0"/>
    </xf>
    <xf numFmtId="49" fontId="1" fillId="5" borderId="27" xfId="0" applyNumberFormat="1" applyFont="1" applyFill="1" applyBorder="1" applyAlignment="1" applyProtection="1">
      <alignment horizontal="left" vertical="top"/>
      <protection locked="0"/>
    </xf>
    <xf numFmtId="49" fontId="1" fillId="5" borderId="186" xfId="0" applyNumberFormat="1" applyFont="1" applyFill="1" applyBorder="1" applyAlignment="1" applyProtection="1">
      <alignment horizontal="left" vertical="top"/>
      <protection locked="0"/>
    </xf>
    <xf numFmtId="0" fontId="6" fillId="0" borderId="9" xfId="10" applyFont="1" applyBorder="1" applyAlignment="1">
      <alignment horizontal="center"/>
    </xf>
    <xf numFmtId="43" fontId="6" fillId="16" borderId="4" xfId="2" applyNumberFormat="1" applyFont="1" applyFill="1" applyBorder="1" applyAlignment="1">
      <alignment horizontal="center"/>
    </xf>
    <xf numFmtId="43" fontId="6" fillId="16" borderId="53" xfId="2" applyNumberFormat="1" applyFont="1" applyFill="1" applyBorder="1" applyAlignment="1">
      <alignment horizontal="center"/>
    </xf>
    <xf numFmtId="9" fontId="54" fillId="0" borderId="5" xfId="0" applyNumberFormat="1" applyFont="1" applyBorder="1" applyAlignment="1">
      <alignment horizontal="left" vertical="center"/>
    </xf>
    <xf numFmtId="9" fontId="54" fillId="0" borderId="0" xfId="0" applyNumberFormat="1" applyFont="1" applyAlignment="1">
      <alignment horizontal="left" vertical="center"/>
    </xf>
    <xf numFmtId="41" fontId="7" fillId="0" borderId="30" xfId="0" applyNumberFormat="1" applyFont="1" applyBorder="1" applyAlignment="1">
      <alignment vertical="center"/>
    </xf>
    <xf numFmtId="5" fontId="7" fillId="6" borderId="249" xfId="6" applyFont="1" applyFill="1" applyBorder="1" applyAlignment="1">
      <alignment horizontal="left"/>
    </xf>
    <xf numFmtId="5" fontId="7" fillId="6" borderId="160" xfId="6" applyFont="1" applyFill="1" applyBorder="1" applyAlignment="1">
      <alignment horizontal="left"/>
    </xf>
    <xf numFmtId="5" fontId="7" fillId="0" borderId="249" xfId="6" applyFont="1" applyBorder="1" applyAlignment="1" applyProtection="1">
      <alignment horizontal="left"/>
    </xf>
    <xf numFmtId="5" fontId="7" fillId="0" borderId="160" xfId="6" applyFont="1" applyBorder="1" applyAlignment="1" applyProtection="1">
      <alignment horizontal="left"/>
    </xf>
    <xf numFmtId="49" fontId="12" fillId="5" borderId="187" xfId="0" applyNumberFormat="1" applyFont="1" applyFill="1" applyBorder="1" applyAlignment="1" applyProtection="1">
      <alignment horizontal="left" vertical="top"/>
      <protection locked="0"/>
    </xf>
    <xf numFmtId="49" fontId="12" fillId="5" borderId="27" xfId="0" applyNumberFormat="1" applyFont="1" applyFill="1" applyBorder="1" applyAlignment="1" applyProtection="1">
      <alignment horizontal="left" vertical="top"/>
      <protection locked="0"/>
    </xf>
    <xf numFmtId="49" fontId="12" fillId="5" borderId="186" xfId="0" applyNumberFormat="1" applyFont="1" applyFill="1" applyBorder="1" applyAlignment="1" applyProtection="1">
      <alignment horizontal="left" vertical="top"/>
      <protection locked="0"/>
    </xf>
    <xf numFmtId="0" fontId="6" fillId="0" borderId="241" xfId="0" applyFont="1" applyBorder="1" applyAlignment="1">
      <alignment horizontal="center"/>
    </xf>
    <xf numFmtId="43" fontId="6" fillId="0" borderId="9" xfId="10" applyNumberFormat="1" applyFont="1" applyBorder="1" applyAlignment="1">
      <alignment horizontal="center"/>
    </xf>
    <xf numFmtId="43" fontId="6" fillId="16" borderId="88" xfId="2" applyNumberFormat="1" applyFont="1" applyFill="1" applyBorder="1" applyAlignment="1">
      <alignment horizontal="center"/>
    </xf>
    <xf numFmtId="43" fontId="6" fillId="16" borderId="17" xfId="2" applyNumberFormat="1" applyFont="1" applyFill="1" applyBorder="1" applyAlignment="1">
      <alignment horizontal="center"/>
    </xf>
    <xf numFmtId="43" fontId="6" fillId="16" borderId="128" xfId="2" applyNumberFormat="1" applyFont="1" applyFill="1" applyBorder="1" applyAlignment="1">
      <alignment horizontal="center"/>
    </xf>
    <xf numFmtId="43" fontId="6" fillId="0" borderId="88" xfId="2" applyNumberFormat="1" applyFont="1" applyFill="1" applyBorder="1" applyAlignment="1">
      <alignment horizontal="center"/>
    </xf>
    <xf numFmtId="43" fontId="6" fillId="0" borderId="17" xfId="2" applyNumberFormat="1" applyFont="1" applyFill="1" applyBorder="1" applyAlignment="1">
      <alignment horizontal="center"/>
    </xf>
  </cellXfs>
  <cellStyles count="15">
    <cellStyle name="Comma" xfId="1" builtinId="3"/>
    <cellStyle name="Comma_1st CASH FLOW " xfId="2" xr:uid="{00000000-0005-0000-0000-000001000000}"/>
    <cellStyle name="Comma0" xfId="3" xr:uid="{00000000-0005-0000-0000-000002000000}"/>
    <cellStyle name="Comma0 2" xfId="4" xr:uid="{00000000-0005-0000-0000-000003000000}"/>
    <cellStyle name="Currency" xfId="5" builtinId="4"/>
    <cellStyle name="Currency0" xfId="6" xr:uid="{00000000-0005-0000-0000-000005000000}"/>
    <cellStyle name="Currency0 2" xfId="7" xr:uid="{00000000-0005-0000-0000-000006000000}"/>
    <cellStyle name="Hyperlink" xfId="8" builtinId="8"/>
    <cellStyle name="Normal" xfId="0" builtinId="0"/>
    <cellStyle name="Normal 2" xfId="9" xr:uid="{00000000-0005-0000-0000-000009000000}"/>
    <cellStyle name="Normal 2 3" xfId="14" xr:uid="{5813FCC9-60D4-4CA5-ADA6-A589E401DE85}"/>
    <cellStyle name="Normal_1st CASH FLOW " xfId="10" xr:uid="{00000000-0005-0000-0000-00000A000000}"/>
    <cellStyle name="Normal_Charters" xfId="11" xr:uid="{00000000-0005-0000-0000-00000B000000}"/>
    <cellStyle name="Normal_SBE Alternate Form Cert Page 8 15 03" xfId="12" xr:uid="{00000000-0005-0000-0000-00000C000000}"/>
    <cellStyle name="Percent" xfId="13" builtinId="5"/>
  </cellStyles>
  <dxfs count="295">
    <dxf>
      <font>
        <b/>
        <i val="0"/>
      </font>
    </dxf>
    <dxf>
      <font>
        <b/>
        <i val="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font>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font>
    </dxf>
    <dxf>
      <font>
        <b/>
        <i val="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font>
    </dxf>
    <dxf>
      <font>
        <b/>
        <i val="0"/>
      </font>
    </dxf>
    <dxf>
      <font>
        <b/>
        <i val="0"/>
      </font>
    </dxf>
    <dxf>
      <fill>
        <patternFill>
          <bgColor rgb="FF92D050"/>
        </patternFill>
      </fill>
    </dxf>
    <dxf>
      <fill>
        <patternFill>
          <bgColor rgb="FFFF0000"/>
        </patternFill>
      </fill>
    </dxf>
    <dxf>
      <font>
        <b/>
        <i val="0"/>
      </font>
    </dxf>
    <dxf>
      <fill>
        <patternFill>
          <bgColor rgb="FF92D050"/>
        </patternFill>
      </fill>
    </dxf>
    <dxf>
      <fill>
        <patternFill>
          <bgColor rgb="FFFF000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s>
  <tableStyles count="0" defaultTableStyle="TableStyleMedium2" defaultPivotStyle="PivotStyleLight16"/>
  <colors>
    <mruColors>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cmat.org/local-control-funding-formula-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113"/>
  <sheetViews>
    <sheetView showGridLines="0" topLeftCell="A46" zoomScale="115" zoomScaleNormal="115" workbookViewId="0">
      <selection activeCell="O39" sqref="O39"/>
    </sheetView>
  </sheetViews>
  <sheetFormatPr defaultRowHeight="12.75"/>
  <cols>
    <col min="1" max="1" width="10" customWidth="1"/>
    <col min="6" max="6" width="11.33203125" customWidth="1"/>
    <col min="7" max="7" width="12.1328125" customWidth="1"/>
    <col min="8" max="8" width="11.53125" customWidth="1"/>
    <col min="9" max="9" width="10.6640625" customWidth="1"/>
    <col min="10" max="10" width="13.33203125" customWidth="1"/>
  </cols>
  <sheetData>
    <row r="1" spans="1:10">
      <c r="A1" s="16" t="s">
        <v>225</v>
      </c>
      <c r="B1" s="17"/>
      <c r="C1" s="17"/>
      <c r="D1" s="17"/>
      <c r="E1" s="17"/>
      <c r="F1" s="17"/>
      <c r="G1" s="17"/>
      <c r="H1" s="1556" t="s">
        <v>503</v>
      </c>
      <c r="I1" s="17"/>
      <c r="J1" s="17"/>
    </row>
    <row r="2" spans="1:10">
      <c r="A2" s="17"/>
      <c r="B2" s="17"/>
      <c r="C2" s="17"/>
      <c r="D2" s="17"/>
      <c r="E2" s="17"/>
      <c r="F2" s="17"/>
      <c r="G2" s="17"/>
      <c r="H2" s="17"/>
      <c r="I2" s="17"/>
      <c r="J2" s="17"/>
    </row>
    <row r="3" spans="1:10" ht="12.75" customHeight="1">
      <c r="A3" s="18" t="s">
        <v>135</v>
      </c>
      <c r="B3" s="1652" t="s">
        <v>282</v>
      </c>
      <c r="C3" s="1652"/>
      <c r="D3" s="1652"/>
      <c r="E3" s="1652"/>
      <c r="F3" s="1652"/>
      <c r="G3" s="1652"/>
      <c r="H3" s="1652"/>
      <c r="I3" s="1652"/>
      <c r="J3" s="1652"/>
    </row>
    <row r="4" spans="1:10">
      <c r="A4" s="17"/>
      <c r="B4" s="1652"/>
      <c r="C4" s="1652"/>
      <c r="D4" s="1652"/>
      <c r="E4" s="1652"/>
      <c r="F4" s="1652"/>
      <c r="G4" s="1652"/>
      <c r="H4" s="1652"/>
      <c r="I4" s="1652"/>
      <c r="J4" s="1652"/>
    </row>
    <row r="5" spans="1:10">
      <c r="A5" s="17"/>
      <c r="B5" s="17"/>
      <c r="C5" s="17"/>
      <c r="D5" s="17"/>
      <c r="E5" s="17"/>
      <c r="F5" s="17"/>
      <c r="G5" s="17"/>
      <c r="H5" s="17"/>
      <c r="I5" s="17"/>
      <c r="J5" s="17"/>
    </row>
    <row r="6" spans="1:10">
      <c r="A6" s="1661" t="s">
        <v>294</v>
      </c>
      <c r="B6" s="1661"/>
      <c r="C6" s="77" t="s">
        <v>138</v>
      </c>
      <c r="D6" s="76"/>
      <c r="E6" s="76"/>
      <c r="F6" s="17"/>
      <c r="G6" s="17"/>
      <c r="H6" s="17"/>
      <c r="I6" s="17"/>
      <c r="J6" s="17"/>
    </row>
    <row r="7" spans="1:10">
      <c r="A7" s="17"/>
      <c r="B7" s="225"/>
      <c r="C7" s="225"/>
      <c r="D7" s="225"/>
      <c r="E7" s="225"/>
      <c r="F7" s="225"/>
      <c r="G7" s="225"/>
      <c r="H7" s="17"/>
      <c r="I7" s="17"/>
      <c r="J7" s="17"/>
    </row>
    <row r="8" spans="1:10">
      <c r="A8" s="17">
        <v>1</v>
      </c>
      <c r="B8" s="1655" t="s">
        <v>226</v>
      </c>
      <c r="C8" s="1655"/>
      <c r="D8" s="1655"/>
      <c r="E8" s="1655"/>
      <c r="F8" s="225"/>
      <c r="G8" s="225"/>
      <c r="H8" s="17"/>
      <c r="I8" s="17"/>
      <c r="J8" s="17"/>
    </row>
    <row r="9" spans="1:10">
      <c r="A9" s="17"/>
      <c r="B9" s="225"/>
      <c r="C9" s="225"/>
      <c r="D9" s="225"/>
      <c r="E9" s="225"/>
      <c r="F9" s="225"/>
      <c r="G9" s="225"/>
      <c r="H9" s="17"/>
      <c r="I9" s="17"/>
      <c r="J9" s="17"/>
    </row>
    <row r="10" spans="1:10">
      <c r="A10" s="18" t="s">
        <v>295</v>
      </c>
      <c r="B10" s="225"/>
      <c r="C10" s="226" t="s">
        <v>138</v>
      </c>
      <c r="D10" s="227"/>
      <c r="E10" s="227"/>
      <c r="F10" s="225"/>
      <c r="G10" s="225"/>
      <c r="H10" s="17"/>
      <c r="I10" s="17"/>
      <c r="J10" s="17"/>
    </row>
    <row r="11" spans="1:10">
      <c r="A11" s="17"/>
      <c r="B11" s="225"/>
      <c r="C11" s="225"/>
      <c r="D11" s="225"/>
      <c r="E11" s="225"/>
      <c r="F11" s="225"/>
      <c r="G11" s="225"/>
      <c r="H11" s="17"/>
      <c r="I11" s="17"/>
      <c r="J11" s="17"/>
    </row>
    <row r="12" spans="1:10">
      <c r="A12" s="17">
        <v>1</v>
      </c>
      <c r="B12" s="1655" t="s">
        <v>213</v>
      </c>
      <c r="C12" s="1655"/>
      <c r="D12" s="1655"/>
      <c r="E12" s="1655"/>
      <c r="F12" s="225"/>
      <c r="G12" s="225"/>
      <c r="H12" s="17"/>
      <c r="I12" s="17"/>
    </row>
    <row r="13" spans="1:10">
      <c r="A13" s="17"/>
      <c r="B13" s="225"/>
      <c r="C13" s="1655" t="s">
        <v>342</v>
      </c>
      <c r="D13" s="1655"/>
      <c r="E13" s="1655"/>
      <c r="F13" s="1655"/>
      <c r="G13" s="1655"/>
      <c r="H13" s="17"/>
      <c r="I13" s="17"/>
    </row>
    <row r="14" spans="1:10">
      <c r="A14" s="17"/>
      <c r="B14" s="225"/>
      <c r="C14" s="1655" t="s">
        <v>284</v>
      </c>
      <c r="D14" s="1655"/>
      <c r="E14" s="1655"/>
      <c r="F14" s="1655"/>
      <c r="G14" s="1655"/>
      <c r="H14" s="17"/>
      <c r="I14" s="17"/>
    </row>
    <row r="15" spans="1:10">
      <c r="A15" s="17"/>
      <c r="B15" s="225"/>
      <c r="C15" s="1655" t="s">
        <v>214</v>
      </c>
      <c r="D15" s="1655"/>
      <c r="E15" s="1655"/>
      <c r="F15" s="1655"/>
      <c r="G15" s="1655"/>
      <c r="H15" s="17"/>
      <c r="I15" s="17"/>
    </row>
    <row r="16" spans="1:10">
      <c r="A16" s="17"/>
      <c r="B16" s="17"/>
      <c r="C16" s="17"/>
      <c r="D16" s="17"/>
      <c r="E16" s="17"/>
      <c r="F16" s="17"/>
      <c r="G16" s="17"/>
      <c r="H16" s="17"/>
      <c r="I16" s="17"/>
      <c r="J16" s="17"/>
    </row>
    <row r="17" spans="1:10">
      <c r="A17" s="1662" t="s">
        <v>296</v>
      </c>
      <c r="B17" s="1662"/>
      <c r="C17" s="77" t="s">
        <v>138</v>
      </c>
      <c r="D17" s="76"/>
      <c r="E17" s="76"/>
      <c r="F17" s="17"/>
      <c r="G17" s="17"/>
      <c r="H17" s="17"/>
      <c r="I17" s="17"/>
      <c r="J17" s="17"/>
    </row>
    <row r="18" spans="1:10">
      <c r="A18" s="17"/>
      <c r="B18" s="17"/>
      <c r="C18" s="17"/>
      <c r="D18" s="17"/>
      <c r="E18" s="17"/>
      <c r="F18" s="17"/>
      <c r="G18" s="17"/>
      <c r="H18" s="17"/>
      <c r="I18" s="17"/>
      <c r="J18" s="17"/>
    </row>
    <row r="19" spans="1:10" ht="12.75" customHeight="1">
      <c r="A19" s="17"/>
      <c r="B19" s="1660" t="s">
        <v>291</v>
      </c>
      <c r="C19" s="1660"/>
      <c r="D19" s="1660"/>
      <c r="E19" s="1660"/>
      <c r="F19" s="1660"/>
      <c r="G19" s="1660"/>
      <c r="H19" s="1660"/>
      <c r="I19" s="1660"/>
      <c r="J19" s="1660"/>
    </row>
    <row r="20" spans="1:10">
      <c r="A20" s="17"/>
      <c r="B20" s="1660"/>
      <c r="C20" s="1660"/>
      <c r="D20" s="1660"/>
      <c r="E20" s="1660"/>
      <c r="F20" s="1660"/>
      <c r="G20" s="1660"/>
      <c r="H20" s="1660"/>
      <c r="I20" s="1660"/>
      <c r="J20" s="1660"/>
    </row>
    <row r="21" spans="1:10">
      <c r="A21" s="17"/>
      <c r="B21" s="17"/>
      <c r="C21" s="17"/>
      <c r="D21" s="17"/>
      <c r="E21" s="17"/>
      <c r="F21" s="17"/>
      <c r="G21" s="17"/>
      <c r="H21" s="17"/>
      <c r="I21" s="17"/>
      <c r="J21" s="17"/>
    </row>
    <row r="22" spans="1:10">
      <c r="A22" s="17">
        <v>1</v>
      </c>
      <c r="B22" s="1655" t="s">
        <v>136</v>
      </c>
      <c r="C22" s="1655"/>
      <c r="D22" s="1655"/>
      <c r="E22" s="1655"/>
      <c r="F22" s="1655"/>
      <c r="G22" s="1655"/>
      <c r="H22" s="1655"/>
      <c r="I22" s="1655"/>
      <c r="J22" s="1655"/>
    </row>
    <row r="23" spans="1:10">
      <c r="A23" s="17"/>
      <c r="B23" s="225"/>
      <c r="C23" s="225"/>
      <c r="D23" s="225"/>
      <c r="E23" s="225"/>
      <c r="F23" s="225"/>
      <c r="G23" s="225"/>
      <c r="H23" s="225"/>
      <c r="I23" s="225"/>
      <c r="J23" s="225"/>
    </row>
    <row r="24" spans="1:10" ht="12.75" customHeight="1">
      <c r="A24" s="17">
        <v>2</v>
      </c>
      <c r="B24" s="1652" t="s">
        <v>283</v>
      </c>
      <c r="C24" s="1652"/>
      <c r="D24" s="1652"/>
      <c r="E24" s="1652"/>
      <c r="F24" s="1652"/>
      <c r="G24" s="1652"/>
      <c r="H24" s="1652"/>
      <c r="I24" s="1652"/>
      <c r="J24" s="1652"/>
    </row>
    <row r="25" spans="1:10">
      <c r="A25" s="17"/>
      <c r="B25" s="1652"/>
      <c r="C25" s="1652"/>
      <c r="D25" s="1652"/>
      <c r="E25" s="1652"/>
      <c r="F25" s="1652"/>
      <c r="G25" s="1652"/>
      <c r="H25" s="1652"/>
      <c r="I25" s="1652"/>
      <c r="J25" s="1652"/>
    </row>
    <row r="26" spans="1:10">
      <c r="A26" s="17"/>
      <c r="B26" s="225"/>
      <c r="C26" s="225"/>
      <c r="D26" s="225"/>
      <c r="E26" s="225"/>
      <c r="F26" s="225"/>
      <c r="G26" s="225"/>
      <c r="H26" s="225"/>
      <c r="I26" s="225"/>
      <c r="J26" s="225"/>
    </row>
    <row r="27" spans="1:10">
      <c r="A27" s="17">
        <v>3</v>
      </c>
      <c r="B27" s="1655" t="s">
        <v>160</v>
      </c>
      <c r="C27" s="1655"/>
      <c r="D27" s="1655"/>
      <c r="E27" s="1655"/>
      <c r="F27" s="1655"/>
      <c r="G27" s="1655"/>
      <c r="H27" s="1655"/>
      <c r="I27" s="1655"/>
      <c r="J27" s="1655"/>
    </row>
    <row r="28" spans="1:10">
      <c r="A28" s="17"/>
      <c r="B28" s="225"/>
      <c r="C28" s="225"/>
      <c r="D28" s="225"/>
      <c r="E28" s="225"/>
      <c r="F28" s="225"/>
      <c r="G28" s="225"/>
      <c r="H28" s="225"/>
      <c r="I28" s="225"/>
      <c r="J28" s="225"/>
    </row>
    <row r="29" spans="1:10">
      <c r="A29" s="17">
        <v>4</v>
      </c>
      <c r="B29" s="1655" t="s">
        <v>349</v>
      </c>
      <c r="C29" s="1655"/>
      <c r="D29" s="1655"/>
      <c r="E29" s="1655"/>
      <c r="F29" s="1655"/>
      <c r="G29" s="1655"/>
      <c r="H29" s="1655"/>
      <c r="I29" s="1655"/>
      <c r="J29" s="1655"/>
    </row>
    <row r="30" spans="1:10">
      <c r="A30" s="17"/>
      <c r="B30" s="17"/>
      <c r="C30" s="17"/>
      <c r="D30" s="17"/>
      <c r="E30" s="17"/>
      <c r="F30" s="17"/>
      <c r="G30" s="17"/>
      <c r="H30" s="17"/>
      <c r="I30" s="17"/>
      <c r="J30" s="17"/>
    </row>
    <row r="31" spans="1:10">
      <c r="A31" s="1662" t="s">
        <v>297</v>
      </c>
      <c r="B31" s="1662"/>
      <c r="C31" s="1662"/>
      <c r="D31" s="1662"/>
      <c r="E31" s="1662"/>
      <c r="F31" s="1662"/>
      <c r="G31" s="1662"/>
      <c r="H31" s="1662"/>
      <c r="I31" s="1662"/>
      <c r="J31" s="1662"/>
    </row>
    <row r="32" spans="1:10">
      <c r="A32" s="17"/>
      <c r="B32" s="17"/>
      <c r="C32" s="17"/>
      <c r="D32" s="17"/>
      <c r="E32" s="17"/>
      <c r="F32" s="17"/>
      <c r="G32" s="17"/>
      <c r="H32" s="17"/>
      <c r="I32" s="17"/>
      <c r="J32" s="17"/>
    </row>
    <row r="33" spans="1:10" ht="12.75" customHeight="1">
      <c r="A33" s="17">
        <v>1</v>
      </c>
      <c r="B33" s="1658" t="s">
        <v>350</v>
      </c>
      <c r="C33" s="1659"/>
      <c r="D33" s="1659"/>
      <c r="E33" s="1659"/>
      <c r="F33" s="1659"/>
      <c r="G33" s="1659"/>
      <c r="H33" s="1659"/>
      <c r="I33" s="1659"/>
      <c r="J33" s="1659"/>
    </row>
    <row r="34" spans="1:10">
      <c r="A34" s="17"/>
      <c r="B34" s="1659"/>
      <c r="C34" s="1659"/>
      <c r="D34" s="1659"/>
      <c r="E34" s="1659"/>
      <c r="F34" s="1659"/>
      <c r="G34" s="1659"/>
      <c r="H34" s="1659"/>
      <c r="I34" s="1659"/>
      <c r="J34" s="1659"/>
    </row>
    <row r="35" spans="1:10">
      <c r="A35" s="17"/>
      <c r="B35" s="1659"/>
      <c r="C35" s="1659"/>
      <c r="D35" s="1659"/>
      <c r="E35" s="1659"/>
      <c r="F35" s="1659"/>
      <c r="G35" s="1659"/>
      <c r="H35" s="1659"/>
      <c r="I35" s="1659"/>
      <c r="J35" s="1659"/>
    </row>
    <row r="36" spans="1:10">
      <c r="A36" s="17"/>
      <c r="B36" s="1659"/>
      <c r="C36" s="1659"/>
      <c r="D36" s="1659"/>
      <c r="E36" s="1659"/>
      <c r="F36" s="1659"/>
      <c r="G36" s="1659"/>
      <c r="H36" s="1659"/>
      <c r="I36" s="1659"/>
      <c r="J36" s="1659"/>
    </row>
    <row r="37" spans="1:10">
      <c r="A37" s="17"/>
      <c r="B37" s="1659"/>
      <c r="C37" s="1659"/>
      <c r="D37" s="1659"/>
      <c r="E37" s="1659"/>
      <c r="F37" s="1659"/>
      <c r="G37" s="1659"/>
      <c r="H37" s="1659"/>
      <c r="I37" s="1659"/>
      <c r="J37" s="1659"/>
    </row>
    <row r="38" spans="1:10">
      <c r="A38" s="17"/>
      <c r="B38" s="1659"/>
      <c r="C38" s="1659"/>
      <c r="D38" s="1659"/>
      <c r="E38" s="1659"/>
      <c r="F38" s="1659"/>
      <c r="G38" s="1659"/>
      <c r="H38" s="1659"/>
      <c r="I38" s="1659"/>
      <c r="J38" s="1659"/>
    </row>
    <row r="39" spans="1:10">
      <c r="A39" s="17"/>
      <c r="B39" s="17"/>
      <c r="C39" s="17"/>
      <c r="D39" s="17"/>
      <c r="E39" s="17"/>
      <c r="F39" s="17"/>
      <c r="G39" s="17"/>
      <c r="H39" s="17"/>
      <c r="I39" s="17"/>
      <c r="J39" s="17"/>
    </row>
    <row r="40" spans="1:10">
      <c r="A40" s="18" t="s">
        <v>163</v>
      </c>
      <c r="B40" s="17"/>
      <c r="C40" s="17"/>
      <c r="D40" s="17"/>
      <c r="E40" s="17"/>
      <c r="F40" s="17"/>
      <c r="G40" s="217" t="s">
        <v>164</v>
      </c>
      <c r="I40" s="17"/>
      <c r="J40" s="17"/>
    </row>
    <row r="41" spans="1:10">
      <c r="A41" s="17"/>
      <c r="B41" s="17"/>
      <c r="C41" s="17"/>
      <c r="D41" s="17"/>
      <c r="E41" s="17"/>
      <c r="F41" s="17"/>
      <c r="G41" s="17"/>
      <c r="H41" s="17"/>
      <c r="I41" s="17"/>
      <c r="J41" s="17"/>
    </row>
    <row r="42" spans="1:10" ht="12.75" customHeight="1">
      <c r="A42" s="1657">
        <v>1</v>
      </c>
      <c r="B42" s="1653" t="s">
        <v>285</v>
      </c>
      <c r="C42" s="1653"/>
      <c r="D42" s="1653"/>
      <c r="E42" s="1653"/>
      <c r="F42" s="1653"/>
      <c r="G42" s="1653"/>
      <c r="H42" s="1653"/>
      <c r="I42" s="1653"/>
      <c r="J42" s="1653"/>
    </row>
    <row r="43" spans="1:10">
      <c r="A43" s="1657"/>
      <c r="B43" s="1653"/>
      <c r="C43" s="1653"/>
      <c r="D43" s="1653"/>
      <c r="E43" s="1653"/>
      <c r="F43" s="1653"/>
      <c r="G43" s="1653"/>
      <c r="H43" s="1653"/>
      <c r="I43" s="1653"/>
      <c r="J43" s="1653"/>
    </row>
    <row r="44" spans="1:10">
      <c r="A44" s="17"/>
      <c r="B44" s="17"/>
      <c r="C44" s="17"/>
      <c r="D44" s="17"/>
      <c r="E44" s="17"/>
      <c r="F44" s="17"/>
      <c r="G44" s="17"/>
      <c r="H44" s="17"/>
      <c r="I44" s="17"/>
      <c r="J44" s="17"/>
    </row>
    <row r="45" spans="1:10">
      <c r="A45" s="99">
        <v>2</v>
      </c>
      <c r="B45" s="1655" t="s">
        <v>278</v>
      </c>
      <c r="C45" s="1655"/>
      <c r="D45" s="1655"/>
      <c r="E45" s="1655"/>
      <c r="F45" s="1655"/>
      <c r="G45" s="1655"/>
      <c r="H45" s="1655"/>
      <c r="I45" s="1655"/>
      <c r="J45" s="1655"/>
    </row>
    <row r="46" spans="1:10">
      <c r="A46" s="17"/>
      <c r="B46" s="17"/>
      <c r="C46" s="17"/>
      <c r="D46" s="17"/>
      <c r="E46" s="17"/>
      <c r="F46" s="17"/>
      <c r="G46" s="17"/>
      <c r="H46" s="17"/>
      <c r="I46" s="17"/>
      <c r="J46" s="17"/>
    </row>
    <row r="47" spans="1:10">
      <c r="A47" s="18" t="s">
        <v>279</v>
      </c>
      <c r="B47" s="17"/>
      <c r="C47" s="17"/>
      <c r="D47" s="17"/>
      <c r="E47" s="77" t="s">
        <v>138</v>
      </c>
      <c r="F47" s="76"/>
      <c r="G47" s="76"/>
      <c r="H47" s="17"/>
      <c r="I47" s="17"/>
      <c r="J47" s="17"/>
    </row>
    <row r="48" spans="1:10">
      <c r="A48" s="17"/>
      <c r="B48" s="17"/>
      <c r="C48" s="17"/>
      <c r="D48" s="17"/>
      <c r="E48" s="17"/>
      <c r="F48" s="17"/>
      <c r="G48" s="17"/>
      <c r="H48" s="17"/>
      <c r="I48" s="17"/>
      <c r="J48" s="17"/>
    </row>
    <row r="49" spans="1:12">
      <c r="A49" s="17"/>
      <c r="B49" s="19" t="s">
        <v>156</v>
      </c>
      <c r="C49" s="17"/>
      <c r="D49" s="17"/>
      <c r="E49" s="17"/>
      <c r="F49" s="17"/>
      <c r="G49" s="17"/>
      <c r="H49" s="17"/>
      <c r="I49" s="17"/>
      <c r="J49" s="17"/>
    </row>
    <row r="50" spans="1:12">
      <c r="A50" s="17"/>
      <c r="B50" s="19"/>
      <c r="C50" s="17"/>
      <c r="D50" s="17"/>
      <c r="E50" s="17"/>
      <c r="F50" s="17"/>
      <c r="G50" s="17"/>
      <c r="H50" s="17"/>
      <c r="I50" s="17"/>
      <c r="J50" s="17"/>
    </row>
    <row r="51" spans="1:12">
      <c r="A51" s="99">
        <v>1</v>
      </c>
      <c r="B51" s="1654" t="s">
        <v>219</v>
      </c>
      <c r="C51" s="1654"/>
      <c r="D51" s="1654"/>
      <c r="E51" s="1654"/>
      <c r="F51" s="1654"/>
      <c r="G51" s="1654"/>
      <c r="H51" s="1654"/>
      <c r="I51" s="1654"/>
      <c r="J51" s="1654"/>
    </row>
    <row r="52" spans="1:12">
      <c r="A52" s="17"/>
      <c r="B52" s="17"/>
      <c r="C52" s="17"/>
      <c r="D52" s="17"/>
      <c r="E52" s="17"/>
      <c r="F52" s="17"/>
      <c r="G52" s="17"/>
      <c r="H52" s="17"/>
      <c r="I52" s="17"/>
      <c r="J52" s="17"/>
    </row>
    <row r="53" spans="1:12" ht="27" customHeight="1">
      <c r="A53" s="99">
        <v>2</v>
      </c>
      <c r="B53" s="1653" t="s">
        <v>292</v>
      </c>
      <c r="C53" s="1653"/>
      <c r="D53" s="1653"/>
      <c r="E53" s="1653"/>
      <c r="F53" s="1653"/>
      <c r="G53" s="1653"/>
      <c r="H53" s="1653"/>
      <c r="I53" s="1653"/>
      <c r="J53" s="1653"/>
    </row>
    <row r="54" spans="1:12">
      <c r="A54" s="17"/>
      <c r="B54" s="17"/>
      <c r="C54" s="17"/>
      <c r="D54" s="17"/>
      <c r="E54" s="17"/>
      <c r="F54" s="17"/>
      <c r="G54" s="17"/>
      <c r="H54" s="17"/>
      <c r="I54" s="17"/>
      <c r="J54" s="17"/>
    </row>
    <row r="55" spans="1:12" ht="26.25" customHeight="1">
      <c r="A55" s="99">
        <v>3</v>
      </c>
      <c r="B55" s="1653" t="s">
        <v>215</v>
      </c>
      <c r="C55" s="1653"/>
      <c r="D55" s="1653"/>
      <c r="E55" s="1653"/>
      <c r="F55" s="1653"/>
      <c r="G55" s="1653"/>
      <c r="H55" s="1653"/>
      <c r="I55" s="1653"/>
      <c r="J55" s="1653"/>
    </row>
    <row r="56" spans="1:12">
      <c r="A56" s="17"/>
      <c r="B56" s="17"/>
      <c r="C56" s="17"/>
      <c r="D56" s="17"/>
      <c r="E56" s="17"/>
      <c r="F56" s="17"/>
      <c r="G56" s="17"/>
      <c r="H56" s="17"/>
      <c r="I56" s="17"/>
      <c r="J56" s="17"/>
    </row>
    <row r="57" spans="1:12">
      <c r="A57" s="99">
        <v>4</v>
      </c>
      <c r="B57" s="1654" t="s">
        <v>351</v>
      </c>
      <c r="C57" s="1654"/>
      <c r="D57" s="1654"/>
      <c r="E57" s="1654"/>
      <c r="F57" s="1654"/>
      <c r="G57" s="1654"/>
      <c r="H57" s="1654"/>
      <c r="I57" s="1654"/>
      <c r="J57" s="1654"/>
    </row>
    <row r="58" spans="1:12">
      <c r="A58" s="17"/>
      <c r="B58" s="17"/>
      <c r="C58" s="17"/>
      <c r="D58" s="17"/>
      <c r="E58" s="17"/>
      <c r="F58" s="17"/>
      <c r="G58" s="17"/>
      <c r="H58" s="17"/>
      <c r="I58" s="17"/>
      <c r="J58" s="17"/>
    </row>
    <row r="59" spans="1:12" ht="12.75" customHeight="1">
      <c r="A59" s="99">
        <v>5</v>
      </c>
      <c r="B59" s="1653" t="s">
        <v>216</v>
      </c>
      <c r="C59" s="1653"/>
      <c r="D59" s="1653"/>
      <c r="E59" s="1653"/>
      <c r="F59" s="1653"/>
      <c r="G59" s="1653"/>
      <c r="H59" s="1653"/>
      <c r="I59" s="1653"/>
      <c r="J59" s="1653"/>
      <c r="K59" s="83"/>
    </row>
    <row r="60" spans="1:12" ht="25.5" customHeight="1">
      <c r="A60" s="17"/>
      <c r="B60" s="100" t="s">
        <v>220</v>
      </c>
      <c r="C60" s="1653" t="s">
        <v>293</v>
      </c>
      <c r="D60" s="1653"/>
      <c r="E60" s="1653"/>
      <c r="F60" s="1653"/>
      <c r="G60" s="1653"/>
      <c r="H60" s="1653"/>
      <c r="I60" s="1653"/>
      <c r="J60" s="1653"/>
    </row>
    <row r="61" spans="1:12" ht="38.25" customHeight="1">
      <c r="B61" s="100" t="s">
        <v>221</v>
      </c>
      <c r="C61" s="1653" t="s">
        <v>286</v>
      </c>
      <c r="D61" s="1653"/>
      <c r="E61" s="1653"/>
      <c r="F61" s="1653"/>
      <c r="G61" s="1653"/>
      <c r="H61" s="1653"/>
      <c r="I61" s="1653"/>
      <c r="J61" s="1653"/>
      <c r="K61" s="83"/>
      <c r="L61" s="83"/>
    </row>
    <row r="62" spans="1:12" ht="38.25" customHeight="1">
      <c r="B62" s="100" t="s">
        <v>222</v>
      </c>
      <c r="C62" s="1653" t="s">
        <v>217</v>
      </c>
      <c r="D62" s="1653"/>
      <c r="E62" s="1653"/>
      <c r="F62" s="1653"/>
      <c r="G62" s="1653"/>
      <c r="H62" s="1653"/>
      <c r="I62" s="1653"/>
      <c r="J62" s="1653"/>
      <c r="K62" s="84"/>
      <c r="L62" s="84"/>
    </row>
    <row r="64" spans="1:12" ht="25.5" customHeight="1">
      <c r="A64" s="99">
        <v>6</v>
      </c>
      <c r="B64" s="1653" t="s">
        <v>352</v>
      </c>
      <c r="C64" s="1653"/>
      <c r="D64" s="1653"/>
      <c r="E64" s="1653"/>
      <c r="F64" s="1653"/>
      <c r="G64" s="1653"/>
      <c r="H64" s="1653"/>
      <c r="I64" s="1653"/>
      <c r="J64" s="1653"/>
    </row>
    <row r="65" spans="1:10">
      <c r="A65" s="864"/>
      <c r="B65" s="864"/>
      <c r="C65" s="864"/>
      <c r="D65" s="864"/>
      <c r="E65" s="864"/>
      <c r="F65" s="864"/>
      <c r="G65" s="864"/>
      <c r="H65" s="864"/>
      <c r="I65" s="864"/>
      <c r="J65" s="864"/>
    </row>
    <row r="66" spans="1:10">
      <c r="A66" s="99">
        <v>7</v>
      </c>
      <c r="B66" s="1654" t="s">
        <v>218</v>
      </c>
      <c r="C66" s="1654"/>
      <c r="D66" s="1654"/>
      <c r="E66" s="1654"/>
      <c r="F66" s="1654"/>
      <c r="G66" s="1654"/>
      <c r="H66" s="1654"/>
      <c r="I66" s="1654"/>
      <c r="J66" s="1654"/>
    </row>
    <row r="67" spans="1:10">
      <c r="A67" s="99"/>
      <c r="B67" s="864"/>
      <c r="C67" s="864"/>
      <c r="D67" s="864"/>
      <c r="E67" s="864"/>
      <c r="F67" s="864"/>
      <c r="G67" s="864"/>
      <c r="H67" s="864"/>
      <c r="I67" s="864"/>
      <c r="J67" s="864"/>
    </row>
    <row r="68" spans="1:10">
      <c r="A68" s="99">
        <v>8</v>
      </c>
      <c r="B68" s="1654" t="s">
        <v>287</v>
      </c>
      <c r="C68" s="1654"/>
      <c r="D68" s="1654"/>
      <c r="E68" s="1654"/>
      <c r="F68" s="1654"/>
      <c r="G68" s="1654"/>
      <c r="H68" s="1654"/>
      <c r="I68" s="1654"/>
      <c r="J68" s="1654"/>
    </row>
    <row r="69" spans="1:10">
      <c r="A69" s="99"/>
      <c r="B69" s="99"/>
      <c r="C69" s="99"/>
      <c r="D69" s="99"/>
      <c r="E69" s="99"/>
      <c r="F69" s="99"/>
      <c r="G69" s="99"/>
      <c r="H69" s="99"/>
      <c r="I69" s="99"/>
      <c r="J69" s="99"/>
    </row>
    <row r="70" spans="1:10" ht="27" customHeight="1">
      <c r="A70" s="99">
        <v>9</v>
      </c>
      <c r="B70" s="1653" t="s">
        <v>280</v>
      </c>
      <c r="C70" s="1653"/>
      <c r="D70" s="1653"/>
      <c r="E70" s="1653"/>
      <c r="F70" s="1653"/>
      <c r="G70" s="1653"/>
      <c r="H70" s="1653"/>
      <c r="I70" s="1653"/>
      <c r="J70" s="1653"/>
    </row>
    <row r="71" spans="1:10">
      <c r="A71" s="99"/>
      <c r="B71" s="84"/>
      <c r="C71" s="84"/>
      <c r="D71" s="84"/>
      <c r="E71" s="84"/>
      <c r="F71" s="84"/>
      <c r="G71" s="84"/>
      <c r="H71" s="84"/>
      <c r="I71" s="84"/>
      <c r="J71" s="84"/>
    </row>
    <row r="72" spans="1:10" ht="27" customHeight="1">
      <c r="A72" s="99">
        <v>10</v>
      </c>
      <c r="B72" s="1653" t="s">
        <v>483</v>
      </c>
      <c r="C72" s="1653"/>
      <c r="D72" s="1653"/>
      <c r="E72" s="1653"/>
      <c r="F72" s="1653"/>
      <c r="G72" s="1653"/>
      <c r="H72" s="1653"/>
      <c r="I72" s="1653"/>
      <c r="J72" s="1653"/>
    </row>
    <row r="73" spans="1:10">
      <c r="A73" s="17"/>
      <c r="B73" s="17"/>
      <c r="C73" s="17"/>
      <c r="D73" s="17"/>
      <c r="E73" s="17"/>
      <c r="F73" s="17"/>
      <c r="G73" s="17"/>
      <c r="H73" s="17"/>
      <c r="I73" s="17"/>
      <c r="J73" s="17"/>
    </row>
    <row r="74" spans="1:10">
      <c r="A74" s="18" t="s">
        <v>166</v>
      </c>
      <c r="B74" s="17"/>
      <c r="C74" s="77" t="s">
        <v>138</v>
      </c>
      <c r="D74" s="76"/>
      <c r="E74" s="76"/>
      <c r="F74" s="17"/>
      <c r="G74" s="17"/>
      <c r="H74" s="17"/>
      <c r="I74" s="17"/>
      <c r="J74" s="17"/>
    </row>
    <row r="75" spans="1:10">
      <c r="A75" s="17"/>
      <c r="B75" s="17"/>
      <c r="C75" s="17"/>
      <c r="D75" s="17"/>
      <c r="E75" s="17"/>
      <c r="F75" s="17"/>
      <c r="G75" s="17"/>
      <c r="H75" s="17"/>
      <c r="I75" s="17"/>
      <c r="J75" s="17"/>
    </row>
    <row r="76" spans="1:10" ht="25.5" customHeight="1">
      <c r="A76" s="99">
        <v>1</v>
      </c>
      <c r="B76" s="1652" t="s">
        <v>288</v>
      </c>
      <c r="C76" s="1652"/>
      <c r="D76" s="1652"/>
      <c r="E76" s="1652"/>
      <c r="F76" s="1652"/>
      <c r="G76" s="1652"/>
      <c r="H76" s="1652"/>
      <c r="I76" s="1652"/>
      <c r="J76" s="1652"/>
    </row>
    <row r="77" spans="1:10">
      <c r="A77" s="17"/>
      <c r="B77" s="17"/>
      <c r="C77" s="17"/>
      <c r="D77" s="17"/>
      <c r="E77" s="17"/>
      <c r="F77" s="17"/>
      <c r="G77" s="17"/>
      <c r="H77" s="17"/>
      <c r="I77" s="17"/>
      <c r="J77" s="17"/>
    </row>
    <row r="78" spans="1:10">
      <c r="A78" s="17">
        <v>2</v>
      </c>
      <c r="B78" s="1655" t="s">
        <v>224</v>
      </c>
      <c r="C78" s="1655"/>
      <c r="D78" s="1655"/>
      <c r="E78" s="1655"/>
      <c r="F78" s="1655"/>
      <c r="G78" s="1655"/>
      <c r="H78" s="1655"/>
      <c r="I78" s="1655"/>
      <c r="J78" s="1655"/>
    </row>
    <row r="79" spans="1:10">
      <c r="A79" s="17"/>
      <c r="B79" s="17"/>
      <c r="C79" s="17"/>
      <c r="D79" s="17"/>
      <c r="E79" s="17"/>
      <c r="F79" s="17"/>
      <c r="G79" s="17"/>
      <c r="H79" s="17"/>
      <c r="I79" s="17"/>
      <c r="J79" s="17"/>
    </row>
    <row r="80" spans="1:10">
      <c r="A80" s="17">
        <v>3</v>
      </c>
      <c r="B80" s="1656" t="s">
        <v>289</v>
      </c>
      <c r="C80" s="1656"/>
      <c r="D80" s="1656"/>
      <c r="E80" s="1656"/>
      <c r="F80" s="1656"/>
      <c r="G80" s="1656"/>
      <c r="H80" s="1656"/>
      <c r="I80" s="1656"/>
      <c r="J80" s="1656"/>
    </row>
    <row r="81" spans="1:10">
      <c r="A81" s="17"/>
      <c r="B81" s="17"/>
      <c r="C81" s="17"/>
      <c r="D81" s="17"/>
      <c r="E81" s="17"/>
      <c r="F81" s="17"/>
      <c r="G81" s="17"/>
      <c r="H81" s="17"/>
      <c r="I81" s="17"/>
      <c r="J81" s="17"/>
    </row>
    <row r="82" spans="1:10" ht="12.75" customHeight="1">
      <c r="A82" s="17">
        <v>4</v>
      </c>
      <c r="B82" s="1652" t="s">
        <v>157</v>
      </c>
      <c r="C82" s="1652"/>
      <c r="D82" s="1652"/>
      <c r="E82" s="1652"/>
      <c r="F82" s="1652"/>
      <c r="G82" s="1652"/>
      <c r="H82" s="1652"/>
      <c r="I82" s="1652"/>
      <c r="J82" s="1652"/>
    </row>
    <row r="83" spans="1:10">
      <c r="A83" s="17"/>
      <c r="B83" s="1652"/>
      <c r="C83" s="1652"/>
      <c r="D83" s="1652"/>
      <c r="E83" s="1652"/>
      <c r="F83" s="1652"/>
      <c r="G83" s="1652"/>
      <c r="H83" s="1652"/>
      <c r="I83" s="1652"/>
      <c r="J83" s="1652"/>
    </row>
    <row r="84" spans="1:10">
      <c r="A84" s="17"/>
      <c r="B84" s="17"/>
      <c r="C84" s="17"/>
      <c r="D84" s="17"/>
      <c r="E84" s="17"/>
      <c r="F84" s="17"/>
      <c r="G84" s="17"/>
      <c r="H84" s="17"/>
      <c r="I84" s="17"/>
      <c r="J84" s="17"/>
    </row>
    <row r="85" spans="1:10" ht="25.5" customHeight="1">
      <c r="A85" s="99">
        <v>5</v>
      </c>
      <c r="B85" s="1652" t="s">
        <v>223</v>
      </c>
      <c r="C85" s="1652"/>
      <c r="D85" s="1652"/>
      <c r="E85" s="1652"/>
      <c r="F85" s="1652"/>
      <c r="G85" s="1652"/>
      <c r="H85" s="1652"/>
      <c r="I85" s="1652"/>
      <c r="J85" s="1652"/>
    </row>
    <row r="86" spans="1:10">
      <c r="A86" s="17"/>
      <c r="B86" s="17"/>
      <c r="C86" s="17"/>
      <c r="D86" s="17"/>
      <c r="E86" s="17"/>
      <c r="F86" s="17"/>
      <c r="G86" s="17"/>
      <c r="H86" s="17"/>
      <c r="I86" s="17"/>
      <c r="J86" s="17"/>
    </row>
    <row r="87" spans="1:10" ht="12.75" customHeight="1">
      <c r="A87" s="17">
        <v>6</v>
      </c>
      <c r="B87" s="1652" t="s">
        <v>290</v>
      </c>
      <c r="C87" s="1652"/>
      <c r="D87" s="1652"/>
      <c r="E87" s="1652"/>
      <c r="F87" s="1652"/>
      <c r="G87" s="1652"/>
      <c r="H87" s="1652"/>
      <c r="I87" s="1652"/>
      <c r="J87" s="1652"/>
    </row>
    <row r="88" spans="1:10">
      <c r="A88" s="17"/>
      <c r="B88" s="1652"/>
      <c r="C88" s="1652"/>
      <c r="D88" s="1652"/>
      <c r="E88" s="1652"/>
      <c r="F88" s="1652"/>
      <c r="G88" s="1652"/>
      <c r="H88" s="1652"/>
      <c r="I88" s="1652"/>
      <c r="J88" s="1652"/>
    </row>
    <row r="89" spans="1:10">
      <c r="A89" s="17"/>
      <c r="B89" s="17"/>
      <c r="C89" s="17"/>
      <c r="D89" s="17"/>
      <c r="E89" s="17"/>
      <c r="F89" s="17"/>
      <c r="G89" s="17"/>
      <c r="H89" s="17"/>
      <c r="I89" s="17"/>
      <c r="J89" s="17"/>
    </row>
    <row r="90" spans="1:10">
      <c r="A90" s="1550" t="s">
        <v>504</v>
      </c>
      <c r="B90" s="17"/>
      <c r="C90" s="17"/>
      <c r="D90" s="17"/>
      <c r="E90" s="17"/>
      <c r="F90" s="17"/>
      <c r="G90" s="17"/>
      <c r="H90" s="17"/>
      <c r="I90" s="17"/>
      <c r="J90" s="17"/>
    </row>
    <row r="91" spans="1:10">
      <c r="A91" s="1562"/>
      <c r="B91" s="1604"/>
      <c r="C91" s="1604"/>
      <c r="D91" s="1604"/>
      <c r="E91" s="1604"/>
      <c r="F91" s="1604"/>
      <c r="G91" s="1604"/>
      <c r="H91" s="1604"/>
      <c r="I91" s="1604"/>
      <c r="J91" s="1604"/>
    </row>
    <row r="92" spans="1:10">
      <c r="A92" s="1604"/>
      <c r="B92" s="1604"/>
      <c r="C92" s="1604"/>
      <c r="D92" s="1604"/>
      <c r="E92" s="1604"/>
      <c r="F92" s="1604"/>
      <c r="G92" s="1604"/>
      <c r="H92" s="1604"/>
      <c r="I92" s="1604"/>
      <c r="J92" s="1604"/>
    </row>
    <row r="93" spans="1:10">
      <c r="A93" s="1651"/>
      <c r="B93" s="1651"/>
      <c r="C93" s="1651"/>
      <c r="D93" s="1651"/>
      <c r="E93" s="1651"/>
      <c r="F93" s="1651"/>
      <c r="G93" s="1651"/>
      <c r="H93" s="1651"/>
      <c r="I93" s="1651"/>
      <c r="J93" s="1651"/>
    </row>
    <row r="94" spans="1:10">
      <c r="A94" s="1651"/>
      <c r="B94" s="1651"/>
      <c r="C94" s="1651"/>
      <c r="D94" s="1651"/>
      <c r="E94" s="1651"/>
      <c r="F94" s="1651"/>
      <c r="G94" s="1651"/>
      <c r="H94" s="1651"/>
      <c r="I94" s="1651"/>
      <c r="J94" s="1651"/>
    </row>
    <row r="95" spans="1:10">
      <c r="A95" s="1562"/>
      <c r="B95" s="17"/>
      <c r="C95" s="17"/>
      <c r="D95" s="17"/>
      <c r="E95" s="17"/>
      <c r="F95" s="17"/>
      <c r="G95" s="17"/>
      <c r="H95" s="17"/>
      <c r="I95" s="17"/>
      <c r="J95" s="17"/>
    </row>
    <row r="96" spans="1:10">
      <c r="A96" s="1549"/>
      <c r="B96" s="17"/>
      <c r="C96" s="17"/>
      <c r="D96" s="17"/>
      <c r="E96" s="17"/>
      <c r="F96" s="17"/>
      <c r="G96" s="17"/>
      <c r="H96" s="17"/>
      <c r="I96" s="17"/>
      <c r="J96" s="17"/>
    </row>
    <row r="97" spans="1:10">
      <c r="A97" s="17"/>
      <c r="B97" s="17"/>
      <c r="C97" s="17"/>
      <c r="D97" s="17"/>
      <c r="E97" s="17"/>
      <c r="F97" s="17"/>
      <c r="G97" s="17"/>
      <c r="H97" s="17"/>
      <c r="I97" s="17"/>
      <c r="J97" s="17"/>
    </row>
    <row r="98" spans="1:10">
      <c r="A98" s="17"/>
      <c r="B98" s="17"/>
      <c r="C98" s="17"/>
      <c r="D98" s="17"/>
      <c r="E98" s="17"/>
      <c r="F98" s="17"/>
      <c r="G98" s="17"/>
      <c r="H98" s="17"/>
      <c r="I98" s="17"/>
      <c r="J98" s="17"/>
    </row>
    <row r="99" spans="1:10">
      <c r="A99" s="17"/>
      <c r="B99" s="17"/>
      <c r="C99" s="17"/>
      <c r="D99" s="17"/>
      <c r="E99" s="17"/>
      <c r="F99" s="17"/>
      <c r="G99" s="17"/>
      <c r="H99" s="17"/>
      <c r="I99" s="17"/>
      <c r="J99" s="17"/>
    </row>
    <row r="100" spans="1:10">
      <c r="A100" s="17"/>
      <c r="B100" s="17"/>
      <c r="C100" s="17"/>
      <c r="D100" s="17"/>
      <c r="E100" s="17"/>
      <c r="F100" s="17"/>
      <c r="G100" s="17"/>
      <c r="H100" s="17"/>
      <c r="I100" s="17"/>
      <c r="J100" s="17"/>
    </row>
    <row r="101" spans="1:10">
      <c r="A101" s="17"/>
      <c r="B101" s="17"/>
      <c r="C101" s="17"/>
      <c r="D101" s="17"/>
      <c r="E101" s="17"/>
      <c r="F101" s="17"/>
      <c r="G101" s="17"/>
      <c r="H101" s="17"/>
      <c r="I101" s="17"/>
      <c r="J101" s="17"/>
    </row>
    <row r="102" spans="1:10">
      <c r="A102" s="17"/>
      <c r="B102" s="17"/>
      <c r="C102" s="17"/>
      <c r="D102" s="17"/>
      <c r="E102" s="17"/>
      <c r="F102" s="17"/>
      <c r="G102" s="17"/>
      <c r="H102" s="17"/>
      <c r="I102" s="17"/>
      <c r="J102" s="17"/>
    </row>
    <row r="103" spans="1:10">
      <c r="A103" s="17"/>
      <c r="B103" s="17"/>
      <c r="C103" s="17"/>
      <c r="D103" s="17"/>
      <c r="E103" s="17"/>
      <c r="F103" s="17"/>
      <c r="G103" s="17"/>
      <c r="H103" s="17"/>
      <c r="I103" s="17"/>
      <c r="J103" s="17"/>
    </row>
    <row r="104" spans="1:10">
      <c r="A104" s="17"/>
      <c r="B104" s="17"/>
      <c r="C104" s="17"/>
      <c r="D104" s="17"/>
      <c r="E104" s="17"/>
      <c r="F104" s="17"/>
      <c r="G104" s="17"/>
      <c r="H104" s="17"/>
      <c r="I104" s="17"/>
      <c r="J104" s="17"/>
    </row>
    <row r="105" spans="1:10">
      <c r="A105" s="17"/>
      <c r="B105" s="17"/>
      <c r="C105" s="17"/>
      <c r="D105" s="17"/>
      <c r="E105" s="17"/>
      <c r="F105" s="17"/>
      <c r="G105" s="17"/>
      <c r="H105" s="17"/>
      <c r="I105" s="17"/>
      <c r="J105" s="17"/>
    </row>
    <row r="106" spans="1:10">
      <c r="A106" s="17"/>
      <c r="B106" s="17"/>
      <c r="C106" s="17"/>
      <c r="D106" s="17"/>
      <c r="E106" s="17"/>
      <c r="F106" s="17"/>
      <c r="G106" s="17"/>
      <c r="H106" s="17"/>
      <c r="I106" s="17"/>
      <c r="J106" s="17"/>
    </row>
    <row r="107" spans="1:10">
      <c r="A107" s="17"/>
      <c r="B107" s="17"/>
      <c r="C107" s="17"/>
      <c r="D107" s="17"/>
      <c r="E107" s="17"/>
      <c r="F107" s="17"/>
      <c r="G107" s="17"/>
      <c r="H107" s="17"/>
      <c r="I107" s="17"/>
      <c r="J107" s="17"/>
    </row>
    <row r="108" spans="1:10">
      <c r="A108" s="17"/>
      <c r="B108" s="17"/>
      <c r="C108" s="17"/>
      <c r="D108" s="17"/>
      <c r="E108" s="17"/>
      <c r="F108" s="17"/>
      <c r="G108" s="17"/>
      <c r="H108" s="17"/>
      <c r="I108" s="17"/>
      <c r="J108" s="17"/>
    </row>
    <row r="109" spans="1:10">
      <c r="A109" s="17"/>
      <c r="B109" s="17"/>
      <c r="C109" s="17"/>
      <c r="D109" s="17"/>
      <c r="E109" s="17"/>
      <c r="F109" s="17"/>
      <c r="G109" s="17"/>
      <c r="H109" s="17"/>
      <c r="I109" s="17"/>
      <c r="J109" s="17"/>
    </row>
    <row r="110" spans="1:10">
      <c r="A110" s="17"/>
      <c r="B110" s="17"/>
      <c r="C110" s="17"/>
      <c r="D110" s="17"/>
      <c r="E110" s="17"/>
      <c r="F110" s="17"/>
      <c r="G110" s="17"/>
      <c r="H110" s="17"/>
      <c r="I110" s="17"/>
      <c r="J110" s="17"/>
    </row>
    <row r="111" spans="1:10">
      <c r="A111" s="17"/>
      <c r="B111" s="17"/>
      <c r="C111" s="17"/>
      <c r="D111" s="17"/>
      <c r="E111" s="17"/>
      <c r="F111" s="17"/>
      <c r="G111" s="17"/>
      <c r="H111" s="17"/>
      <c r="I111" s="17"/>
      <c r="J111" s="17"/>
    </row>
    <row r="112" spans="1:10">
      <c r="A112" s="17"/>
      <c r="B112" s="17"/>
      <c r="C112" s="17"/>
      <c r="D112" s="17"/>
      <c r="E112" s="17"/>
      <c r="F112" s="17"/>
      <c r="G112" s="17"/>
      <c r="H112" s="17"/>
      <c r="I112" s="17"/>
      <c r="J112" s="17"/>
    </row>
    <row r="113" spans="1:10">
      <c r="A113" s="17"/>
      <c r="B113" s="17"/>
      <c r="C113" s="17"/>
      <c r="D113" s="17"/>
      <c r="E113" s="17"/>
      <c r="F113" s="17"/>
      <c r="G113" s="17"/>
      <c r="H113" s="17"/>
      <c r="I113" s="17"/>
      <c r="J113" s="17"/>
    </row>
  </sheetData>
  <sheetProtection algorithmName="SHA-512" hashValue="I7QbKuPp69AIRjEysRKjX9uDXBNLEWL5URseNQCVxJOisq6w3A1PoxjCNTkltFBCoK0OrvQmP2dUf1llSYz+ag==" saltValue="5M7SrBCJSDe6NBuFnupFGQ==" spinCount="100000" sheet="1" objects="1" scenarios="1"/>
  <mergeCells count="39">
    <mergeCell ref="B22:J22"/>
    <mergeCell ref="B33:J38"/>
    <mergeCell ref="B42:J43"/>
    <mergeCell ref="B3:J4"/>
    <mergeCell ref="B8:E8"/>
    <mergeCell ref="B12:E12"/>
    <mergeCell ref="C13:G13"/>
    <mergeCell ref="C14:G14"/>
    <mergeCell ref="B19:J20"/>
    <mergeCell ref="C15:G15"/>
    <mergeCell ref="A6:B6"/>
    <mergeCell ref="B29:J29"/>
    <mergeCell ref="A31:J31"/>
    <mergeCell ref="A17:B17"/>
    <mergeCell ref="B24:J25"/>
    <mergeCell ref="B27:J27"/>
    <mergeCell ref="C60:J60"/>
    <mergeCell ref="A42:A43"/>
    <mergeCell ref="B51:J51"/>
    <mergeCell ref="B53:J53"/>
    <mergeCell ref="B55:J55"/>
    <mergeCell ref="B57:J57"/>
    <mergeCell ref="B59:J59"/>
    <mergeCell ref="B45:J45"/>
    <mergeCell ref="C61:J61"/>
    <mergeCell ref="C62:J62"/>
    <mergeCell ref="B70:J70"/>
    <mergeCell ref="B78:J78"/>
    <mergeCell ref="B80:J80"/>
    <mergeCell ref="B68:J68"/>
    <mergeCell ref="A94:J94"/>
    <mergeCell ref="B82:J83"/>
    <mergeCell ref="B85:J85"/>
    <mergeCell ref="B64:J64"/>
    <mergeCell ref="B66:J66"/>
    <mergeCell ref="B76:J76"/>
    <mergeCell ref="B72:J72"/>
    <mergeCell ref="A93:J93"/>
    <mergeCell ref="B87:J88"/>
  </mergeCells>
  <phoneticPr fontId="5" type="noConversion"/>
  <hyperlinks>
    <hyperlink ref="G40" r:id="rId1" xr:uid="{00000000-0004-0000-0000-000000000000}"/>
  </hyperlinks>
  <pageMargins left="0" right="0" top="0.5" bottom="0.5" header="0.5" footer="0.5"/>
  <pageSetup scale="95" orientation="portrait"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6" tint="-0.249977111117893"/>
  </sheetPr>
  <dimension ref="A1:B28"/>
  <sheetViews>
    <sheetView showGridLines="0" topLeftCell="A6" zoomScale="145" zoomScaleNormal="145" workbookViewId="0">
      <selection activeCell="A26" sqref="A26"/>
    </sheetView>
  </sheetViews>
  <sheetFormatPr defaultRowHeight="12.75"/>
  <cols>
    <col min="1" max="1" width="6.1328125" customWidth="1"/>
    <col min="2" max="2" width="76.53125" customWidth="1"/>
  </cols>
  <sheetData>
    <row r="1" spans="1:2" ht="13.15">
      <c r="A1" s="132" t="s">
        <v>42</v>
      </c>
    </row>
    <row r="2" spans="1:2" ht="13.15">
      <c r="A2" s="132" t="s">
        <v>212</v>
      </c>
    </row>
    <row r="3" spans="1:2">
      <c r="A3" s="1555" t="str">
        <f>Instructions!H1</f>
        <v>Form Revised (revision date here if revised)</v>
      </c>
    </row>
    <row r="4" spans="1:2" ht="15">
      <c r="A4" s="1664" t="str">
        <f>IF('BUDGET-CERTIFICATION'!$H$1="","Enter Charter School Name on BUDGET-CERTIFICATION Worksheet",'BUDGET-CERTIFICATION'!$H$1)</f>
        <v>Encor Jr./Sr. High School for the Performing and Visual Arts</v>
      </c>
      <c r="B4" s="1664"/>
    </row>
    <row r="5" spans="1:2" ht="15">
      <c r="A5" s="1665" t="str">
        <f>IF('BUDGET-CERTIFICATION'!$H$2="","Enter CDS# on INTERIM - CERTIFICATION Worksheet",'BUDGET-CERTIFICATION'!$H$2)</f>
        <v>35-75044-01166707</v>
      </c>
      <c r="B5" s="1665"/>
    </row>
    <row r="6" spans="1:2" ht="13.15">
      <c r="A6" s="132"/>
    </row>
    <row r="7" spans="1:2" ht="13.15">
      <c r="A7" s="211" t="s">
        <v>251</v>
      </c>
    </row>
    <row r="8" spans="1:2">
      <c r="A8" s="133"/>
    </row>
    <row r="9" spans="1:2">
      <c r="A9" s="136" t="s">
        <v>262</v>
      </c>
    </row>
    <row r="10" spans="1:2">
      <c r="A10" s="1666" t="str">
        <f>"CHARTER "&amp;'Budget-ADA'!K7&amp;" Budget/Interim Reporting Worksheet (all Budget tabs completed):"</f>
        <v>CHARTER 2024-25 Budget/Interim Reporting Worksheet (all Budget tabs completed):</v>
      </c>
      <c r="B10" s="1666"/>
    </row>
    <row r="11" spans="1:2" ht="13.15" thickBot="1">
      <c r="A11" s="196" t="s">
        <v>526</v>
      </c>
      <c r="B11" t="s">
        <v>252</v>
      </c>
    </row>
    <row r="12" spans="1:2" ht="13.15" thickBot="1">
      <c r="A12" s="197" t="s">
        <v>526</v>
      </c>
      <c r="B12" s="134" t="s">
        <v>253</v>
      </c>
    </row>
    <row r="13" spans="1:2" ht="13.15" thickBot="1">
      <c r="A13" s="197" t="s">
        <v>526</v>
      </c>
      <c r="B13" s="134" t="s">
        <v>520</v>
      </c>
    </row>
    <row r="14" spans="1:2" ht="13.15" thickBot="1">
      <c r="A14" s="197" t="s">
        <v>526</v>
      </c>
      <c r="B14" s="134" t="s">
        <v>254</v>
      </c>
    </row>
    <row r="15" spans="1:2" ht="13.15" thickBot="1">
      <c r="A15" s="197" t="s">
        <v>526</v>
      </c>
      <c r="B15" s="134" t="s">
        <v>255</v>
      </c>
    </row>
    <row r="16" spans="1:2" ht="13.15" thickBot="1">
      <c r="A16" s="197" t="s">
        <v>526</v>
      </c>
      <c r="B16" s="134" t="s">
        <v>256</v>
      </c>
    </row>
    <row r="17" spans="1:2" ht="13.15" thickBot="1">
      <c r="A17" s="197" t="s">
        <v>526</v>
      </c>
      <c r="B17" s="134" t="s">
        <v>257</v>
      </c>
    </row>
    <row r="18" spans="1:2" ht="13.15" thickBot="1">
      <c r="A18" s="197" t="s">
        <v>526</v>
      </c>
      <c r="B18" s="134" t="s">
        <v>258</v>
      </c>
    </row>
    <row r="19" spans="1:2" ht="13.15" thickBot="1">
      <c r="A19" s="197" t="s">
        <v>526</v>
      </c>
      <c r="B19" s="134" t="s">
        <v>259</v>
      </c>
    </row>
    <row r="20" spans="1:2">
      <c r="A20" s="200"/>
      <c r="B20" s="134"/>
    </row>
    <row r="21" spans="1:2" ht="13.5" thickBot="1">
      <c r="A21" s="196" t="s">
        <v>526</v>
      </c>
      <c r="B21" s="134" t="s">
        <v>264</v>
      </c>
    </row>
    <row r="22" spans="1:2" ht="13.15" thickBot="1">
      <c r="A22" s="196" t="s">
        <v>526</v>
      </c>
      <c r="B22" s="134" t="s">
        <v>260</v>
      </c>
    </row>
    <row r="23" spans="1:2">
      <c r="A23" s="200"/>
      <c r="B23" s="134"/>
    </row>
    <row r="24" spans="1:2">
      <c r="A24" s="134" t="s">
        <v>277</v>
      </c>
    </row>
    <row r="25" spans="1:2" ht="13.15" thickBot="1">
      <c r="A25" s="196" t="s">
        <v>526</v>
      </c>
      <c r="B25" s="134" t="s">
        <v>261</v>
      </c>
    </row>
    <row r="26" spans="1:2">
      <c r="A26" s="200"/>
    </row>
    <row r="27" spans="1:2" ht="13.15">
      <c r="A27" s="134" t="s">
        <v>263</v>
      </c>
    </row>
    <row r="28" spans="1:2">
      <c r="A28" s="1663" t="s">
        <v>363</v>
      </c>
      <c r="B28" s="1663"/>
    </row>
  </sheetData>
  <sheetProtection algorithmName="SHA-512" hashValue="I3kGshd4UCt17sY6TeJNWp7SpABmT/I24KcODeq0x2BUc6J+aLG43cw7CRMEUICgwYnhT7IoDCJSXRgk5cTjbw==" saltValue="J3Om3zXeGX4A5PHXMVlxzg==" spinCount="100000" sheet="1"/>
  <mergeCells count="4">
    <mergeCell ref="A28:B28"/>
    <mergeCell ref="A4:B4"/>
    <mergeCell ref="A5:B5"/>
    <mergeCell ref="A10:B10"/>
  </mergeCells>
  <conditionalFormatting sqref="A4:A5">
    <cfRule type="containsText" dxfId="294" priority="1" stopIfTrue="1" operator="containsText" text="Enter">
      <formula>NOT(ISERROR(SEARCH("Enter",A4)))</formula>
    </cfRule>
    <cfRule type="cellIs" dxfId="293" priority="2" stopIfTrue="1" operator="equal">
      <formula>"Enter Charter CDS # on BUDGET - CERT Worksheet"</formula>
    </cfRule>
  </conditionalFormatting>
  <hyperlinks>
    <hyperlink ref="A28" r:id="rId1" display="http://fcmat.org/local-control-funding-formula-resources/" xr:uid="{00000000-0004-0000-0100-000000000000}"/>
    <hyperlink ref="A28:B28" r:id="rId2" display="https://www.fcmat.org/lcff" xr:uid="{00000000-0004-0000-0100-000001000000}"/>
  </hyperlinks>
  <pageMargins left="0.7" right="0.7" top="0.75" bottom="0.75" header="0.3" footer="0.3"/>
  <pageSetup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6" tint="-0.249977111117893"/>
    <pageSetUpPr fitToPage="1"/>
  </sheetPr>
  <dimension ref="A1:S65"/>
  <sheetViews>
    <sheetView showGridLines="0" zoomScale="115" zoomScaleNormal="115" workbookViewId="0">
      <pane ySplit="6" topLeftCell="A7" activePane="bottomLeft" state="frozen"/>
      <selection pane="bottomLeft" activeCell="A7" sqref="A7"/>
    </sheetView>
  </sheetViews>
  <sheetFormatPr defaultRowHeight="12.75"/>
  <cols>
    <col min="1" max="1" width="2.46484375" customWidth="1"/>
    <col min="13" max="13" width="13.86328125" customWidth="1"/>
    <col min="14" max="14" width="9.1328125" customWidth="1"/>
  </cols>
  <sheetData>
    <row r="1" spans="1:19" ht="13.9">
      <c r="A1" s="112"/>
      <c r="B1" s="113"/>
      <c r="C1" s="113"/>
      <c r="D1" s="113"/>
      <c r="E1" s="113"/>
      <c r="F1" s="113"/>
      <c r="G1" s="114" t="s">
        <v>12</v>
      </c>
      <c r="H1" s="1182" t="s">
        <v>521</v>
      </c>
      <c r="I1" s="1251"/>
      <c r="J1" s="1251"/>
      <c r="K1" s="1251"/>
      <c r="L1" s="1251"/>
      <c r="M1" s="1251"/>
      <c r="N1" s="212"/>
    </row>
    <row r="2" spans="1:19" ht="13.9">
      <c r="A2" s="112"/>
      <c r="B2" s="113"/>
      <c r="C2" s="113"/>
      <c r="D2" s="113"/>
      <c r="E2" s="113"/>
      <c r="F2" s="113"/>
      <c r="G2" s="114" t="s">
        <v>13</v>
      </c>
      <c r="H2" s="1675" t="s">
        <v>522</v>
      </c>
      <c r="I2" s="1675"/>
      <c r="J2" s="1675"/>
      <c r="K2" s="1675"/>
      <c r="L2" s="1675"/>
      <c r="M2" s="1675"/>
      <c r="N2" s="212"/>
    </row>
    <row r="3" spans="1:19" ht="13.9">
      <c r="A3" s="112"/>
      <c r="B3" s="113"/>
      <c r="C3" s="113"/>
      <c r="D3" s="113"/>
      <c r="E3" s="113"/>
      <c r="F3" s="113"/>
      <c r="G3" s="114" t="s">
        <v>364</v>
      </c>
      <c r="H3" s="1183" t="s">
        <v>523</v>
      </c>
      <c r="I3" s="1252"/>
      <c r="J3" s="1252"/>
      <c r="K3" s="1252"/>
      <c r="L3" s="1252"/>
      <c r="M3" s="1252"/>
      <c r="N3" s="212"/>
    </row>
    <row r="4" spans="1:19" ht="13.9">
      <c r="A4" s="112"/>
      <c r="B4" s="113"/>
      <c r="C4" s="113"/>
      <c r="D4" s="113"/>
      <c r="E4" s="113"/>
      <c r="F4" s="113"/>
      <c r="G4" s="114" t="s">
        <v>14</v>
      </c>
      <c r="H4" s="1183" t="s">
        <v>524</v>
      </c>
      <c r="I4" s="1252"/>
      <c r="J4" s="1252"/>
      <c r="K4" s="1252"/>
      <c r="L4" s="1252"/>
      <c r="M4" s="1252"/>
      <c r="N4" s="212"/>
    </row>
    <row r="5" spans="1:19" ht="13.9">
      <c r="A5" s="112"/>
      <c r="B5" s="113"/>
      <c r="C5" s="113"/>
      <c r="D5" s="113"/>
      <c r="E5" s="113"/>
      <c r="F5" s="113"/>
      <c r="G5" s="114" t="s">
        <v>15</v>
      </c>
      <c r="H5" s="1184" t="s">
        <v>525</v>
      </c>
      <c r="I5" s="1253"/>
      <c r="J5" s="1253"/>
      <c r="K5" s="1253"/>
      <c r="L5" s="1253"/>
      <c r="M5" s="1253"/>
      <c r="N5" s="212"/>
    </row>
    <row r="6" spans="1:19" ht="13.9" thickBot="1">
      <c r="A6" s="116"/>
      <c r="B6" s="116"/>
      <c r="C6" s="116"/>
      <c r="D6" s="116"/>
      <c r="E6" s="116"/>
      <c r="F6" s="116"/>
      <c r="G6" s="116"/>
      <c r="H6" s="213"/>
      <c r="I6" s="213"/>
      <c r="J6" s="213"/>
      <c r="K6" s="213"/>
      <c r="L6" s="213"/>
      <c r="M6" s="1554" t="str">
        <f>Instructions!H1</f>
        <v>Form Revised (revision date here if revised)</v>
      </c>
      <c r="N6" s="8"/>
    </row>
    <row r="7" spans="1:19" ht="13.9" thickTop="1">
      <c r="A7" s="117"/>
      <c r="B7" s="117"/>
      <c r="C7" s="117"/>
      <c r="D7" s="117"/>
      <c r="E7" s="117"/>
      <c r="F7" s="117"/>
      <c r="G7" s="117"/>
      <c r="H7" s="117"/>
      <c r="I7" s="117"/>
      <c r="J7" s="117"/>
      <c r="K7" s="117"/>
      <c r="L7" s="117"/>
      <c r="M7" s="117"/>
      <c r="N7" s="8"/>
    </row>
    <row r="8" spans="1:19" ht="13.5">
      <c r="A8" s="9"/>
      <c r="B8" s="9" t="s">
        <v>348</v>
      </c>
      <c r="C8" s="129"/>
      <c r="D8" s="129"/>
      <c r="E8" s="129"/>
      <c r="F8" s="129"/>
      <c r="G8" s="129"/>
      <c r="H8" s="9"/>
      <c r="I8" s="129"/>
      <c r="J8" s="129"/>
      <c r="K8" s="129"/>
      <c r="L8" s="129"/>
      <c r="M8" s="129"/>
      <c r="N8" s="98"/>
    </row>
    <row r="9" spans="1:19" ht="13.5">
      <c r="A9" s="9"/>
      <c r="B9" s="1668" t="str">
        <f>""&amp;'Budget-ADA'!K7&amp;" CHARTER SCHOOL INTERIM REPORT -- ALTERNATIVE FORM:  This report has been approved, and is hereby filed by the charter school pursuant to Education Code Section 47604.33."</f>
        <v>2024-25 CHARTER SCHOOL INTERIM REPORT -- ALTERNATIVE FORM:  This report has been approved, and is hereby filed by the charter school pursuant to Education Code Section 47604.33.</v>
      </c>
      <c r="C9" s="1668"/>
      <c r="D9" s="1668"/>
      <c r="E9" s="1668"/>
      <c r="F9" s="1668"/>
      <c r="G9" s="1668"/>
      <c r="H9" s="1668"/>
      <c r="I9" s="1668"/>
      <c r="J9" s="1668"/>
      <c r="K9" s="1668"/>
      <c r="L9" s="1668"/>
      <c r="M9" s="1668"/>
      <c r="N9" s="98"/>
    </row>
    <row r="10" spans="1:19" ht="13.5">
      <c r="A10" s="9"/>
      <c r="B10" s="1668"/>
      <c r="C10" s="1668"/>
      <c r="D10" s="1668"/>
      <c r="E10" s="1668"/>
      <c r="F10" s="1668"/>
      <c r="G10" s="1668"/>
      <c r="H10" s="1668"/>
      <c r="I10" s="1668"/>
      <c r="J10" s="1668"/>
      <c r="K10" s="1668"/>
      <c r="L10" s="1668"/>
      <c r="M10" s="1668"/>
      <c r="N10" s="98"/>
    </row>
    <row r="11" spans="1:19" ht="26.25" customHeight="1">
      <c r="A11" s="9"/>
      <c r="B11" s="9" t="s">
        <v>45</v>
      </c>
      <c r="C11" s="1669"/>
      <c r="D11" s="1670"/>
      <c r="E11" s="1670"/>
      <c r="F11" s="1670"/>
      <c r="G11" s="1670"/>
      <c r="H11" s="9"/>
      <c r="I11" s="9" t="s">
        <v>46</v>
      </c>
      <c r="J11" s="1673"/>
      <c r="K11" s="1673"/>
      <c r="L11" s="1673"/>
      <c r="M11" s="9"/>
      <c r="N11" s="98"/>
    </row>
    <row r="12" spans="1:19" ht="13.5">
      <c r="A12" s="98"/>
      <c r="B12" s="98"/>
      <c r="C12" s="119" t="s">
        <v>47</v>
      </c>
      <c r="D12" s="120"/>
      <c r="E12" s="120"/>
      <c r="F12" s="120"/>
      <c r="G12" s="120"/>
      <c r="H12" s="98"/>
      <c r="I12" s="98"/>
      <c r="J12" s="98"/>
      <c r="K12" s="98"/>
      <c r="L12" s="98"/>
      <c r="M12" s="98"/>
      <c r="N12" s="98"/>
    </row>
    <row r="13" spans="1:19" ht="13.5">
      <c r="A13" s="98"/>
      <c r="B13" s="98"/>
      <c r="C13" s="119" t="s">
        <v>48</v>
      </c>
      <c r="D13" s="120"/>
      <c r="E13" s="120"/>
      <c r="F13" s="120"/>
      <c r="G13" s="120"/>
      <c r="H13" s="98"/>
      <c r="I13" s="98"/>
      <c r="J13" s="98"/>
      <c r="K13" s="98"/>
      <c r="L13" s="98"/>
      <c r="M13" s="98"/>
      <c r="N13" s="98"/>
    </row>
    <row r="14" spans="1:19" ht="27">
      <c r="A14" s="9"/>
      <c r="B14" s="121" t="s">
        <v>49</v>
      </c>
      <c r="C14" s="1667" t="s">
        <v>556</v>
      </c>
      <c r="D14" s="1672"/>
      <c r="E14" s="1672"/>
      <c r="F14" s="1672"/>
      <c r="G14" s="1672"/>
      <c r="H14" s="9"/>
      <c r="I14" s="9" t="s">
        <v>50</v>
      </c>
      <c r="J14" s="1667" t="s">
        <v>557</v>
      </c>
      <c r="K14" s="1667"/>
      <c r="L14" s="1667"/>
      <c r="M14" s="9"/>
      <c r="N14" s="98"/>
    </row>
    <row r="15" spans="1:19" ht="13.5">
      <c r="A15" s="9"/>
      <c r="B15" s="9"/>
      <c r="C15" s="9"/>
      <c r="D15" s="9"/>
      <c r="E15" s="9"/>
      <c r="F15" s="9"/>
      <c r="G15" s="9"/>
      <c r="H15" s="9"/>
      <c r="I15" s="9"/>
      <c r="J15" s="9"/>
      <c r="K15" s="9"/>
      <c r="L15" s="9"/>
      <c r="M15" s="9"/>
      <c r="N15" s="9"/>
    </row>
    <row r="16" spans="1:19" ht="13.5">
      <c r="A16" s="98" t="s">
        <v>64</v>
      </c>
      <c r="B16" s="98"/>
      <c r="C16" s="98"/>
      <c r="D16" s="9"/>
      <c r="E16" s="121"/>
      <c r="F16" s="137"/>
      <c r="G16" s="1208"/>
      <c r="H16" s="1208"/>
      <c r="I16" s="1208"/>
      <c r="J16" s="1208"/>
      <c r="K16" s="9"/>
      <c r="L16" s="9"/>
      <c r="M16" s="137"/>
      <c r="N16" s="137"/>
      <c r="O16" s="137"/>
      <c r="P16" s="9"/>
      <c r="Q16" s="98"/>
      <c r="R16" s="98"/>
      <c r="S16" s="98"/>
    </row>
    <row r="17" spans="1:19" ht="13.5">
      <c r="A17" s="98"/>
      <c r="B17" s="98"/>
      <c r="C17" s="98"/>
      <c r="D17" s="9"/>
      <c r="E17" s="121"/>
      <c r="F17" s="137"/>
      <c r="G17" s="1208"/>
      <c r="H17" s="1208"/>
      <c r="I17" s="1208"/>
      <c r="J17" s="1208"/>
      <c r="K17" s="9"/>
      <c r="L17" s="9"/>
      <c r="M17" s="137"/>
      <c r="N17" s="137"/>
      <c r="O17" s="137"/>
      <c r="P17" s="9"/>
      <c r="Q17" s="98"/>
      <c r="R17" s="98"/>
      <c r="S17" s="98"/>
    </row>
    <row r="18" spans="1:19" s="17" customFormat="1" ht="14.25" customHeight="1">
      <c r="A18" s="1207"/>
      <c r="B18" s="1206" t="s">
        <v>526</v>
      </c>
      <c r="C18" s="1205" t="s">
        <v>421</v>
      </c>
      <c r="D18" s="1205"/>
      <c r="E18" s="1203"/>
      <c r="F18" s="1206"/>
      <c r="G18" s="1205" t="s">
        <v>420</v>
      </c>
      <c r="H18" s="1205"/>
      <c r="J18" s="1206"/>
      <c r="K18" s="1205" t="s">
        <v>422</v>
      </c>
      <c r="N18" s="1205"/>
      <c r="O18" s="1205"/>
      <c r="R18" s="1205"/>
      <c r="S18" s="1205"/>
    </row>
    <row r="19" spans="1:19" s="17" customFormat="1" ht="11.65">
      <c r="A19" s="1207"/>
      <c r="B19" s="1204"/>
      <c r="C19" s="1674" t="s">
        <v>423</v>
      </c>
      <c r="D19" s="1674"/>
      <c r="E19" s="1674"/>
      <c r="F19" s="1204"/>
      <c r="G19" s="1674" t="s">
        <v>424</v>
      </c>
      <c r="H19" s="1674"/>
      <c r="I19" s="1674"/>
      <c r="J19" s="1205"/>
      <c r="K19" s="1674" t="s">
        <v>425</v>
      </c>
      <c r="L19" s="1674"/>
      <c r="M19" s="1674"/>
      <c r="N19" s="1205"/>
      <c r="O19" s="1205"/>
      <c r="R19" s="1205"/>
      <c r="S19" s="1205"/>
    </row>
    <row r="20" spans="1:19" s="17" customFormat="1" ht="11.65">
      <c r="A20" s="1207"/>
      <c r="B20" s="1204"/>
      <c r="C20" s="1674"/>
      <c r="D20" s="1674"/>
      <c r="E20" s="1674"/>
      <c r="F20" s="1204"/>
      <c r="G20" s="1674"/>
      <c r="H20" s="1674"/>
      <c r="I20" s="1674"/>
      <c r="J20" s="1205"/>
      <c r="K20" s="1674"/>
      <c r="L20" s="1674"/>
      <c r="M20" s="1674"/>
      <c r="N20" s="1205"/>
      <c r="O20" s="1205"/>
      <c r="R20" s="1205"/>
      <c r="S20" s="1205"/>
    </row>
    <row r="21" spans="1:19" s="17" customFormat="1" ht="11.65">
      <c r="A21" s="1207"/>
      <c r="B21" s="1204"/>
      <c r="C21" s="1674"/>
      <c r="D21" s="1674"/>
      <c r="E21" s="1674"/>
      <c r="F21" s="1204"/>
      <c r="G21" s="1674"/>
      <c r="H21" s="1674"/>
      <c r="I21" s="1674"/>
      <c r="J21" s="1205"/>
      <c r="K21" s="1674"/>
      <c r="L21" s="1674"/>
      <c r="M21" s="1674"/>
      <c r="N21" s="1205"/>
      <c r="O21" s="1205"/>
      <c r="R21" s="1205"/>
      <c r="S21" s="1205"/>
    </row>
    <row r="22" spans="1:19" s="17" customFormat="1" ht="23.25" customHeight="1">
      <c r="A22" s="1207"/>
      <c r="B22" s="1204"/>
      <c r="C22" s="1674"/>
      <c r="D22" s="1674"/>
      <c r="E22" s="1674"/>
      <c r="F22" s="1207"/>
      <c r="G22" s="1674"/>
      <c r="H22" s="1674"/>
      <c r="I22" s="1674"/>
      <c r="J22" s="1205"/>
      <c r="K22" s="1674"/>
      <c r="L22" s="1674"/>
      <c r="M22" s="1674"/>
      <c r="N22" s="1205"/>
      <c r="O22" s="1205"/>
      <c r="R22" s="1205"/>
      <c r="S22" s="1205"/>
    </row>
    <row r="23" spans="1:19" ht="13.5">
      <c r="A23" s="122"/>
      <c r="B23" s="122"/>
      <c r="C23" s="122"/>
      <c r="D23" s="122"/>
      <c r="E23" s="122"/>
      <c r="F23" s="122"/>
      <c r="G23" s="122"/>
      <c r="H23" s="122"/>
      <c r="I23" s="122"/>
      <c r="J23" s="122"/>
      <c r="K23" s="122"/>
      <c r="L23" s="122"/>
      <c r="M23" s="122"/>
      <c r="N23" s="9"/>
    </row>
    <row r="24" spans="1:19" ht="13.5">
      <c r="A24" s="123"/>
      <c r="B24" s="123"/>
      <c r="C24" s="123"/>
      <c r="D24" s="123"/>
      <c r="E24" s="123"/>
      <c r="F24" s="123"/>
      <c r="G24" s="123"/>
      <c r="H24" s="123"/>
      <c r="I24" s="123"/>
      <c r="J24" s="123"/>
      <c r="K24" s="123"/>
      <c r="L24" s="123"/>
      <c r="M24" s="123"/>
      <c r="N24" s="9"/>
    </row>
    <row r="25" spans="1:19" ht="13.5">
      <c r="A25" s="9"/>
      <c r="B25" s="9" t="s">
        <v>51</v>
      </c>
      <c r="C25" s="9"/>
      <c r="D25" s="9"/>
      <c r="E25" s="9"/>
      <c r="F25" s="9"/>
      <c r="G25" s="9"/>
      <c r="H25" s="9"/>
      <c r="I25" s="9"/>
      <c r="J25" s="9"/>
      <c r="K25" s="9"/>
      <c r="L25" s="9"/>
      <c r="M25" s="129"/>
      <c r="N25" s="98"/>
    </row>
    <row r="26" spans="1:19" ht="13.5">
      <c r="A26" s="9"/>
      <c r="B26" s="1668" t="str">
        <f>""&amp;'Budget-ADA'!K7&amp;" CHARTER SCHOOL INTERIM REPORT -- ALTERNATIVE FORM:  This report has been reviewed pursuant to Education Code 47604.32(a) is hereby filed with the County Superintendent pursuant to Education Code Section 47604.33."</f>
        <v>2024-25 CHARTER SCHOOL INTERIM REPORT -- ALTERNATIVE FORM:  This report has been reviewed pursuant to Education Code 47604.32(a) is hereby filed with the County Superintendent pursuant to Education Code Section 47604.33.</v>
      </c>
      <c r="C26" s="1668"/>
      <c r="D26" s="1668"/>
      <c r="E26" s="1668"/>
      <c r="F26" s="1668"/>
      <c r="G26" s="1668"/>
      <c r="H26" s="1668"/>
      <c r="I26" s="1668"/>
      <c r="J26" s="1668"/>
      <c r="K26" s="1668"/>
      <c r="L26" s="1668"/>
      <c r="M26" s="1668"/>
      <c r="N26" s="98"/>
    </row>
    <row r="27" spans="1:19" ht="13.5">
      <c r="A27" s="9"/>
      <c r="B27" s="1668"/>
      <c r="C27" s="1668"/>
      <c r="D27" s="1668"/>
      <c r="E27" s="1668"/>
      <c r="F27" s="1668"/>
      <c r="G27" s="1668"/>
      <c r="H27" s="1668"/>
      <c r="I27" s="1668"/>
      <c r="J27" s="1668"/>
      <c r="K27" s="1668"/>
      <c r="L27" s="1668"/>
      <c r="M27" s="1668"/>
      <c r="N27" s="98"/>
    </row>
    <row r="28" spans="1:19" ht="27" customHeight="1">
      <c r="A28" s="9"/>
      <c r="B28" s="9" t="s">
        <v>45</v>
      </c>
      <c r="C28" s="1669"/>
      <c r="D28" s="1669"/>
      <c r="E28" s="1669"/>
      <c r="F28" s="1669"/>
      <c r="G28" s="1669"/>
      <c r="H28" s="9"/>
      <c r="I28" s="9" t="s">
        <v>46</v>
      </c>
      <c r="J28" s="1673"/>
      <c r="K28" s="1673"/>
      <c r="L28" s="1673"/>
      <c r="M28" s="9"/>
      <c r="N28" s="98"/>
    </row>
    <row r="29" spans="1:19" ht="25.5" customHeight="1">
      <c r="A29" s="98"/>
      <c r="B29" s="98"/>
      <c r="C29" s="125" t="s">
        <v>52</v>
      </c>
      <c r="D29" s="125"/>
      <c r="E29" s="125"/>
      <c r="F29" s="125"/>
      <c r="G29" s="125"/>
      <c r="H29" s="98"/>
      <c r="I29" s="98"/>
      <c r="J29" s="126"/>
      <c r="K29" s="126"/>
      <c r="L29" s="126"/>
      <c r="M29" s="98"/>
      <c r="N29" s="98"/>
    </row>
    <row r="30" spans="1:19">
      <c r="A30" s="98"/>
      <c r="B30" s="98"/>
      <c r="C30" s="107" t="s">
        <v>48</v>
      </c>
      <c r="D30" s="107"/>
      <c r="E30" s="107"/>
      <c r="F30" s="107"/>
      <c r="G30" s="107"/>
      <c r="H30" s="98"/>
      <c r="I30" s="98"/>
      <c r="J30" s="98"/>
      <c r="K30" s="98"/>
      <c r="L30" s="98"/>
      <c r="M30" s="98"/>
      <c r="N30" s="98"/>
    </row>
    <row r="31" spans="1:19" ht="27">
      <c r="A31" s="9"/>
      <c r="B31" s="121" t="s">
        <v>49</v>
      </c>
      <c r="C31" s="1667" t="s">
        <v>527</v>
      </c>
      <c r="D31" s="1667"/>
      <c r="E31" s="1667"/>
      <c r="F31" s="1667"/>
      <c r="G31" s="1667"/>
      <c r="H31" s="9"/>
      <c r="I31" s="9" t="s">
        <v>50</v>
      </c>
      <c r="J31" s="1667" t="s">
        <v>528</v>
      </c>
      <c r="K31" s="1667"/>
      <c r="L31" s="1667"/>
      <c r="M31" s="9"/>
      <c r="N31" s="98"/>
    </row>
    <row r="32" spans="1:19" ht="13.5">
      <c r="A32" s="98"/>
      <c r="B32" s="98"/>
      <c r="C32" s="98"/>
      <c r="D32" s="9"/>
      <c r="E32" s="121"/>
      <c r="F32" s="137"/>
      <c r="G32" s="137"/>
      <c r="H32" s="137"/>
      <c r="I32" s="137"/>
      <c r="J32" s="137"/>
      <c r="K32" s="9"/>
      <c r="L32" s="9"/>
      <c r="M32" s="137"/>
      <c r="N32" s="137"/>
      <c r="O32" s="137"/>
      <c r="P32" s="9"/>
      <c r="Q32" s="98"/>
      <c r="R32" s="98"/>
      <c r="S32" s="98"/>
    </row>
    <row r="33" spans="1:19" ht="13.5">
      <c r="A33" s="219"/>
      <c r="B33" s="1206"/>
      <c r="C33" s="1205" t="s">
        <v>421</v>
      </c>
      <c r="D33" s="1205"/>
      <c r="E33" s="1203"/>
      <c r="F33" s="1206"/>
      <c r="G33" s="1205" t="s">
        <v>420</v>
      </c>
      <c r="H33" s="1205"/>
      <c r="I33" s="17"/>
      <c r="J33" s="1206"/>
      <c r="K33" s="1205" t="s">
        <v>422</v>
      </c>
      <c r="L33" s="17"/>
      <c r="M33" s="17"/>
      <c r="N33" s="9"/>
      <c r="O33" s="137"/>
      <c r="P33" s="9"/>
      <c r="Q33" s="98"/>
      <c r="R33" s="98"/>
      <c r="S33" s="98"/>
    </row>
    <row r="34" spans="1:19" ht="29.25" customHeight="1">
      <c r="A34" s="219"/>
      <c r="B34" s="1204"/>
      <c r="C34" s="1674" t="s">
        <v>451</v>
      </c>
      <c r="D34" s="1674"/>
      <c r="E34" s="1674"/>
      <c r="F34" s="1204"/>
      <c r="G34" s="1674" t="s">
        <v>452</v>
      </c>
      <c r="H34" s="1674"/>
      <c r="I34" s="1674"/>
      <c r="J34" s="1205"/>
      <c r="K34" s="1674" t="s">
        <v>453</v>
      </c>
      <c r="L34" s="1674"/>
      <c r="M34" s="1674"/>
      <c r="N34" s="9"/>
      <c r="O34" s="9"/>
      <c r="P34" s="9"/>
      <c r="Q34" s="9"/>
      <c r="R34" s="9"/>
      <c r="S34" s="98"/>
    </row>
    <row r="35" spans="1:19" ht="13.5">
      <c r="A35" s="219"/>
      <c r="B35" s="1204"/>
      <c r="C35" s="1674"/>
      <c r="D35" s="1674"/>
      <c r="E35" s="1674"/>
      <c r="F35" s="1204"/>
      <c r="G35" s="1674"/>
      <c r="H35" s="1674"/>
      <c r="I35" s="1674"/>
      <c r="J35" s="1205"/>
      <c r="K35" s="1674"/>
      <c r="L35" s="1674"/>
      <c r="M35" s="1674"/>
      <c r="N35" s="9"/>
    </row>
    <row r="36" spans="1:19" ht="13.5">
      <c r="A36" s="9"/>
      <c r="B36" s="1204"/>
      <c r="C36" s="1674"/>
      <c r="D36" s="1674"/>
      <c r="E36" s="1674"/>
      <c r="F36" s="1204"/>
      <c r="G36" s="1674"/>
      <c r="H36" s="1674"/>
      <c r="I36" s="1674"/>
      <c r="J36" s="1205"/>
      <c r="K36" s="1674"/>
      <c r="L36" s="1674"/>
      <c r="M36" s="1674"/>
      <c r="N36" s="98"/>
    </row>
    <row r="37" spans="1:19" ht="14.25" customHeight="1">
      <c r="A37" s="9"/>
      <c r="B37" s="1204"/>
      <c r="C37" s="1674"/>
      <c r="D37" s="1674"/>
      <c r="E37" s="1674"/>
      <c r="F37" s="1207"/>
      <c r="G37" s="1674"/>
      <c r="H37" s="1674"/>
      <c r="I37" s="1674"/>
      <c r="J37" s="1205"/>
      <c r="K37" s="1674"/>
      <c r="L37" s="1674"/>
      <c r="M37" s="1674"/>
      <c r="N37" s="98"/>
    </row>
    <row r="38" spans="1:19" ht="13.5">
      <c r="A38" s="122"/>
      <c r="B38" s="122"/>
      <c r="C38" s="122"/>
      <c r="D38" s="122"/>
      <c r="E38" s="122"/>
      <c r="F38" s="122"/>
      <c r="G38" s="122"/>
      <c r="H38" s="122"/>
      <c r="I38" s="122"/>
      <c r="J38" s="122"/>
      <c r="K38" s="122"/>
      <c r="L38" s="122"/>
      <c r="M38" s="122"/>
      <c r="N38" s="98"/>
    </row>
    <row r="39" spans="1:19" ht="13.5">
      <c r="A39" s="9"/>
      <c r="B39" s="123" t="s">
        <v>2</v>
      </c>
      <c r="C39" s="123"/>
      <c r="D39" s="123"/>
      <c r="E39" s="123"/>
      <c r="F39" s="123"/>
      <c r="G39" s="123"/>
      <c r="H39" s="123"/>
      <c r="I39" s="123"/>
      <c r="J39" s="123"/>
      <c r="K39" s="123"/>
      <c r="L39" s="123"/>
      <c r="M39" s="124"/>
      <c r="N39" s="98"/>
    </row>
    <row r="40" spans="1:19">
      <c r="A40" s="98"/>
      <c r="B40" s="1668" t="str">
        <f>""&amp;'Budget-ADA'!K7&amp;" CHARTER SCHOOL INTERIM REPORT -- ALTERNATIVE FORM:  This report has been received by the County Superintendent of Schools pursuant to Education Code Section 47604.33(1)."</f>
        <v>2024-25 CHARTER SCHOOL INTERIM REPORT -- ALTERNATIVE FORM:  This report has been received by the County Superintendent of Schools pursuant to Education Code Section 47604.33(1).</v>
      </c>
      <c r="C40" s="1668"/>
      <c r="D40" s="1668"/>
      <c r="E40" s="1668"/>
      <c r="F40" s="1668"/>
      <c r="G40" s="1668"/>
      <c r="H40" s="1668"/>
      <c r="I40" s="1668"/>
      <c r="J40" s="1668"/>
      <c r="K40" s="1668"/>
      <c r="L40" s="1668"/>
      <c r="M40" s="1668"/>
      <c r="N40" s="98"/>
    </row>
    <row r="41" spans="1:19">
      <c r="A41" s="98"/>
      <c r="B41" s="1668"/>
      <c r="C41" s="1668"/>
      <c r="D41" s="1668"/>
      <c r="E41" s="1668"/>
      <c r="F41" s="1668"/>
      <c r="G41" s="1668"/>
      <c r="H41" s="1668"/>
      <c r="I41" s="1668"/>
      <c r="J41" s="1668"/>
      <c r="K41" s="1668"/>
      <c r="L41" s="1668"/>
      <c r="M41" s="1668"/>
      <c r="N41" s="98"/>
    </row>
    <row r="42" spans="1:19" ht="35.25" customHeight="1">
      <c r="A42" s="98"/>
      <c r="B42" s="9" t="s">
        <v>45</v>
      </c>
      <c r="C42" s="1669"/>
      <c r="D42" s="1669"/>
      <c r="E42" s="1669"/>
      <c r="F42" s="1669"/>
      <c r="G42" s="1669"/>
      <c r="H42" s="9"/>
      <c r="I42" s="9" t="s">
        <v>46</v>
      </c>
      <c r="J42" s="1673"/>
      <c r="K42" s="1673"/>
      <c r="L42" s="1673"/>
      <c r="M42" s="9"/>
      <c r="N42" s="8"/>
      <c r="O42" s="8"/>
      <c r="P42" s="8"/>
    </row>
    <row r="43" spans="1:19" ht="13.5">
      <c r="A43" s="98"/>
      <c r="B43" s="9"/>
      <c r="C43" s="107" t="s">
        <v>53</v>
      </c>
      <c r="D43" s="107"/>
      <c r="E43" s="107"/>
      <c r="F43" s="107"/>
      <c r="G43" s="107"/>
      <c r="H43" s="127"/>
      <c r="I43" s="9"/>
      <c r="J43" s="9"/>
      <c r="K43" s="9"/>
      <c r="L43" s="9"/>
      <c r="M43" s="9"/>
      <c r="N43" s="8"/>
      <c r="O43" s="8"/>
      <c r="P43" s="8"/>
    </row>
    <row r="44" spans="1:19" ht="13.5">
      <c r="A44" s="98"/>
      <c r="B44" s="9"/>
      <c r="C44" s="107" t="s">
        <v>48</v>
      </c>
      <c r="D44" s="107"/>
      <c r="E44" s="107"/>
      <c r="F44" s="107"/>
      <c r="G44" s="107"/>
      <c r="H44" s="127"/>
      <c r="I44" s="9"/>
      <c r="J44" s="9"/>
      <c r="K44" s="9"/>
      <c r="L44" s="9"/>
      <c r="M44" s="9"/>
      <c r="N44" s="8"/>
      <c r="O44" s="8"/>
      <c r="P44" s="8"/>
    </row>
    <row r="45" spans="1:19" ht="20.25" customHeight="1" thickBot="1">
      <c r="A45" s="115"/>
      <c r="B45" s="115"/>
      <c r="C45" s="115"/>
      <c r="D45" s="115"/>
      <c r="E45" s="115"/>
      <c r="F45" s="115"/>
      <c r="G45" s="115"/>
      <c r="H45" s="115"/>
      <c r="I45" s="115"/>
      <c r="J45" s="115"/>
      <c r="K45" s="115"/>
      <c r="L45" s="115"/>
      <c r="M45" s="115"/>
      <c r="N45" s="8"/>
      <c r="O45" s="8"/>
      <c r="P45" s="8"/>
    </row>
    <row r="46" spans="1:19" ht="13.15" thickTop="1">
      <c r="A46" s="98"/>
      <c r="B46" s="218"/>
      <c r="C46" s="218"/>
      <c r="D46" s="218"/>
      <c r="E46" s="218"/>
      <c r="F46" s="218"/>
      <c r="G46" s="218"/>
      <c r="H46" s="218"/>
      <c r="I46" s="218"/>
      <c r="J46" s="218"/>
      <c r="K46" s="218"/>
      <c r="L46" s="218"/>
      <c r="M46" s="218"/>
      <c r="N46" s="8"/>
      <c r="O46" s="8"/>
      <c r="P46" s="8"/>
    </row>
    <row r="47" spans="1:19" ht="27.75" customHeight="1">
      <c r="A47" s="98"/>
      <c r="B47" s="9" t="s">
        <v>59</v>
      </c>
      <c r="C47" s="129"/>
      <c r="D47" s="129"/>
      <c r="E47" s="129"/>
      <c r="F47" s="129"/>
      <c r="G47" s="129"/>
      <c r="H47" s="129"/>
      <c r="I47" s="129"/>
      <c r="J47" s="129"/>
      <c r="K47" s="129"/>
      <c r="L47" s="129"/>
      <c r="M47" s="98"/>
      <c r="N47" s="8"/>
      <c r="O47" s="8"/>
      <c r="P47" s="8"/>
    </row>
    <row r="48" spans="1:19">
      <c r="A48" s="98"/>
      <c r="B48" s="98"/>
      <c r="C48" s="98"/>
      <c r="D48" s="98"/>
      <c r="E48" s="98"/>
      <c r="F48" s="98"/>
      <c r="G48" s="98"/>
      <c r="H48" s="98"/>
      <c r="I48" s="98"/>
      <c r="J48" s="98"/>
      <c r="K48" s="98"/>
      <c r="L48" s="98"/>
      <c r="M48" s="98"/>
      <c r="N48" s="8"/>
      <c r="O48" s="8"/>
      <c r="P48" s="8"/>
    </row>
    <row r="49" spans="1:14" ht="13.5">
      <c r="A49" s="98"/>
      <c r="B49" s="128" t="s">
        <v>54</v>
      </c>
      <c r="C49" s="129"/>
      <c r="D49" s="129"/>
      <c r="E49" s="129"/>
      <c r="F49" s="129"/>
      <c r="G49" s="8"/>
      <c r="H49" s="8"/>
      <c r="I49" s="8"/>
    </row>
    <row r="50" spans="1:14" ht="24.75" customHeight="1">
      <c r="A50" s="9"/>
      <c r="B50" s="1671" t="s">
        <v>529</v>
      </c>
      <c r="C50" s="1671"/>
      <c r="D50" s="1671"/>
      <c r="E50" s="1671"/>
      <c r="F50" s="1671"/>
      <c r="G50" s="9"/>
      <c r="H50" s="9"/>
      <c r="I50" s="9"/>
    </row>
    <row r="51" spans="1:14" ht="13.5">
      <c r="A51" s="9"/>
      <c r="B51" s="130" t="s">
        <v>55</v>
      </c>
      <c r="C51" s="130"/>
      <c r="D51" s="130"/>
      <c r="E51" s="130"/>
      <c r="F51" s="130"/>
      <c r="G51" s="9"/>
      <c r="H51" s="9"/>
      <c r="I51" s="9"/>
    </row>
    <row r="52" spans="1:14" ht="24.75" customHeight="1">
      <c r="A52" s="9"/>
      <c r="B52" s="1667" t="s">
        <v>530</v>
      </c>
      <c r="C52" s="1667"/>
      <c r="D52" s="1667"/>
      <c r="E52" s="1667"/>
      <c r="F52" s="1667"/>
      <c r="G52" s="9"/>
      <c r="H52" s="9"/>
      <c r="I52" s="9"/>
    </row>
    <row r="53" spans="1:14" ht="13.5">
      <c r="A53" s="98"/>
      <c r="B53" s="130" t="s">
        <v>56</v>
      </c>
      <c r="C53" s="130"/>
      <c r="D53" s="130"/>
      <c r="E53" s="130"/>
      <c r="F53" s="131"/>
      <c r="G53" s="98"/>
    </row>
    <row r="54" spans="1:14" ht="25.5" customHeight="1">
      <c r="A54" s="98"/>
      <c r="B54" s="1671" t="s">
        <v>531</v>
      </c>
      <c r="C54" s="1671"/>
      <c r="D54" s="1671"/>
      <c r="E54" s="1671"/>
      <c r="F54" s="1671"/>
      <c r="G54" s="98"/>
    </row>
    <row r="55" spans="1:14" ht="13.5">
      <c r="A55" s="98"/>
      <c r="B55" s="130" t="s">
        <v>57</v>
      </c>
      <c r="C55" s="130"/>
      <c r="D55" s="130"/>
      <c r="E55" s="130"/>
      <c r="F55" s="130"/>
      <c r="G55" s="98"/>
    </row>
    <row r="56" spans="1:14" ht="24.75" customHeight="1">
      <c r="A56" s="98"/>
      <c r="B56" s="1676" t="s">
        <v>532</v>
      </c>
      <c r="C56" s="1676"/>
      <c r="D56" s="1676"/>
      <c r="E56" s="1676"/>
      <c r="F56" s="1676"/>
      <c r="G56" s="98"/>
    </row>
    <row r="57" spans="1:14" ht="13.5">
      <c r="A57" s="98"/>
      <c r="B57" s="130" t="s">
        <v>58</v>
      </c>
      <c r="C57" s="130"/>
      <c r="D57" s="130"/>
      <c r="E57" s="130"/>
      <c r="F57" s="130"/>
      <c r="G57" s="98"/>
    </row>
    <row r="58" spans="1:14">
      <c r="A58" s="98"/>
      <c r="B58" s="98"/>
      <c r="C58" s="98"/>
      <c r="D58" s="98"/>
      <c r="E58" s="98"/>
      <c r="F58" s="98"/>
      <c r="G58" s="98"/>
      <c r="H58" s="98"/>
      <c r="I58" s="98"/>
      <c r="J58" s="98"/>
      <c r="K58" s="98"/>
      <c r="L58" s="98"/>
      <c r="M58" s="98"/>
      <c r="N58" s="98"/>
    </row>
    <row r="59" spans="1:14">
      <c r="A59" s="98"/>
      <c r="B59" s="98"/>
      <c r="C59" s="98"/>
      <c r="D59" s="98"/>
      <c r="E59" s="98"/>
      <c r="F59" s="98"/>
      <c r="G59" s="98"/>
      <c r="H59" s="98"/>
      <c r="I59" s="98"/>
      <c r="J59" s="98"/>
      <c r="K59" s="98"/>
      <c r="L59" s="98"/>
      <c r="M59" s="98"/>
      <c r="N59" s="98"/>
    </row>
    <row r="60" spans="1:14">
      <c r="A60" s="98"/>
      <c r="B60" s="98"/>
      <c r="C60" s="98"/>
      <c r="D60" s="98"/>
      <c r="E60" s="98"/>
      <c r="F60" s="98"/>
      <c r="G60" s="98"/>
      <c r="H60" s="98"/>
      <c r="I60" s="98"/>
      <c r="J60" s="98"/>
      <c r="K60" s="98"/>
      <c r="L60" s="98"/>
      <c r="M60" s="98"/>
      <c r="N60" s="98"/>
    </row>
    <row r="61" spans="1:14">
      <c r="B61" s="98"/>
      <c r="C61" s="98"/>
      <c r="D61" s="98"/>
      <c r="E61" s="98"/>
      <c r="F61" s="98"/>
      <c r="G61" s="98"/>
      <c r="H61" s="98"/>
      <c r="I61" s="98"/>
      <c r="J61" s="98"/>
      <c r="K61" s="98"/>
      <c r="L61" s="98"/>
      <c r="M61" s="98"/>
    </row>
    <row r="62" spans="1:14">
      <c r="B62" s="98"/>
      <c r="C62" s="98"/>
      <c r="D62" s="98"/>
      <c r="E62" s="98"/>
      <c r="F62" s="98"/>
      <c r="G62" s="98"/>
      <c r="H62" s="98"/>
      <c r="I62" s="98"/>
      <c r="J62" s="98"/>
      <c r="K62" s="98"/>
      <c r="L62" s="98"/>
      <c r="M62" s="98"/>
    </row>
    <row r="63" spans="1:14">
      <c r="B63" s="98"/>
      <c r="C63" s="98"/>
      <c r="D63" s="98"/>
      <c r="E63" s="98"/>
      <c r="F63" s="98"/>
      <c r="G63" s="98"/>
      <c r="H63" s="98"/>
      <c r="I63" s="98"/>
      <c r="J63" s="98"/>
      <c r="K63" s="98"/>
      <c r="L63" s="98"/>
      <c r="M63" s="98"/>
    </row>
    <row r="64" spans="1:14">
      <c r="B64" s="98"/>
      <c r="C64" s="98"/>
      <c r="D64" s="98"/>
      <c r="E64" s="98"/>
      <c r="F64" s="98"/>
      <c r="G64" s="98"/>
      <c r="H64" s="98"/>
      <c r="I64" s="98"/>
      <c r="J64" s="98"/>
      <c r="K64" s="98"/>
      <c r="L64" s="98"/>
      <c r="M64" s="98"/>
    </row>
    <row r="65" spans="2:13">
      <c r="B65" s="98"/>
      <c r="C65" s="98"/>
      <c r="D65" s="98"/>
      <c r="E65" s="98"/>
      <c r="F65" s="98"/>
      <c r="G65" s="98"/>
      <c r="H65" s="98"/>
      <c r="I65" s="98"/>
      <c r="J65" s="98"/>
      <c r="K65" s="98"/>
      <c r="L65" s="98"/>
      <c r="M65" s="98"/>
    </row>
  </sheetData>
  <sheetProtection password="D94D" sheet="1"/>
  <mergeCells count="24">
    <mergeCell ref="B56:F56"/>
    <mergeCell ref="C42:G42"/>
    <mergeCell ref="J42:L42"/>
    <mergeCell ref="B54:F54"/>
    <mergeCell ref="B52:F52"/>
    <mergeCell ref="H2:M2"/>
    <mergeCell ref="J11:L11"/>
    <mergeCell ref="B9:M10"/>
    <mergeCell ref="C19:E22"/>
    <mergeCell ref="G19:I22"/>
    <mergeCell ref="K19:M22"/>
    <mergeCell ref="C31:G31"/>
    <mergeCell ref="J31:L31"/>
    <mergeCell ref="B40:M41"/>
    <mergeCell ref="C11:G11"/>
    <mergeCell ref="B50:F50"/>
    <mergeCell ref="C14:G14"/>
    <mergeCell ref="J14:L14"/>
    <mergeCell ref="B26:M27"/>
    <mergeCell ref="C28:G28"/>
    <mergeCell ref="J28:L28"/>
    <mergeCell ref="C34:E37"/>
    <mergeCell ref="G34:I37"/>
    <mergeCell ref="K34:M37"/>
  </mergeCells>
  <printOptions horizontalCentered="1"/>
  <pageMargins left="0.25" right="0.25" top="0.75" bottom="0.7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6" tint="-0.249977111117893"/>
    <pageSetUpPr fitToPage="1"/>
  </sheetPr>
  <dimension ref="A1:Y88"/>
  <sheetViews>
    <sheetView showGridLines="0" zoomScaleNormal="100" workbookViewId="0">
      <pane xSplit="8" ySplit="9" topLeftCell="I10" activePane="bottomRight" state="frozen"/>
      <selection activeCell="J13" sqref="J13"/>
      <selection pane="topRight" activeCell="J13" sqref="J13"/>
      <selection pane="bottomLeft" activeCell="J13" sqref="J13"/>
      <selection pane="bottomRight" activeCell="I10" sqref="I10"/>
    </sheetView>
  </sheetViews>
  <sheetFormatPr defaultRowHeight="12.75"/>
  <cols>
    <col min="1" max="1" width="2.86328125" customWidth="1"/>
    <col min="9" max="9" width="14" style="91" customWidth="1"/>
    <col min="10" max="10" width="18.6640625" customWidth="1"/>
    <col min="11" max="11" width="14" customWidth="1"/>
    <col min="12" max="12" width="18.46484375" customWidth="1"/>
    <col min="13" max="14" width="14" customWidth="1"/>
    <col min="15" max="15" width="17.1328125" customWidth="1"/>
    <col min="16" max="17" width="14" customWidth="1"/>
    <col min="18" max="18" width="17.1328125" customWidth="1"/>
    <col min="19" max="19" width="14" customWidth="1"/>
    <col min="20" max="20" width="117.46484375" style="1177" customWidth="1"/>
    <col min="21" max="34" width="9.1328125" customWidth="1"/>
  </cols>
  <sheetData>
    <row r="1" spans="1:25" ht="15">
      <c r="A1" s="43" t="s">
        <v>39</v>
      </c>
      <c r="B1" s="44"/>
      <c r="C1" s="45"/>
      <c r="D1" s="45"/>
      <c r="E1" s="45"/>
      <c r="F1" s="45"/>
      <c r="G1" s="45"/>
      <c r="H1" s="101"/>
      <c r="I1" s="1687" t="str">
        <f>IF('BUDGET-CERTIFICATION'!$H$1="","CHARTER NAME: Enter Charter Name on BUDGET-CERTIFICATION Worksheet",(CONCATENATE("CHARTER NAME: ",'BUDGET-CERTIFICATION'!$H$1)))</f>
        <v>CHARTER NAME: Encor Jr./Sr. High School for the Performing and Visual Arts</v>
      </c>
      <c r="J1" s="1687"/>
      <c r="K1" s="1687"/>
      <c r="L1" s="1687"/>
      <c r="M1" s="1687"/>
      <c r="N1" s="1687"/>
      <c r="O1" s="201"/>
      <c r="P1" s="201"/>
      <c r="Q1" s="254"/>
      <c r="R1" s="254"/>
      <c r="S1" s="255"/>
      <c r="U1" s="1177"/>
      <c r="V1" s="1177"/>
      <c r="W1" s="1177"/>
      <c r="X1" s="1177"/>
      <c r="Y1" s="1177"/>
    </row>
    <row r="2" spans="1:25" ht="15.4" thickBot="1">
      <c r="A2" s="1553" t="str">
        <f>Instructions!H1</f>
        <v>Form Revised (revision date here if revised)</v>
      </c>
      <c r="C2" s="34"/>
      <c r="D2" s="34"/>
      <c r="E2" s="34"/>
      <c r="F2" s="34"/>
      <c r="G2" s="34"/>
      <c r="H2" s="102"/>
      <c r="I2" s="1688" t="str">
        <f>IF('BUDGET-CERTIFICATION'!$H$5="","CHARTER #: Enter Charter # on BUDGET-CERTIFICATION Worksheet",(_xlfn.CONCAT("CHARTER #: ",'BUDGET-CERTIFICATION'!$H$5)))</f>
        <v>CHARTER #: 0971</v>
      </c>
      <c r="J2" s="1688"/>
      <c r="K2" s="1688"/>
      <c r="L2" s="1688"/>
      <c r="M2" s="1688"/>
      <c r="N2" s="1688"/>
      <c r="O2" s="202"/>
      <c r="P2" s="11"/>
      <c r="S2" s="257"/>
    </row>
    <row r="3" spans="1:25" ht="15.4" thickTop="1">
      <c r="A3" s="256"/>
      <c r="B3" s="33"/>
      <c r="C3" s="34"/>
      <c r="D3" s="34"/>
      <c r="E3" s="34"/>
      <c r="F3" s="34"/>
      <c r="G3" s="34"/>
      <c r="H3" s="35"/>
      <c r="I3" s="981"/>
      <c r="J3" s="35"/>
      <c r="K3" s="35"/>
      <c r="L3" s="35"/>
      <c r="M3" s="35"/>
      <c r="N3" s="35"/>
      <c r="O3" s="35"/>
      <c r="P3" s="35"/>
      <c r="S3" s="258"/>
    </row>
    <row r="4" spans="1:25" ht="15">
      <c r="A4" s="40"/>
      <c r="B4" s="36"/>
      <c r="E4" s="37"/>
      <c r="F4" s="37"/>
      <c r="G4" s="37"/>
      <c r="H4" s="37"/>
      <c r="I4" s="1689" t="str">
        <f>"Fiscal Year "&amp;K7&amp;" Budget"</f>
        <v>Fiscal Year 2024-25 Budget</v>
      </c>
      <c r="J4" s="1689"/>
      <c r="K4" s="1689"/>
      <c r="L4" s="37"/>
      <c r="M4" s="37"/>
      <c r="N4" s="37"/>
      <c r="O4" s="37"/>
      <c r="P4" s="37"/>
      <c r="R4" s="86"/>
      <c r="S4" s="259"/>
    </row>
    <row r="5" spans="1:25" ht="15">
      <c r="A5" s="40"/>
      <c r="B5" s="36"/>
      <c r="C5" s="36"/>
      <c r="E5" s="37"/>
      <c r="F5" s="37"/>
      <c r="G5" s="37"/>
      <c r="H5" s="37"/>
      <c r="I5" s="37"/>
      <c r="J5" s="37" t="s">
        <v>194</v>
      </c>
      <c r="K5" s="37"/>
      <c r="L5" s="37"/>
      <c r="M5" s="37"/>
      <c r="N5" s="37"/>
      <c r="O5" s="37"/>
      <c r="P5" s="37"/>
      <c r="R5" s="86"/>
      <c r="S5" s="259"/>
    </row>
    <row r="6" spans="1:25" ht="15.4" thickBot="1">
      <c r="A6" s="1699"/>
      <c r="B6" s="1700"/>
      <c r="C6" s="1700"/>
      <c r="D6" s="1700"/>
      <c r="E6" s="1700"/>
      <c r="F6" s="1700"/>
      <c r="G6" s="1700"/>
      <c r="H6" s="1700"/>
      <c r="I6" s="261"/>
      <c r="J6" s="260"/>
      <c r="K6" s="262"/>
      <c r="L6" s="262"/>
      <c r="M6" s="262"/>
      <c r="N6" s="263"/>
      <c r="O6" s="263"/>
      <c r="P6" s="263"/>
      <c r="Q6" s="174"/>
      <c r="R6" s="174"/>
      <c r="S6" s="264"/>
    </row>
    <row r="7" spans="1:25" ht="15.75" customHeight="1">
      <c r="A7" s="1708" t="str">
        <f>IF('BUDGET-CERTIFICATION'!$H$3="","Charter Authorizer: Enter Charter Authorizer on BUDGET-CERTIFICATION Worksheet",(_xlfn.CONCAT("Charter Authorizer: ",'BUDGET-CERTIFICATION'!$H$3)))</f>
        <v>Charter Authorizer: Hesperia Unified School District</v>
      </c>
      <c r="B7" s="1709"/>
      <c r="C7" s="1709"/>
      <c r="D7" s="1709"/>
      <c r="E7" s="1709"/>
      <c r="F7" s="1709"/>
      <c r="G7" s="1710"/>
      <c r="H7" s="238"/>
      <c r="I7" s="1690" t="s">
        <v>365</v>
      </c>
      <c r="J7" s="1691"/>
      <c r="K7" s="1692" t="s">
        <v>492</v>
      </c>
      <c r="L7" s="1693"/>
      <c r="M7" s="1694"/>
      <c r="N7" s="1695" t="s">
        <v>501</v>
      </c>
      <c r="O7" s="1696"/>
      <c r="P7" s="1697"/>
      <c r="Q7" s="1695" t="s">
        <v>502</v>
      </c>
      <c r="R7" s="1696"/>
      <c r="S7" s="1697"/>
    </row>
    <row r="8" spans="1:25" ht="20.65" thickBot="1">
      <c r="A8" s="1711"/>
      <c r="B8" s="1712"/>
      <c r="C8" s="1712"/>
      <c r="D8" s="1712"/>
      <c r="E8" s="1712"/>
      <c r="F8" s="1712"/>
      <c r="G8" s="1713"/>
      <c r="H8" s="40"/>
      <c r="I8" s="440" t="s">
        <v>193</v>
      </c>
      <c r="J8" s="441" t="s">
        <v>196</v>
      </c>
      <c r="K8" s="440" t="s">
        <v>194</v>
      </c>
      <c r="L8" s="442" t="s">
        <v>196</v>
      </c>
      <c r="M8" s="1704" t="s">
        <v>228</v>
      </c>
      <c r="N8" s="443" t="s">
        <v>194</v>
      </c>
      <c r="O8" s="442" t="s">
        <v>196</v>
      </c>
      <c r="P8" s="1704" t="s">
        <v>228</v>
      </c>
      <c r="Q8" s="440" t="s">
        <v>194</v>
      </c>
      <c r="R8" s="444" t="s">
        <v>196</v>
      </c>
      <c r="S8" s="1706" t="s">
        <v>228</v>
      </c>
    </row>
    <row r="9" spans="1:25" ht="15.4" thickBot="1">
      <c r="A9" s="417" t="s">
        <v>2</v>
      </c>
      <c r="B9" s="418"/>
      <c r="C9" s="418"/>
      <c r="D9" s="418"/>
      <c r="E9" s="419"/>
      <c r="F9" s="420"/>
      <c r="G9" s="652"/>
      <c r="H9" s="650" t="s">
        <v>37</v>
      </c>
      <c r="I9" s="229" t="s">
        <v>167</v>
      </c>
      <c r="J9" s="228"/>
      <c r="K9" s="229" t="s">
        <v>167</v>
      </c>
      <c r="L9" s="230"/>
      <c r="M9" s="1705"/>
      <c r="N9" s="231" t="s">
        <v>167</v>
      </c>
      <c r="O9" s="230"/>
      <c r="P9" s="1705"/>
      <c r="Q9" s="229" t="s">
        <v>167</v>
      </c>
      <c r="R9" s="230"/>
      <c r="S9" s="1707"/>
    </row>
    <row r="10" spans="1:25" ht="21" thickTop="1" thickBot="1">
      <c r="A10" s="651" t="s">
        <v>197</v>
      </c>
      <c r="B10" s="105"/>
      <c r="C10" s="105"/>
      <c r="D10" s="34"/>
      <c r="E10" s="34"/>
      <c r="F10" s="34"/>
      <c r="G10" s="984">
        <v>0</v>
      </c>
      <c r="H10" s="613"/>
      <c r="I10" s="549"/>
      <c r="J10" s="548"/>
      <c r="K10" s="548"/>
      <c r="L10" s="548"/>
      <c r="M10" s="548"/>
      <c r="N10" s="548"/>
      <c r="O10" s="548"/>
      <c r="P10" s="548"/>
      <c r="Q10" s="548"/>
      <c r="R10" s="548"/>
      <c r="S10" s="550"/>
    </row>
    <row r="11" spans="1:25" ht="15">
      <c r="A11" s="42" t="s">
        <v>171</v>
      </c>
      <c r="B11" s="150"/>
      <c r="C11" s="150"/>
      <c r="D11" s="240"/>
      <c r="E11" s="240"/>
      <c r="F11" s="240"/>
      <c r="G11" s="240"/>
      <c r="H11" s="551"/>
      <c r="I11" s="435"/>
      <c r="J11" s="239"/>
      <c r="K11" s="239"/>
      <c r="L11" s="239"/>
      <c r="M11" s="239"/>
      <c r="N11" s="239"/>
      <c r="O11" s="239"/>
      <c r="P11" s="239"/>
      <c r="Q11" s="239"/>
      <c r="R11" s="239"/>
      <c r="S11" s="434"/>
    </row>
    <row r="12" spans="1:25" ht="15">
      <c r="A12" s="436"/>
      <c r="B12" s="243"/>
      <c r="C12" s="1677" t="s">
        <v>168</v>
      </c>
      <c r="D12" s="1677"/>
      <c r="E12" s="1677"/>
      <c r="F12" s="1677"/>
      <c r="G12" s="1678"/>
      <c r="H12" s="242" t="s">
        <v>172</v>
      </c>
      <c r="I12" s="245">
        <v>0</v>
      </c>
      <c r="J12" s="647"/>
      <c r="K12" s="246">
        <v>0</v>
      </c>
      <c r="L12" s="648"/>
      <c r="M12" s="247" t="str">
        <f t="shared" ref="M12:M23" si="0">IF(I12&lt;1," ",IF(K12&lt;1," ",(K12-I12)/I12))</f>
        <v xml:space="preserve"> </v>
      </c>
      <c r="N12" s="246">
        <v>0</v>
      </c>
      <c r="O12" s="649"/>
      <c r="P12" s="248" t="str">
        <f t="shared" ref="P12:P23" si="1">IF(K12&lt;1," ",IF(N12&lt;1," ",(N12-K12)/K12))</f>
        <v xml:space="preserve"> </v>
      </c>
      <c r="Q12" s="246">
        <v>0</v>
      </c>
      <c r="R12" s="648"/>
      <c r="S12" s="249" t="str">
        <f t="shared" ref="S12:S23" si="2">IF(N12&lt;1," ",IF(Q12&lt;1," ",(Q12-N12)/N12))</f>
        <v xml:space="preserve"> </v>
      </c>
    </row>
    <row r="13" spans="1:25" ht="15">
      <c r="A13" s="235"/>
      <c r="B13" s="243"/>
      <c r="C13" s="1685" t="s">
        <v>181</v>
      </c>
      <c r="D13" s="1685"/>
      <c r="E13" s="1685"/>
      <c r="F13" s="1685"/>
      <c r="G13" s="1686"/>
      <c r="H13" s="242" t="s">
        <v>173</v>
      </c>
      <c r="I13" s="245">
        <v>0</v>
      </c>
      <c r="J13" s="647"/>
      <c r="K13" s="246">
        <v>0</v>
      </c>
      <c r="L13" s="648"/>
      <c r="M13" s="247" t="str">
        <f t="shared" si="0"/>
        <v xml:space="preserve"> </v>
      </c>
      <c r="N13" s="246">
        <v>0</v>
      </c>
      <c r="O13" s="649"/>
      <c r="P13" s="248" t="str">
        <f t="shared" si="1"/>
        <v xml:space="preserve"> </v>
      </c>
      <c r="Q13" s="246">
        <v>0</v>
      </c>
      <c r="R13" s="648"/>
      <c r="S13" s="249" t="str">
        <f t="shared" si="2"/>
        <v xml:space="preserve"> </v>
      </c>
    </row>
    <row r="14" spans="1:25" ht="15">
      <c r="A14" s="67"/>
      <c r="B14" s="243"/>
      <c r="C14" s="1677" t="s">
        <v>169</v>
      </c>
      <c r="D14" s="1677"/>
      <c r="E14" s="1677"/>
      <c r="F14" s="1677"/>
      <c r="G14" s="1678"/>
      <c r="H14" s="242" t="s">
        <v>174</v>
      </c>
      <c r="I14" s="245">
        <v>0</v>
      </c>
      <c r="J14" s="647"/>
      <c r="K14" s="246">
        <v>0</v>
      </c>
      <c r="L14" s="648"/>
      <c r="M14" s="247" t="str">
        <f t="shared" si="0"/>
        <v xml:space="preserve"> </v>
      </c>
      <c r="N14" s="246">
        <v>0</v>
      </c>
      <c r="O14" s="649"/>
      <c r="P14" s="248" t="str">
        <f t="shared" si="1"/>
        <v xml:space="preserve"> </v>
      </c>
      <c r="Q14" s="246">
        <v>0</v>
      </c>
      <c r="R14" s="648"/>
      <c r="S14" s="249" t="str">
        <f t="shared" si="2"/>
        <v xml:space="preserve"> </v>
      </c>
    </row>
    <row r="15" spans="1:25" ht="15">
      <c r="A15" s="67"/>
      <c r="B15" s="243"/>
      <c r="C15" s="1685" t="s">
        <v>182</v>
      </c>
      <c r="D15" s="1685"/>
      <c r="E15" s="1685"/>
      <c r="F15" s="1685"/>
      <c r="G15" s="1686"/>
      <c r="H15" s="242" t="s">
        <v>175</v>
      </c>
      <c r="I15" s="245">
        <v>0</v>
      </c>
      <c r="J15" s="647"/>
      <c r="K15" s="246">
        <v>0</v>
      </c>
      <c r="L15" s="648"/>
      <c r="M15" s="247" t="str">
        <f t="shared" si="0"/>
        <v xml:space="preserve"> </v>
      </c>
      <c r="N15" s="246">
        <v>0</v>
      </c>
      <c r="O15" s="649"/>
      <c r="P15" s="248" t="str">
        <f t="shared" si="1"/>
        <v xml:space="preserve"> </v>
      </c>
      <c r="Q15" s="246">
        <v>0</v>
      </c>
      <c r="R15" s="648"/>
      <c r="S15" s="249" t="str">
        <f t="shared" si="2"/>
        <v xml:space="preserve"> </v>
      </c>
    </row>
    <row r="16" spans="1:25" ht="15">
      <c r="A16" s="67"/>
      <c r="B16" s="243"/>
      <c r="C16" s="1677" t="s">
        <v>170</v>
      </c>
      <c r="D16" s="1677"/>
      <c r="E16" s="1677"/>
      <c r="F16" s="1677"/>
      <c r="G16" s="1678"/>
      <c r="H16" s="242" t="s">
        <v>176</v>
      </c>
      <c r="I16" s="245">
        <v>0</v>
      </c>
      <c r="J16" s="647"/>
      <c r="K16" s="246">
        <v>0</v>
      </c>
      <c r="L16" s="648"/>
      <c r="M16" s="247" t="str">
        <f t="shared" si="0"/>
        <v xml:space="preserve"> </v>
      </c>
      <c r="N16" s="246">
        <v>0</v>
      </c>
      <c r="O16" s="649"/>
      <c r="P16" s="248" t="str">
        <f t="shared" si="1"/>
        <v xml:space="preserve"> </v>
      </c>
      <c r="Q16" s="246">
        <v>0</v>
      </c>
      <c r="R16" s="648"/>
      <c r="S16" s="249" t="str">
        <f t="shared" si="2"/>
        <v xml:space="preserve"> </v>
      </c>
    </row>
    <row r="17" spans="1:19" ht="15">
      <c r="A17" s="67"/>
      <c r="B17" s="243"/>
      <c r="C17" s="1685" t="s">
        <v>183</v>
      </c>
      <c r="D17" s="1685"/>
      <c r="E17" s="1685"/>
      <c r="F17" s="1685"/>
      <c r="G17" s="1686"/>
      <c r="H17" s="242" t="s">
        <v>187</v>
      </c>
      <c r="I17" s="245">
        <v>0</v>
      </c>
      <c r="J17" s="647"/>
      <c r="K17" s="246">
        <v>0</v>
      </c>
      <c r="L17" s="648"/>
      <c r="M17" s="247" t="str">
        <f t="shared" si="0"/>
        <v xml:space="preserve"> </v>
      </c>
      <c r="N17" s="246">
        <v>0</v>
      </c>
      <c r="O17" s="649"/>
      <c r="P17" s="248" t="str">
        <f t="shared" si="1"/>
        <v xml:space="preserve"> </v>
      </c>
      <c r="Q17" s="246">
        <v>0</v>
      </c>
      <c r="R17" s="648"/>
      <c r="S17" s="249" t="str">
        <f t="shared" si="2"/>
        <v xml:space="preserve"> </v>
      </c>
    </row>
    <row r="18" spans="1:19" ht="15">
      <c r="A18" s="67"/>
      <c r="B18" s="243"/>
      <c r="C18" s="1677" t="s">
        <v>184</v>
      </c>
      <c r="D18" s="1677"/>
      <c r="E18" s="1677"/>
      <c r="F18" s="1677"/>
      <c r="G18" s="1678"/>
      <c r="H18" s="242" t="s">
        <v>188</v>
      </c>
      <c r="I18" s="245">
        <v>0</v>
      </c>
      <c r="J18" s="647"/>
      <c r="K18" s="246">
        <v>0</v>
      </c>
      <c r="L18" s="648"/>
      <c r="M18" s="247" t="str">
        <f t="shared" si="0"/>
        <v xml:space="preserve"> </v>
      </c>
      <c r="N18" s="246">
        <v>0</v>
      </c>
      <c r="O18" s="649"/>
      <c r="P18" s="248" t="str">
        <f t="shared" si="1"/>
        <v xml:space="preserve"> </v>
      </c>
      <c r="Q18" s="246">
        <v>0</v>
      </c>
      <c r="R18" s="648"/>
      <c r="S18" s="249" t="str">
        <f t="shared" si="2"/>
        <v xml:space="preserve"> </v>
      </c>
    </row>
    <row r="19" spans="1:19" ht="15">
      <c r="A19" s="67"/>
      <c r="B19" s="243"/>
      <c r="C19" s="1685" t="s">
        <v>185</v>
      </c>
      <c r="D19" s="1685"/>
      <c r="E19" s="1685"/>
      <c r="F19" s="1685"/>
      <c r="G19" s="1686"/>
      <c r="H19" s="242" t="s">
        <v>189</v>
      </c>
      <c r="I19" s="245">
        <v>0</v>
      </c>
      <c r="J19" s="647"/>
      <c r="K19" s="246">
        <v>0</v>
      </c>
      <c r="L19" s="648"/>
      <c r="M19" s="247" t="str">
        <f t="shared" si="0"/>
        <v xml:space="preserve"> </v>
      </c>
      <c r="N19" s="246">
        <v>0</v>
      </c>
      <c r="O19" s="649"/>
      <c r="P19" s="248" t="str">
        <f t="shared" si="1"/>
        <v xml:space="preserve"> </v>
      </c>
      <c r="Q19" s="246">
        <v>0</v>
      </c>
      <c r="R19" s="648"/>
      <c r="S19" s="249" t="str">
        <f t="shared" si="2"/>
        <v xml:space="preserve"> </v>
      </c>
    </row>
    <row r="20" spans="1:19" ht="36" customHeight="1">
      <c r="A20" s="67"/>
      <c r="B20" s="1679" t="s">
        <v>358</v>
      </c>
      <c r="C20" s="1680"/>
      <c r="D20" s="1680"/>
      <c r="E20" s="1680"/>
      <c r="F20" s="1680"/>
      <c r="G20" s="1681"/>
      <c r="H20" s="242" t="s">
        <v>190</v>
      </c>
      <c r="I20" s="250">
        <f>I12+I14+I16+I18</f>
        <v>0</v>
      </c>
      <c r="J20" s="647"/>
      <c r="K20" s="250">
        <f>K12+K14+K16+K18</f>
        <v>0</v>
      </c>
      <c r="L20" s="648"/>
      <c r="M20" s="248" t="str">
        <f t="shared" si="0"/>
        <v xml:space="preserve"> </v>
      </c>
      <c r="N20" s="250">
        <f>N12+N14+N16+N18</f>
        <v>0</v>
      </c>
      <c r="O20" s="649"/>
      <c r="P20" s="248" t="str">
        <f t="shared" si="1"/>
        <v xml:space="preserve"> </v>
      </c>
      <c r="Q20" s="250">
        <f>Q12+Q14+Q16+Q18</f>
        <v>0</v>
      </c>
      <c r="R20" s="648"/>
      <c r="S20" s="431" t="str">
        <f t="shared" si="2"/>
        <v xml:space="preserve"> </v>
      </c>
    </row>
    <row r="21" spans="1:19" ht="15">
      <c r="A21" s="67"/>
      <c r="B21" s="1679" t="s">
        <v>359</v>
      </c>
      <c r="C21" s="1680"/>
      <c r="D21" s="1680"/>
      <c r="E21" s="1680"/>
      <c r="F21" s="1680"/>
      <c r="G21" s="1681"/>
      <c r="H21" s="242" t="s">
        <v>191</v>
      </c>
      <c r="I21" s="250">
        <f>I13+I15+I17+I19</f>
        <v>0</v>
      </c>
      <c r="J21" s="251">
        <f>I21</f>
        <v>0</v>
      </c>
      <c r="K21" s="250">
        <f>K13+K15+K17+K19</f>
        <v>0</v>
      </c>
      <c r="L21" s="547">
        <f>K21</f>
        <v>0</v>
      </c>
      <c r="M21" s="248" t="str">
        <f t="shared" si="0"/>
        <v xml:space="preserve"> </v>
      </c>
      <c r="N21" s="250">
        <f>N13+N15+N17+N19</f>
        <v>0</v>
      </c>
      <c r="O21" s="547">
        <f>N21</f>
        <v>0</v>
      </c>
      <c r="P21" s="248" t="str">
        <f t="shared" si="1"/>
        <v xml:space="preserve"> </v>
      </c>
      <c r="Q21" s="250">
        <f>Q13+Q15+Q17+Q19</f>
        <v>0</v>
      </c>
      <c r="R21" s="439">
        <f>Q21</f>
        <v>0</v>
      </c>
      <c r="S21" s="431" t="str">
        <f t="shared" si="2"/>
        <v xml:space="preserve"> </v>
      </c>
    </row>
    <row r="22" spans="1:19" ht="33.75" customHeight="1">
      <c r="A22" s="67"/>
      <c r="B22" s="1679" t="s">
        <v>356</v>
      </c>
      <c r="C22" s="1680"/>
      <c r="D22" s="1680"/>
      <c r="E22" s="1680"/>
      <c r="F22" s="1680"/>
      <c r="G22" s="1681"/>
      <c r="H22" s="242" t="s">
        <v>355</v>
      </c>
      <c r="I22" s="250">
        <f>I20-I21</f>
        <v>0</v>
      </c>
      <c r="J22" s="251">
        <f>IF($G$10="","Cell G10 CANNOT be blank",I22*$G$10)</f>
        <v>0</v>
      </c>
      <c r="K22" s="250">
        <f>K20-K21</f>
        <v>0</v>
      </c>
      <c r="L22" s="547">
        <f>IF($G$10="","Cell G10 CANNOT be blank",K22*$G$10)</f>
        <v>0</v>
      </c>
      <c r="M22" s="248" t="str">
        <f t="shared" si="0"/>
        <v xml:space="preserve"> </v>
      </c>
      <c r="N22" s="250">
        <f>N20-N21</f>
        <v>0</v>
      </c>
      <c r="O22" s="547">
        <f>IF($G$10="","Cell G10 CANNOT be blank",N22*$G$10)</f>
        <v>0</v>
      </c>
      <c r="P22" s="248" t="str">
        <f t="shared" si="1"/>
        <v xml:space="preserve"> </v>
      </c>
      <c r="Q22" s="250">
        <f>Q20-Q21</f>
        <v>0</v>
      </c>
      <c r="R22" s="547">
        <f>IF($G$10="","Cell G10 CANNOT be blank",Q22*$G$10)</f>
        <v>0</v>
      </c>
      <c r="S22" s="253" t="str">
        <f t="shared" si="2"/>
        <v xml:space="preserve"> </v>
      </c>
    </row>
    <row r="23" spans="1:19" ht="30" customHeight="1">
      <c r="A23" s="67"/>
      <c r="B23" s="1701" t="s">
        <v>186</v>
      </c>
      <c r="C23" s="1702"/>
      <c r="D23" s="1702"/>
      <c r="E23" s="1702"/>
      <c r="F23" s="1702"/>
      <c r="G23" s="1703"/>
      <c r="H23" s="242" t="s">
        <v>192</v>
      </c>
      <c r="I23" s="245">
        <v>0</v>
      </c>
      <c r="J23" s="647"/>
      <c r="K23" s="246">
        <v>0</v>
      </c>
      <c r="L23" s="648"/>
      <c r="M23" s="247" t="str">
        <f t="shared" si="0"/>
        <v xml:space="preserve"> </v>
      </c>
      <c r="N23" s="246">
        <v>0</v>
      </c>
      <c r="O23" s="649"/>
      <c r="P23" s="248" t="str">
        <f t="shared" si="1"/>
        <v xml:space="preserve"> </v>
      </c>
      <c r="Q23" s="246">
        <v>0</v>
      </c>
      <c r="R23" s="648"/>
      <c r="S23" s="249" t="str">
        <f t="shared" si="2"/>
        <v xml:space="preserve"> </v>
      </c>
    </row>
    <row r="24" spans="1:19" ht="15">
      <c r="A24" s="67"/>
      <c r="B24" s="105"/>
      <c r="C24" s="34"/>
      <c r="D24" s="34"/>
      <c r="E24" s="34"/>
      <c r="F24" s="34"/>
      <c r="G24" s="34"/>
      <c r="H24" s="552"/>
      <c r="I24" s="553"/>
      <c r="J24" s="554"/>
      <c r="K24" s="553"/>
      <c r="L24" s="554"/>
      <c r="M24" s="554"/>
      <c r="N24" s="553"/>
      <c r="O24" s="554"/>
      <c r="P24" s="554"/>
      <c r="Q24" s="553"/>
      <c r="R24" s="554"/>
      <c r="S24" s="555"/>
    </row>
    <row r="25" spans="1:19" ht="15">
      <c r="A25" s="42" t="s">
        <v>177</v>
      </c>
      <c r="B25" s="150"/>
      <c r="C25" s="150"/>
      <c r="D25" s="240"/>
      <c r="E25" s="240"/>
      <c r="F25" s="240"/>
      <c r="G25" s="240"/>
      <c r="H25" s="551"/>
      <c r="I25" s="435"/>
      <c r="J25" s="239"/>
      <c r="K25" s="239"/>
      <c r="L25" s="239"/>
      <c r="M25" s="239"/>
      <c r="N25" s="239"/>
      <c r="O25" s="239"/>
      <c r="P25" s="239"/>
      <c r="Q25" s="239"/>
      <c r="R25" s="239"/>
      <c r="S25" s="434"/>
    </row>
    <row r="26" spans="1:19" ht="15">
      <c r="A26" s="67"/>
      <c r="B26" s="243"/>
      <c r="C26" s="1677" t="s">
        <v>168</v>
      </c>
      <c r="D26" s="1677"/>
      <c r="E26" s="1677"/>
      <c r="F26" s="1677"/>
      <c r="G26" s="1678"/>
      <c r="H26" s="242" t="s">
        <v>172</v>
      </c>
      <c r="I26" s="245">
        <v>0</v>
      </c>
      <c r="J26" s="647"/>
      <c r="K26" s="246">
        <v>0</v>
      </c>
      <c r="L26" s="648"/>
      <c r="M26" s="247" t="str">
        <f t="shared" ref="M26:M36" si="3">IF(I26&lt;1," ",IF(K26&lt;1," ",(K26-I26)/I26))</f>
        <v xml:space="preserve"> </v>
      </c>
      <c r="N26" s="246">
        <v>0</v>
      </c>
      <c r="O26" s="649"/>
      <c r="P26" s="248" t="str">
        <f t="shared" ref="P26:P36" si="4">IF(K26&lt;1," ",IF(N26&lt;1," ",(N26-K26)/K26))</f>
        <v xml:space="preserve"> </v>
      </c>
      <c r="Q26" s="246">
        <v>0</v>
      </c>
      <c r="R26" s="648"/>
      <c r="S26" s="249" t="str">
        <f t="shared" ref="S26:S36" si="5">IF(N26&lt;1," ",IF(Q26&lt;1," ",(Q26-N26)/N26))</f>
        <v xml:space="preserve"> </v>
      </c>
    </row>
    <row r="27" spans="1:19" ht="15">
      <c r="A27" s="67"/>
      <c r="B27" s="243"/>
      <c r="C27" s="1685" t="s">
        <v>181</v>
      </c>
      <c r="D27" s="1685"/>
      <c r="E27" s="1685"/>
      <c r="F27" s="1685"/>
      <c r="G27" s="1686"/>
      <c r="H27" s="242" t="s">
        <v>173</v>
      </c>
      <c r="I27" s="245">
        <v>0</v>
      </c>
      <c r="J27" s="647"/>
      <c r="K27" s="246">
        <v>0</v>
      </c>
      <c r="L27" s="648"/>
      <c r="M27" s="247" t="str">
        <f t="shared" si="3"/>
        <v xml:space="preserve"> </v>
      </c>
      <c r="N27" s="246">
        <v>0</v>
      </c>
      <c r="O27" s="649"/>
      <c r="P27" s="248" t="str">
        <f t="shared" si="4"/>
        <v xml:space="preserve"> </v>
      </c>
      <c r="Q27" s="246">
        <v>0</v>
      </c>
      <c r="R27" s="648"/>
      <c r="S27" s="249" t="str">
        <f t="shared" si="5"/>
        <v xml:space="preserve"> </v>
      </c>
    </row>
    <row r="28" spans="1:19" ht="15">
      <c r="A28" s="67"/>
      <c r="B28" s="243"/>
      <c r="C28" s="1677" t="s">
        <v>169</v>
      </c>
      <c r="D28" s="1677"/>
      <c r="E28" s="1677"/>
      <c r="F28" s="1677"/>
      <c r="G28" s="1678"/>
      <c r="H28" s="242" t="s">
        <v>174</v>
      </c>
      <c r="I28" s="245">
        <v>0</v>
      </c>
      <c r="J28" s="647"/>
      <c r="K28" s="246">
        <v>0</v>
      </c>
      <c r="L28" s="648"/>
      <c r="M28" s="247" t="str">
        <f t="shared" si="3"/>
        <v xml:space="preserve"> </v>
      </c>
      <c r="N28" s="246">
        <v>0</v>
      </c>
      <c r="O28" s="649"/>
      <c r="P28" s="248" t="str">
        <f t="shared" si="4"/>
        <v xml:space="preserve"> </v>
      </c>
      <c r="Q28" s="246">
        <v>0</v>
      </c>
      <c r="R28" s="648"/>
      <c r="S28" s="249" t="str">
        <f t="shared" si="5"/>
        <v xml:space="preserve"> </v>
      </c>
    </row>
    <row r="29" spans="1:19" ht="15">
      <c r="A29" s="67"/>
      <c r="B29" s="243"/>
      <c r="C29" s="1685" t="s">
        <v>182</v>
      </c>
      <c r="D29" s="1685"/>
      <c r="E29" s="1685"/>
      <c r="F29" s="1685"/>
      <c r="G29" s="1686"/>
      <c r="H29" s="242" t="s">
        <v>175</v>
      </c>
      <c r="I29" s="245">
        <v>0</v>
      </c>
      <c r="J29" s="647"/>
      <c r="K29" s="246">
        <v>0</v>
      </c>
      <c r="L29" s="648"/>
      <c r="M29" s="247" t="str">
        <f t="shared" si="3"/>
        <v xml:space="preserve"> </v>
      </c>
      <c r="N29" s="246">
        <v>0</v>
      </c>
      <c r="O29" s="649"/>
      <c r="P29" s="248" t="str">
        <f t="shared" si="4"/>
        <v xml:space="preserve"> </v>
      </c>
      <c r="Q29" s="246">
        <v>0</v>
      </c>
      <c r="R29" s="648"/>
      <c r="S29" s="249" t="str">
        <f t="shared" si="5"/>
        <v xml:space="preserve"> </v>
      </c>
    </row>
    <row r="30" spans="1:19" ht="15">
      <c r="A30" s="67"/>
      <c r="B30" s="243"/>
      <c r="C30" s="1677" t="s">
        <v>170</v>
      </c>
      <c r="D30" s="1677"/>
      <c r="E30" s="1677"/>
      <c r="F30" s="1677"/>
      <c r="G30" s="1678"/>
      <c r="H30" s="242" t="s">
        <v>176</v>
      </c>
      <c r="I30" s="245">
        <v>0</v>
      </c>
      <c r="J30" s="647"/>
      <c r="K30" s="246">
        <v>0</v>
      </c>
      <c r="L30" s="648"/>
      <c r="M30" s="247" t="str">
        <f t="shared" si="3"/>
        <v xml:space="preserve"> </v>
      </c>
      <c r="N30" s="246">
        <v>0</v>
      </c>
      <c r="O30" s="649"/>
      <c r="P30" s="248" t="str">
        <f t="shared" si="4"/>
        <v xml:space="preserve"> </v>
      </c>
      <c r="Q30" s="246">
        <v>0</v>
      </c>
      <c r="R30" s="648"/>
      <c r="S30" s="249" t="str">
        <f t="shared" si="5"/>
        <v xml:space="preserve"> </v>
      </c>
    </row>
    <row r="31" spans="1:19" ht="15">
      <c r="A31" s="67"/>
      <c r="B31" s="243"/>
      <c r="C31" s="1685" t="s">
        <v>183</v>
      </c>
      <c r="D31" s="1685"/>
      <c r="E31" s="1685"/>
      <c r="F31" s="1685"/>
      <c r="G31" s="1686"/>
      <c r="H31" s="242" t="s">
        <v>187</v>
      </c>
      <c r="I31" s="245">
        <v>0</v>
      </c>
      <c r="J31" s="647"/>
      <c r="K31" s="246">
        <v>0</v>
      </c>
      <c r="L31" s="648"/>
      <c r="M31" s="247" t="str">
        <f t="shared" si="3"/>
        <v xml:space="preserve"> </v>
      </c>
      <c r="N31" s="246">
        <v>0</v>
      </c>
      <c r="O31" s="649"/>
      <c r="P31" s="248" t="str">
        <f t="shared" si="4"/>
        <v xml:space="preserve"> </v>
      </c>
      <c r="Q31" s="246">
        <v>0</v>
      </c>
      <c r="R31" s="648"/>
      <c r="S31" s="249" t="str">
        <f t="shared" si="5"/>
        <v xml:space="preserve"> </v>
      </c>
    </row>
    <row r="32" spans="1:19" ht="15">
      <c r="A32" s="67"/>
      <c r="B32" s="243"/>
      <c r="C32" s="1677" t="s">
        <v>184</v>
      </c>
      <c r="D32" s="1677"/>
      <c r="E32" s="1677"/>
      <c r="F32" s="1677"/>
      <c r="G32" s="1678"/>
      <c r="H32" s="242" t="s">
        <v>188</v>
      </c>
      <c r="I32" s="245">
        <v>0</v>
      </c>
      <c r="J32" s="647"/>
      <c r="K32" s="246">
        <v>0</v>
      </c>
      <c r="L32" s="648"/>
      <c r="M32" s="247" t="str">
        <f t="shared" si="3"/>
        <v xml:space="preserve"> </v>
      </c>
      <c r="N32" s="246">
        <v>0</v>
      </c>
      <c r="O32" s="649"/>
      <c r="P32" s="248" t="str">
        <f t="shared" si="4"/>
        <v xml:space="preserve"> </v>
      </c>
      <c r="Q32" s="246">
        <v>0</v>
      </c>
      <c r="R32" s="648"/>
      <c r="S32" s="249" t="str">
        <f t="shared" si="5"/>
        <v xml:space="preserve"> </v>
      </c>
    </row>
    <row r="33" spans="1:19" ht="15">
      <c r="A33" s="67"/>
      <c r="B33" s="243"/>
      <c r="C33" s="1685" t="s">
        <v>185</v>
      </c>
      <c r="D33" s="1685"/>
      <c r="E33" s="1685"/>
      <c r="F33" s="1685"/>
      <c r="G33" s="1686"/>
      <c r="H33" s="242" t="s">
        <v>189</v>
      </c>
      <c r="I33" s="245">
        <v>0</v>
      </c>
      <c r="J33" s="647"/>
      <c r="K33" s="246">
        <v>0</v>
      </c>
      <c r="L33" s="648"/>
      <c r="M33" s="247" t="str">
        <f t="shared" si="3"/>
        <v xml:space="preserve"> </v>
      </c>
      <c r="N33" s="246">
        <v>0</v>
      </c>
      <c r="O33" s="649"/>
      <c r="P33" s="248" t="str">
        <f t="shared" si="4"/>
        <v xml:space="preserve"> </v>
      </c>
      <c r="Q33" s="246">
        <v>0</v>
      </c>
      <c r="R33" s="648"/>
      <c r="S33" s="249" t="str">
        <f t="shared" si="5"/>
        <v xml:space="preserve"> </v>
      </c>
    </row>
    <row r="34" spans="1:19" ht="33" customHeight="1">
      <c r="A34" s="67"/>
      <c r="B34" s="1679" t="s">
        <v>358</v>
      </c>
      <c r="C34" s="1680"/>
      <c r="D34" s="1680"/>
      <c r="E34" s="1680"/>
      <c r="F34" s="1680"/>
      <c r="G34" s="1681"/>
      <c r="H34" s="242" t="s">
        <v>190</v>
      </c>
      <c r="I34" s="250">
        <f>I26+I28+I30+I32</f>
        <v>0</v>
      </c>
      <c r="J34" s="647"/>
      <c r="K34" s="250">
        <f>K26+K28+K30+K32</f>
        <v>0</v>
      </c>
      <c r="L34" s="648"/>
      <c r="M34" s="248" t="str">
        <f t="shared" si="3"/>
        <v xml:space="preserve"> </v>
      </c>
      <c r="N34" s="250">
        <f>N26+N28+N30+N32</f>
        <v>0</v>
      </c>
      <c r="O34" s="648"/>
      <c r="P34" s="438" t="str">
        <f t="shared" si="4"/>
        <v xml:space="preserve"> </v>
      </c>
      <c r="Q34" s="250">
        <f>Q26+Q28+Q30+Q32</f>
        <v>0</v>
      </c>
      <c r="R34" s="648"/>
      <c r="S34" s="249" t="str">
        <f t="shared" si="5"/>
        <v xml:space="preserve"> </v>
      </c>
    </row>
    <row r="35" spans="1:19" ht="15">
      <c r="A35" s="67"/>
      <c r="B35" s="1679" t="s">
        <v>359</v>
      </c>
      <c r="C35" s="1680"/>
      <c r="D35" s="1680"/>
      <c r="E35" s="1680"/>
      <c r="F35" s="1680"/>
      <c r="G35" s="1681"/>
      <c r="H35" s="242" t="s">
        <v>191</v>
      </c>
      <c r="I35" s="250">
        <f>I27+I29+I31+I33</f>
        <v>0</v>
      </c>
      <c r="J35" s="251">
        <f>I35</f>
        <v>0</v>
      </c>
      <c r="K35" s="250">
        <f>K27+K29+K31+K33</f>
        <v>0</v>
      </c>
      <c r="L35" s="439">
        <f>K35</f>
        <v>0</v>
      </c>
      <c r="M35" s="248" t="str">
        <f t="shared" si="3"/>
        <v xml:space="preserve"> </v>
      </c>
      <c r="N35" s="250">
        <f>N27+N29+N31+N33</f>
        <v>0</v>
      </c>
      <c r="O35" s="439">
        <f>N35</f>
        <v>0</v>
      </c>
      <c r="P35" s="438" t="str">
        <f t="shared" si="4"/>
        <v xml:space="preserve"> </v>
      </c>
      <c r="Q35" s="250">
        <f>Q27+Q29+Q31+Q33</f>
        <v>0</v>
      </c>
      <c r="R35" s="439">
        <f>Q35</f>
        <v>0</v>
      </c>
      <c r="S35" s="249" t="str">
        <f t="shared" si="5"/>
        <v xml:space="preserve"> </v>
      </c>
    </row>
    <row r="36" spans="1:19" ht="32.25" customHeight="1">
      <c r="A36" s="67"/>
      <c r="B36" s="1679" t="s">
        <v>356</v>
      </c>
      <c r="C36" s="1680"/>
      <c r="D36" s="1680"/>
      <c r="E36" s="1680"/>
      <c r="F36" s="1680"/>
      <c r="G36" s="1681"/>
      <c r="H36" s="242" t="s">
        <v>355</v>
      </c>
      <c r="I36" s="250">
        <f>I34-I35</f>
        <v>0</v>
      </c>
      <c r="J36" s="251">
        <f>IF($G$10="","Cell G10 CANNOT be blank",I36*$G$10)</f>
        <v>0</v>
      </c>
      <c r="K36" s="250">
        <f>K34-K35</f>
        <v>0</v>
      </c>
      <c r="L36" s="439">
        <f>IF($G$10="","Cell G10 CANNOT be blank",K36*$G$10)</f>
        <v>0</v>
      </c>
      <c r="M36" s="248" t="str">
        <f t="shared" si="3"/>
        <v xml:space="preserve"> </v>
      </c>
      <c r="N36" s="250">
        <f>N34-N35</f>
        <v>0</v>
      </c>
      <c r="O36" s="439">
        <f>IF($G$10="","Cell G10 CANNOT be blank",N36*$G$10)</f>
        <v>0</v>
      </c>
      <c r="P36" s="438" t="str">
        <f t="shared" si="4"/>
        <v xml:space="preserve"> </v>
      </c>
      <c r="Q36" s="250">
        <f>Q34-Q35</f>
        <v>0</v>
      </c>
      <c r="R36" s="439">
        <f>IF($G$10="","Cell G10 CANNOT be blank",Q36*$G$10)</f>
        <v>0</v>
      </c>
      <c r="S36" s="991" t="str">
        <f t="shared" si="5"/>
        <v xml:space="preserve"> </v>
      </c>
    </row>
    <row r="37" spans="1:19" ht="15">
      <c r="A37" s="67"/>
      <c r="B37" s="105"/>
      <c r="C37" s="34"/>
      <c r="D37" s="34"/>
      <c r="E37" s="34"/>
      <c r="F37" s="34"/>
      <c r="G37" s="34"/>
      <c r="H37" s="552"/>
      <c r="I37" s="553"/>
      <c r="J37" s="554"/>
      <c r="K37" s="553"/>
      <c r="L37" s="554"/>
      <c r="M37" s="554"/>
      <c r="N37" s="553"/>
      <c r="O37" s="554"/>
      <c r="P37" s="554"/>
      <c r="Q37" s="553"/>
      <c r="R37" s="554"/>
      <c r="S37" s="555"/>
    </row>
    <row r="38" spans="1:19" ht="15">
      <c r="A38" s="42" t="s">
        <v>178</v>
      </c>
      <c r="B38" s="150"/>
      <c r="C38" s="150"/>
      <c r="D38" s="240"/>
      <c r="E38" s="240"/>
      <c r="F38" s="240"/>
      <c r="G38" s="240"/>
      <c r="H38" s="551"/>
      <c r="I38" s="435"/>
      <c r="J38" s="239"/>
      <c r="K38" s="239"/>
      <c r="L38" s="239"/>
      <c r="M38" s="239"/>
      <c r="N38" s="239"/>
      <c r="O38" s="239"/>
      <c r="P38" s="239"/>
      <c r="Q38" s="239"/>
      <c r="R38" s="239"/>
      <c r="S38" s="434"/>
    </row>
    <row r="39" spans="1:19" ht="15">
      <c r="A39" s="41"/>
      <c r="B39" s="243"/>
      <c r="C39" s="1677" t="s">
        <v>168</v>
      </c>
      <c r="D39" s="1677"/>
      <c r="E39" s="1677"/>
      <c r="F39" s="1677"/>
      <c r="G39" s="1678"/>
      <c r="H39" s="242" t="s">
        <v>172</v>
      </c>
      <c r="I39" s="245">
        <v>192.37</v>
      </c>
      <c r="J39" s="647"/>
      <c r="K39" s="246">
        <v>182</v>
      </c>
      <c r="L39" s="648"/>
      <c r="M39" s="247">
        <f t="shared" ref="M39:M49" si="6">IF(I39&lt;1," ",IF(K39&lt;1," ",(K39-I39)/I39))</f>
        <v>-5.3906534282892368E-2</v>
      </c>
      <c r="N39" s="246">
        <v>182</v>
      </c>
      <c r="O39" s="649"/>
      <c r="P39" s="248">
        <f t="shared" ref="P39:P49" si="7">IF(K39&lt;1," ",IF(N39&lt;1," ",(N39-K39)/K39))</f>
        <v>0</v>
      </c>
      <c r="Q39" s="246">
        <v>182</v>
      </c>
      <c r="R39" s="648"/>
      <c r="S39" s="249">
        <f t="shared" ref="S39:S49" si="8">IF(N39&lt;1," ",IF(Q39&lt;1," ",(Q39-N39)/N39))</f>
        <v>0</v>
      </c>
    </row>
    <row r="40" spans="1:19" ht="15">
      <c r="A40" s="41"/>
      <c r="B40" s="243"/>
      <c r="C40" s="1685" t="s">
        <v>181</v>
      </c>
      <c r="D40" s="1685"/>
      <c r="E40" s="1685"/>
      <c r="F40" s="1685"/>
      <c r="G40" s="1686"/>
      <c r="H40" s="242" t="s">
        <v>173</v>
      </c>
      <c r="I40" s="245">
        <v>192.37</v>
      </c>
      <c r="J40" s="647"/>
      <c r="K40" s="246">
        <v>182</v>
      </c>
      <c r="L40" s="648"/>
      <c r="M40" s="247">
        <f t="shared" si="6"/>
        <v>-5.3906534282892368E-2</v>
      </c>
      <c r="N40" s="246">
        <v>182</v>
      </c>
      <c r="O40" s="649"/>
      <c r="P40" s="248">
        <f t="shared" si="7"/>
        <v>0</v>
      </c>
      <c r="Q40" s="246">
        <v>182</v>
      </c>
      <c r="R40" s="648"/>
      <c r="S40" s="249">
        <f t="shared" si="8"/>
        <v>0</v>
      </c>
    </row>
    <row r="41" spans="1:19" ht="15">
      <c r="A41" s="41"/>
      <c r="B41" s="243"/>
      <c r="C41" s="1677" t="s">
        <v>169</v>
      </c>
      <c r="D41" s="1677"/>
      <c r="E41" s="1677"/>
      <c r="F41" s="1677"/>
      <c r="G41" s="1678"/>
      <c r="H41" s="242" t="s">
        <v>174</v>
      </c>
      <c r="I41" s="245">
        <v>0</v>
      </c>
      <c r="J41" s="647"/>
      <c r="K41" s="246">
        <v>0</v>
      </c>
      <c r="L41" s="648"/>
      <c r="M41" s="247" t="str">
        <f t="shared" si="6"/>
        <v xml:space="preserve"> </v>
      </c>
      <c r="N41" s="246">
        <v>0</v>
      </c>
      <c r="O41" s="649"/>
      <c r="P41" s="248" t="str">
        <f t="shared" si="7"/>
        <v xml:space="preserve"> </v>
      </c>
      <c r="Q41" s="246">
        <v>0</v>
      </c>
      <c r="R41" s="648"/>
      <c r="S41" s="249" t="str">
        <f t="shared" si="8"/>
        <v xml:space="preserve"> </v>
      </c>
    </row>
    <row r="42" spans="1:19" ht="15">
      <c r="A42" s="41"/>
      <c r="B42" s="243"/>
      <c r="C42" s="1685" t="s">
        <v>182</v>
      </c>
      <c r="D42" s="1685"/>
      <c r="E42" s="1685"/>
      <c r="F42" s="1685"/>
      <c r="G42" s="1686"/>
      <c r="H42" s="242" t="s">
        <v>175</v>
      </c>
      <c r="I42" s="245">
        <v>0</v>
      </c>
      <c r="J42" s="647"/>
      <c r="K42" s="246">
        <v>0</v>
      </c>
      <c r="L42" s="648"/>
      <c r="M42" s="247" t="str">
        <f t="shared" si="6"/>
        <v xml:space="preserve"> </v>
      </c>
      <c r="N42" s="246">
        <v>0</v>
      </c>
      <c r="O42" s="649"/>
      <c r="P42" s="248" t="str">
        <f t="shared" si="7"/>
        <v xml:space="preserve"> </v>
      </c>
      <c r="Q42" s="246">
        <v>0</v>
      </c>
      <c r="R42" s="648"/>
      <c r="S42" s="249" t="str">
        <f t="shared" si="8"/>
        <v xml:space="preserve"> </v>
      </c>
    </row>
    <row r="43" spans="1:19" ht="15">
      <c r="A43" s="41"/>
      <c r="B43" s="243"/>
      <c r="C43" s="1677" t="s">
        <v>170</v>
      </c>
      <c r="D43" s="1677"/>
      <c r="E43" s="1677"/>
      <c r="F43" s="1677"/>
      <c r="G43" s="1678"/>
      <c r="H43" s="242" t="s">
        <v>176</v>
      </c>
      <c r="I43" s="245">
        <v>0</v>
      </c>
      <c r="J43" s="647"/>
      <c r="K43" s="246">
        <v>0</v>
      </c>
      <c r="L43" s="648"/>
      <c r="M43" s="247" t="str">
        <f t="shared" si="6"/>
        <v xml:space="preserve"> </v>
      </c>
      <c r="N43" s="246">
        <v>0</v>
      </c>
      <c r="O43" s="649"/>
      <c r="P43" s="248" t="str">
        <f t="shared" si="7"/>
        <v xml:space="preserve"> </v>
      </c>
      <c r="Q43" s="246">
        <v>0</v>
      </c>
      <c r="R43" s="648"/>
      <c r="S43" s="249" t="str">
        <f t="shared" si="8"/>
        <v xml:space="preserve"> </v>
      </c>
    </row>
    <row r="44" spans="1:19" ht="15">
      <c r="A44" s="41"/>
      <c r="B44" s="243"/>
      <c r="C44" s="1685" t="s">
        <v>183</v>
      </c>
      <c r="D44" s="1685"/>
      <c r="E44" s="1685"/>
      <c r="F44" s="1685"/>
      <c r="G44" s="1686"/>
      <c r="H44" s="242" t="s">
        <v>187</v>
      </c>
      <c r="I44" s="245">
        <v>0</v>
      </c>
      <c r="J44" s="647"/>
      <c r="K44" s="246">
        <v>0</v>
      </c>
      <c r="L44" s="648"/>
      <c r="M44" s="247" t="str">
        <f t="shared" si="6"/>
        <v xml:space="preserve"> </v>
      </c>
      <c r="N44" s="246">
        <v>0</v>
      </c>
      <c r="O44" s="649"/>
      <c r="P44" s="248" t="str">
        <f t="shared" si="7"/>
        <v xml:space="preserve"> </v>
      </c>
      <c r="Q44" s="246">
        <v>0</v>
      </c>
      <c r="R44" s="648"/>
      <c r="S44" s="249" t="str">
        <f t="shared" si="8"/>
        <v xml:space="preserve"> </v>
      </c>
    </row>
    <row r="45" spans="1:19" ht="15">
      <c r="A45" s="41"/>
      <c r="B45" s="243"/>
      <c r="C45" s="1677" t="s">
        <v>184</v>
      </c>
      <c r="D45" s="1677"/>
      <c r="E45" s="1677"/>
      <c r="F45" s="1677"/>
      <c r="G45" s="1678"/>
      <c r="H45" s="242" t="s">
        <v>188</v>
      </c>
      <c r="I45" s="245">
        <v>0</v>
      </c>
      <c r="J45" s="647"/>
      <c r="K45" s="246">
        <v>0</v>
      </c>
      <c r="L45" s="648"/>
      <c r="M45" s="247" t="str">
        <f t="shared" si="6"/>
        <v xml:space="preserve"> </v>
      </c>
      <c r="N45" s="246">
        <v>0</v>
      </c>
      <c r="O45" s="649"/>
      <c r="P45" s="248" t="str">
        <f t="shared" si="7"/>
        <v xml:space="preserve"> </v>
      </c>
      <c r="Q45" s="246">
        <v>0</v>
      </c>
      <c r="R45" s="648"/>
      <c r="S45" s="249" t="str">
        <f t="shared" si="8"/>
        <v xml:space="preserve"> </v>
      </c>
    </row>
    <row r="46" spans="1:19" ht="15">
      <c r="A46" s="41"/>
      <c r="B46" s="243"/>
      <c r="C46" s="1685" t="s">
        <v>185</v>
      </c>
      <c r="D46" s="1685"/>
      <c r="E46" s="1685"/>
      <c r="F46" s="1685"/>
      <c r="G46" s="1686"/>
      <c r="H46" s="242" t="s">
        <v>189</v>
      </c>
      <c r="I46" s="245">
        <v>0</v>
      </c>
      <c r="J46" s="647"/>
      <c r="K46" s="246">
        <v>0</v>
      </c>
      <c r="L46" s="648"/>
      <c r="M46" s="247" t="str">
        <f t="shared" si="6"/>
        <v xml:space="preserve"> </v>
      </c>
      <c r="N46" s="246">
        <v>0</v>
      </c>
      <c r="O46" s="649"/>
      <c r="P46" s="248" t="str">
        <f t="shared" si="7"/>
        <v xml:space="preserve"> </v>
      </c>
      <c r="Q46" s="246">
        <v>0</v>
      </c>
      <c r="R46" s="648"/>
      <c r="S46" s="249" t="str">
        <f t="shared" si="8"/>
        <v xml:space="preserve"> </v>
      </c>
    </row>
    <row r="47" spans="1:19" ht="33" customHeight="1">
      <c r="A47" s="67"/>
      <c r="B47" s="1679" t="s">
        <v>358</v>
      </c>
      <c r="C47" s="1680"/>
      <c r="D47" s="1680"/>
      <c r="E47" s="1680"/>
      <c r="F47" s="1680"/>
      <c r="G47" s="1681"/>
      <c r="H47" s="242" t="s">
        <v>190</v>
      </c>
      <c r="I47" s="250">
        <f>I39+I41+I43+I45</f>
        <v>192.37</v>
      </c>
      <c r="J47" s="647"/>
      <c r="K47" s="250">
        <f>K39+K41+K43+K45</f>
        <v>182</v>
      </c>
      <c r="L47" s="648"/>
      <c r="M47" s="248">
        <f t="shared" si="6"/>
        <v>-5.3906534282892368E-2</v>
      </c>
      <c r="N47" s="250">
        <f>N39+N41+N43+N45</f>
        <v>182</v>
      </c>
      <c r="O47" s="648"/>
      <c r="P47" s="438">
        <f t="shared" si="7"/>
        <v>0</v>
      </c>
      <c r="Q47" s="250">
        <f>Q39+Q41+Q43+Q45</f>
        <v>182</v>
      </c>
      <c r="R47" s="648"/>
      <c r="S47" s="249">
        <f t="shared" si="8"/>
        <v>0</v>
      </c>
    </row>
    <row r="48" spans="1:19" ht="15">
      <c r="A48" s="67"/>
      <c r="B48" s="1679" t="s">
        <v>359</v>
      </c>
      <c r="C48" s="1680"/>
      <c r="D48" s="1680"/>
      <c r="E48" s="1680"/>
      <c r="F48" s="1680"/>
      <c r="G48" s="1681"/>
      <c r="H48" s="242" t="s">
        <v>191</v>
      </c>
      <c r="I48" s="250">
        <f>I40+I42+I44+I46</f>
        <v>192.37</v>
      </c>
      <c r="J48" s="251">
        <f>I48</f>
        <v>192.37</v>
      </c>
      <c r="K48" s="250">
        <f>K40+K42+K44+K46</f>
        <v>182</v>
      </c>
      <c r="L48" s="439">
        <f>K48</f>
        <v>182</v>
      </c>
      <c r="M48" s="248">
        <f t="shared" si="6"/>
        <v>-5.3906534282892368E-2</v>
      </c>
      <c r="N48" s="250">
        <f>N40+N42+N44+N46</f>
        <v>182</v>
      </c>
      <c r="O48" s="439">
        <f>N48</f>
        <v>182</v>
      </c>
      <c r="P48" s="438">
        <f t="shared" si="7"/>
        <v>0</v>
      </c>
      <c r="Q48" s="250">
        <f>Q40+Q42+Q44+Q46</f>
        <v>182</v>
      </c>
      <c r="R48" s="439">
        <f>Q48</f>
        <v>182</v>
      </c>
      <c r="S48" s="249">
        <f t="shared" si="8"/>
        <v>0</v>
      </c>
    </row>
    <row r="49" spans="1:19" ht="30.75" customHeight="1">
      <c r="A49" s="67"/>
      <c r="B49" s="1679" t="s">
        <v>356</v>
      </c>
      <c r="C49" s="1680"/>
      <c r="D49" s="1680"/>
      <c r="E49" s="1680"/>
      <c r="F49" s="1680"/>
      <c r="G49" s="1681"/>
      <c r="H49" s="242" t="s">
        <v>355</v>
      </c>
      <c r="I49" s="250">
        <f>I47-I48</f>
        <v>0</v>
      </c>
      <c r="J49" s="251">
        <f>IF($G$10="","Cell G10 CANNOT be blank",I49*$G$10)</f>
        <v>0</v>
      </c>
      <c r="K49" s="250">
        <f>K47-K48</f>
        <v>0</v>
      </c>
      <c r="L49" s="439">
        <f>IF($G$10="","Cell G10 CANNOT be blank",K49*$G$10)</f>
        <v>0</v>
      </c>
      <c r="M49" s="248" t="str">
        <f t="shared" si="6"/>
        <v xml:space="preserve"> </v>
      </c>
      <c r="N49" s="250">
        <f>N47-N48</f>
        <v>0</v>
      </c>
      <c r="O49" s="439">
        <f>IF($G$10="","Cell G10 CANNOT be blank",N49*$G$10)</f>
        <v>0</v>
      </c>
      <c r="P49" s="438" t="str">
        <f t="shared" si="7"/>
        <v xml:space="preserve"> </v>
      </c>
      <c r="Q49" s="250">
        <f>Q47-Q48</f>
        <v>0</v>
      </c>
      <c r="R49" s="439">
        <f>IF($G$10="","Cell G10 CANNOT be blank",Q49*$G$10)</f>
        <v>0</v>
      </c>
      <c r="S49" s="991" t="str">
        <f t="shared" si="8"/>
        <v xml:space="preserve"> </v>
      </c>
    </row>
    <row r="50" spans="1:19" ht="15">
      <c r="A50" s="41"/>
      <c r="B50" s="34"/>
      <c r="C50" s="34"/>
      <c r="D50" s="34"/>
      <c r="E50" s="34"/>
      <c r="F50" s="34"/>
      <c r="G50" s="34"/>
      <c r="H50" s="552"/>
      <c r="I50" s="553"/>
      <c r="J50" s="554"/>
      <c r="K50" s="553"/>
      <c r="L50" s="554"/>
      <c r="M50" s="554"/>
      <c r="N50" s="553"/>
      <c r="O50" s="554"/>
      <c r="P50" s="554"/>
      <c r="Q50" s="553"/>
      <c r="R50" s="554"/>
      <c r="S50" s="555"/>
    </row>
    <row r="51" spans="1:19" ht="15">
      <c r="A51" s="42" t="s">
        <v>179</v>
      </c>
      <c r="B51" s="150"/>
      <c r="C51" s="150"/>
      <c r="D51" s="240"/>
      <c r="E51" s="240"/>
      <c r="F51" s="240"/>
      <c r="G51" s="240"/>
      <c r="H51" s="551"/>
      <c r="I51" s="435"/>
      <c r="J51" s="239"/>
      <c r="K51" s="239"/>
      <c r="L51" s="239"/>
      <c r="M51" s="239"/>
      <c r="N51" s="239"/>
      <c r="O51" s="239"/>
      <c r="P51" s="239"/>
      <c r="Q51" s="239"/>
      <c r="R51" s="239"/>
      <c r="S51" s="434"/>
    </row>
    <row r="52" spans="1:19" ht="15">
      <c r="A52" s="41"/>
      <c r="B52" s="243"/>
      <c r="C52" s="244" t="s">
        <v>168</v>
      </c>
      <c r="D52" s="241"/>
      <c r="E52" s="241"/>
      <c r="F52" s="241"/>
      <c r="G52" s="241"/>
      <c r="H52" s="242" t="s">
        <v>172</v>
      </c>
      <c r="I52" s="245">
        <v>311.95999999999998</v>
      </c>
      <c r="J52" s="647"/>
      <c r="K52" s="246">
        <v>318.5</v>
      </c>
      <c r="L52" s="648"/>
      <c r="M52" s="247">
        <f t="shared" ref="M52:M62" si="9">IF(I52&lt;1," ",IF(K52&lt;1," ",(K52-I52)/I52))</f>
        <v>2.096422618284402E-2</v>
      </c>
      <c r="N52" s="246">
        <v>318.5</v>
      </c>
      <c r="O52" s="649"/>
      <c r="P52" s="248">
        <f t="shared" ref="P52:P62" si="10">IF(K52&lt;1," ",IF(N52&lt;1," ",(N52-K52)/K52))</f>
        <v>0</v>
      </c>
      <c r="Q52" s="246">
        <v>318.5</v>
      </c>
      <c r="R52" s="648"/>
      <c r="S52" s="249">
        <f t="shared" ref="S52:S62" si="11">IF(N52&lt;1," ",IF(Q52&lt;1," ",(Q52-N52)/N52))</f>
        <v>0</v>
      </c>
    </row>
    <row r="53" spans="1:19" ht="15">
      <c r="A53" s="41"/>
      <c r="B53" s="243"/>
      <c r="C53" s="139" t="s">
        <v>181</v>
      </c>
      <c r="D53" s="241"/>
      <c r="E53" s="241"/>
      <c r="F53" s="241"/>
      <c r="G53" s="241"/>
      <c r="H53" s="242" t="s">
        <v>173</v>
      </c>
      <c r="I53" s="245">
        <v>311.95999999999998</v>
      </c>
      <c r="J53" s="647"/>
      <c r="K53" s="246">
        <v>318.5</v>
      </c>
      <c r="L53" s="648"/>
      <c r="M53" s="247">
        <f t="shared" si="9"/>
        <v>2.096422618284402E-2</v>
      </c>
      <c r="N53" s="246">
        <v>318.5</v>
      </c>
      <c r="O53" s="649"/>
      <c r="P53" s="248">
        <f t="shared" si="10"/>
        <v>0</v>
      </c>
      <c r="Q53" s="246">
        <v>318.5</v>
      </c>
      <c r="R53" s="648"/>
      <c r="S53" s="249">
        <f t="shared" si="11"/>
        <v>0</v>
      </c>
    </row>
    <row r="54" spans="1:19" ht="15">
      <c r="A54" s="41"/>
      <c r="B54" s="243"/>
      <c r="C54" s="244" t="s">
        <v>169</v>
      </c>
      <c r="D54" s="241"/>
      <c r="E54" s="241"/>
      <c r="F54" s="241"/>
      <c r="G54" s="241"/>
      <c r="H54" s="242" t="s">
        <v>174</v>
      </c>
      <c r="I54" s="245">
        <v>0</v>
      </c>
      <c r="J54" s="647"/>
      <c r="K54" s="246">
        <v>0</v>
      </c>
      <c r="L54" s="648"/>
      <c r="M54" s="247" t="str">
        <f t="shared" si="9"/>
        <v xml:space="preserve"> </v>
      </c>
      <c r="N54" s="246">
        <v>0</v>
      </c>
      <c r="O54" s="649"/>
      <c r="P54" s="248" t="str">
        <f t="shared" si="10"/>
        <v xml:space="preserve"> </v>
      </c>
      <c r="Q54" s="246">
        <v>0</v>
      </c>
      <c r="R54" s="648"/>
      <c r="S54" s="249" t="str">
        <f t="shared" si="11"/>
        <v xml:space="preserve"> </v>
      </c>
    </row>
    <row r="55" spans="1:19" ht="15">
      <c r="A55" s="41"/>
      <c r="B55" s="243"/>
      <c r="C55" s="139" t="s">
        <v>182</v>
      </c>
      <c r="D55" s="241"/>
      <c r="E55" s="241"/>
      <c r="F55" s="241"/>
      <c r="G55" s="241"/>
      <c r="H55" s="242" t="s">
        <v>175</v>
      </c>
      <c r="I55" s="245">
        <v>0</v>
      </c>
      <c r="J55" s="647"/>
      <c r="K55" s="246">
        <v>0</v>
      </c>
      <c r="L55" s="648"/>
      <c r="M55" s="247" t="str">
        <f t="shared" si="9"/>
        <v xml:space="preserve"> </v>
      </c>
      <c r="N55" s="246">
        <v>0</v>
      </c>
      <c r="O55" s="649"/>
      <c r="P55" s="248" t="str">
        <f t="shared" si="10"/>
        <v xml:space="preserve"> </v>
      </c>
      <c r="Q55" s="246">
        <v>0</v>
      </c>
      <c r="R55" s="648"/>
      <c r="S55" s="249" t="str">
        <f t="shared" si="11"/>
        <v xml:space="preserve"> </v>
      </c>
    </row>
    <row r="56" spans="1:19" ht="15">
      <c r="A56" s="41"/>
      <c r="B56" s="243"/>
      <c r="C56" s="244" t="s">
        <v>170</v>
      </c>
      <c r="D56" s="241"/>
      <c r="E56" s="241"/>
      <c r="F56" s="241"/>
      <c r="G56" s="241"/>
      <c r="H56" s="242" t="s">
        <v>176</v>
      </c>
      <c r="I56" s="245">
        <v>0</v>
      </c>
      <c r="J56" s="647"/>
      <c r="K56" s="246">
        <v>0</v>
      </c>
      <c r="L56" s="648"/>
      <c r="M56" s="247" t="str">
        <f t="shared" si="9"/>
        <v xml:space="preserve"> </v>
      </c>
      <c r="N56" s="246">
        <v>0</v>
      </c>
      <c r="O56" s="649"/>
      <c r="P56" s="248" t="str">
        <f t="shared" si="10"/>
        <v xml:space="preserve"> </v>
      </c>
      <c r="Q56" s="246">
        <v>0</v>
      </c>
      <c r="R56" s="648"/>
      <c r="S56" s="249" t="str">
        <f t="shared" si="11"/>
        <v xml:space="preserve"> </v>
      </c>
    </row>
    <row r="57" spans="1:19" ht="15">
      <c r="A57" s="41"/>
      <c r="B57" s="243"/>
      <c r="C57" s="139" t="s">
        <v>183</v>
      </c>
      <c r="D57" s="241"/>
      <c r="E57" s="241"/>
      <c r="F57" s="241"/>
      <c r="G57" s="241"/>
      <c r="H57" s="242" t="s">
        <v>187</v>
      </c>
      <c r="I57" s="245">
        <v>0</v>
      </c>
      <c r="J57" s="647"/>
      <c r="K57" s="246">
        <v>0</v>
      </c>
      <c r="L57" s="648"/>
      <c r="M57" s="247" t="str">
        <f t="shared" si="9"/>
        <v xml:space="preserve"> </v>
      </c>
      <c r="N57" s="246">
        <v>0</v>
      </c>
      <c r="O57" s="649"/>
      <c r="P57" s="248" t="str">
        <f t="shared" si="10"/>
        <v xml:space="preserve"> </v>
      </c>
      <c r="Q57" s="246">
        <v>0</v>
      </c>
      <c r="R57" s="648"/>
      <c r="S57" s="249" t="str">
        <f t="shared" si="11"/>
        <v xml:space="preserve"> </v>
      </c>
    </row>
    <row r="58" spans="1:19" ht="15">
      <c r="A58" s="41"/>
      <c r="B58" s="243"/>
      <c r="C58" s="244" t="s">
        <v>184</v>
      </c>
      <c r="D58" s="241"/>
      <c r="E58" s="241"/>
      <c r="F58" s="241"/>
      <c r="G58" s="241"/>
      <c r="H58" s="242" t="s">
        <v>188</v>
      </c>
      <c r="I58" s="245">
        <v>0</v>
      </c>
      <c r="J58" s="647"/>
      <c r="K58" s="246">
        <v>0</v>
      </c>
      <c r="L58" s="648"/>
      <c r="M58" s="247" t="str">
        <f t="shared" si="9"/>
        <v xml:space="preserve"> </v>
      </c>
      <c r="N58" s="246">
        <v>0</v>
      </c>
      <c r="O58" s="649"/>
      <c r="P58" s="248" t="str">
        <f t="shared" si="10"/>
        <v xml:space="preserve"> </v>
      </c>
      <c r="Q58" s="246">
        <v>0</v>
      </c>
      <c r="R58" s="648"/>
      <c r="S58" s="249" t="str">
        <f t="shared" si="11"/>
        <v xml:space="preserve"> </v>
      </c>
    </row>
    <row r="59" spans="1:19" ht="15">
      <c r="A59" s="41"/>
      <c r="B59" s="243"/>
      <c r="C59" s="139" t="s">
        <v>185</v>
      </c>
      <c r="D59" s="241"/>
      <c r="E59" s="241"/>
      <c r="F59" s="241"/>
      <c r="G59" s="241"/>
      <c r="H59" s="242" t="s">
        <v>189</v>
      </c>
      <c r="I59" s="245">
        <v>0</v>
      </c>
      <c r="J59" s="647"/>
      <c r="K59" s="246">
        <v>0</v>
      </c>
      <c r="L59" s="648"/>
      <c r="M59" s="247" t="str">
        <f t="shared" si="9"/>
        <v xml:space="preserve"> </v>
      </c>
      <c r="N59" s="246">
        <v>0</v>
      </c>
      <c r="O59" s="649"/>
      <c r="P59" s="248" t="str">
        <f t="shared" si="10"/>
        <v xml:space="preserve"> </v>
      </c>
      <c r="Q59" s="246">
        <v>0</v>
      </c>
      <c r="R59" s="648"/>
      <c r="S59" s="249" t="str">
        <f t="shared" si="11"/>
        <v xml:space="preserve"> </v>
      </c>
    </row>
    <row r="60" spans="1:19" ht="31.5" customHeight="1">
      <c r="A60" s="67"/>
      <c r="B60" s="1679" t="s">
        <v>358</v>
      </c>
      <c r="C60" s="1680"/>
      <c r="D60" s="1680"/>
      <c r="E60" s="1680"/>
      <c r="F60" s="1680"/>
      <c r="G60" s="1681"/>
      <c r="H60" s="242" t="s">
        <v>190</v>
      </c>
      <c r="I60" s="250">
        <f>I52+I54+I56+I58</f>
        <v>311.95999999999998</v>
      </c>
      <c r="J60" s="647"/>
      <c r="K60" s="250">
        <f>K52+K54+K56+K58</f>
        <v>318.5</v>
      </c>
      <c r="L60" s="648"/>
      <c r="M60" s="248">
        <f t="shared" si="9"/>
        <v>2.096422618284402E-2</v>
      </c>
      <c r="N60" s="250">
        <f>N52+N54+N56+N58</f>
        <v>318.5</v>
      </c>
      <c r="O60" s="648"/>
      <c r="P60" s="438">
        <f t="shared" si="10"/>
        <v>0</v>
      </c>
      <c r="Q60" s="250">
        <f>Q52+Q54+Q56+Q58</f>
        <v>318.5</v>
      </c>
      <c r="R60" s="648"/>
      <c r="S60" s="249">
        <f t="shared" si="11"/>
        <v>0</v>
      </c>
    </row>
    <row r="61" spans="1:19" ht="15">
      <c r="A61" s="67"/>
      <c r="B61" s="1679" t="s">
        <v>359</v>
      </c>
      <c r="C61" s="1680"/>
      <c r="D61" s="1680"/>
      <c r="E61" s="1680"/>
      <c r="F61" s="1680"/>
      <c r="G61" s="1681"/>
      <c r="H61" s="242" t="s">
        <v>191</v>
      </c>
      <c r="I61" s="250">
        <f>I53+I55+I57+I59</f>
        <v>311.95999999999998</v>
      </c>
      <c r="J61" s="251">
        <f>I61</f>
        <v>311.95999999999998</v>
      </c>
      <c r="K61" s="250">
        <f>K53+K55+K57+K59</f>
        <v>318.5</v>
      </c>
      <c r="L61" s="439">
        <f>K61</f>
        <v>318.5</v>
      </c>
      <c r="M61" s="248">
        <f t="shared" si="9"/>
        <v>2.096422618284402E-2</v>
      </c>
      <c r="N61" s="250">
        <f>N53+N55+N57+N59</f>
        <v>318.5</v>
      </c>
      <c r="O61" s="439">
        <f>N61</f>
        <v>318.5</v>
      </c>
      <c r="P61" s="438">
        <f t="shared" si="10"/>
        <v>0</v>
      </c>
      <c r="Q61" s="250">
        <f>Q53+Q55+Q57+Q59</f>
        <v>318.5</v>
      </c>
      <c r="R61" s="439">
        <f>Q61</f>
        <v>318.5</v>
      </c>
      <c r="S61" s="249">
        <f t="shared" si="11"/>
        <v>0</v>
      </c>
    </row>
    <row r="62" spans="1:19" ht="34.5" customHeight="1">
      <c r="A62" s="67"/>
      <c r="B62" s="1679" t="s">
        <v>356</v>
      </c>
      <c r="C62" s="1680"/>
      <c r="D62" s="1680"/>
      <c r="E62" s="1680"/>
      <c r="F62" s="1680"/>
      <c r="G62" s="1681"/>
      <c r="H62" s="242" t="s">
        <v>355</v>
      </c>
      <c r="I62" s="250">
        <f>I60-I61</f>
        <v>0</v>
      </c>
      <c r="J62" s="251">
        <f>IF($G$10="","Cell G10 CANNOT be blank",I62*$G$10)</f>
        <v>0</v>
      </c>
      <c r="K62" s="250">
        <f>K60-K61</f>
        <v>0</v>
      </c>
      <c r="L62" s="439">
        <f>IF($G$10="","Cell G10 CANNOT be blank",K62*$G$10)</f>
        <v>0</v>
      </c>
      <c r="M62" s="248" t="str">
        <f t="shared" si="9"/>
        <v xml:space="preserve"> </v>
      </c>
      <c r="N62" s="250">
        <f>N60-N61</f>
        <v>0</v>
      </c>
      <c r="O62" s="439">
        <f>IF($G$10="","Cell G10 CANNOT be blank",N62*$G$10)</f>
        <v>0</v>
      </c>
      <c r="P62" s="438" t="str">
        <f t="shared" si="10"/>
        <v xml:space="preserve"> </v>
      </c>
      <c r="Q62" s="250">
        <f>Q60-Q61</f>
        <v>0</v>
      </c>
      <c r="R62" s="439">
        <f>IF($G$10="","Cell G10 CANNOT be blank",Q62*$G$10)</f>
        <v>0</v>
      </c>
      <c r="S62" s="991" t="str">
        <f t="shared" si="11"/>
        <v xml:space="preserve"> </v>
      </c>
    </row>
    <row r="63" spans="1:19" ht="15">
      <c r="A63" s="41"/>
      <c r="B63" s="34"/>
      <c r="C63" s="34"/>
      <c r="D63" s="34"/>
      <c r="E63" s="34"/>
      <c r="F63" s="34"/>
      <c r="G63" s="34"/>
      <c r="H63" s="552"/>
      <c r="I63" s="553"/>
      <c r="J63" s="554"/>
      <c r="K63" s="553"/>
      <c r="L63" s="554"/>
      <c r="M63" s="554"/>
      <c r="N63" s="553"/>
      <c r="O63" s="554"/>
      <c r="P63" s="554"/>
      <c r="Q63" s="553"/>
      <c r="R63" s="554"/>
      <c r="S63" s="555"/>
    </row>
    <row r="64" spans="1:19" ht="15">
      <c r="A64" s="42" t="s">
        <v>180</v>
      </c>
      <c r="B64" s="150"/>
      <c r="C64" s="150"/>
      <c r="D64" s="240"/>
      <c r="E64" s="240"/>
      <c r="F64" s="240"/>
      <c r="G64" s="240"/>
      <c r="H64" s="551"/>
      <c r="I64" s="435"/>
      <c r="J64" s="239"/>
      <c r="K64" s="239"/>
      <c r="L64" s="239"/>
      <c r="M64" s="239"/>
      <c r="N64" s="239"/>
      <c r="O64" s="239"/>
      <c r="P64" s="239"/>
      <c r="Q64" s="239"/>
      <c r="R64" s="239"/>
      <c r="S64" s="434"/>
    </row>
    <row r="65" spans="1:19" ht="15">
      <c r="A65" s="41"/>
      <c r="B65" s="243"/>
      <c r="C65" s="1677" t="s">
        <v>168</v>
      </c>
      <c r="D65" s="1677"/>
      <c r="E65" s="1677"/>
      <c r="F65" s="1677"/>
      <c r="G65" s="1678"/>
      <c r="H65" s="242" t="s">
        <v>172</v>
      </c>
      <c r="I65" s="250">
        <f t="shared" ref="I65:I72" si="12">I12+I26+I39+I52</f>
        <v>504.33</v>
      </c>
      <c r="J65" s="647"/>
      <c r="K65" s="252">
        <f t="shared" ref="K65:K72" si="13">K12+K26+K39+K52</f>
        <v>500.5</v>
      </c>
      <c r="L65" s="648"/>
      <c r="M65" s="247">
        <f t="shared" ref="M65:M75" si="14">IF(I65&lt;1," ",IF(K65&lt;1," ",(K65-I65)/I65))</f>
        <v>-7.5942339341303995E-3</v>
      </c>
      <c r="N65" s="252">
        <f t="shared" ref="N65:N72" si="15">N12+N26+N39+N52</f>
        <v>500.5</v>
      </c>
      <c r="O65" s="649"/>
      <c r="P65" s="248">
        <f t="shared" ref="P65:P75" si="16">IF(K65&lt;1," ",IF(N65&lt;1," ",(N65-K65)/K65))</f>
        <v>0</v>
      </c>
      <c r="Q65" s="252">
        <f t="shared" ref="Q65:Q72" si="17">Q12+Q26+Q39+Q52</f>
        <v>500.5</v>
      </c>
      <c r="R65" s="648"/>
      <c r="S65" s="249">
        <f t="shared" ref="S65:S75" si="18">IF(N65&lt;1," ",IF(Q65&lt;1," ",(Q65-N65)/N65))</f>
        <v>0</v>
      </c>
    </row>
    <row r="66" spans="1:19" ht="15">
      <c r="A66" s="41"/>
      <c r="B66" s="243"/>
      <c r="C66" s="1685" t="s">
        <v>181</v>
      </c>
      <c r="D66" s="1685"/>
      <c r="E66" s="1685"/>
      <c r="F66" s="1685"/>
      <c r="G66" s="1686"/>
      <c r="H66" s="242" t="s">
        <v>173</v>
      </c>
      <c r="I66" s="250">
        <f t="shared" si="12"/>
        <v>504.33</v>
      </c>
      <c r="J66" s="647"/>
      <c r="K66" s="252">
        <f t="shared" si="13"/>
        <v>500.5</v>
      </c>
      <c r="L66" s="648"/>
      <c r="M66" s="247">
        <f t="shared" si="14"/>
        <v>-7.5942339341303995E-3</v>
      </c>
      <c r="N66" s="252">
        <f t="shared" si="15"/>
        <v>500.5</v>
      </c>
      <c r="O66" s="649"/>
      <c r="P66" s="248">
        <f t="shared" si="16"/>
        <v>0</v>
      </c>
      <c r="Q66" s="252">
        <f t="shared" si="17"/>
        <v>500.5</v>
      </c>
      <c r="R66" s="648"/>
      <c r="S66" s="249">
        <f t="shared" si="18"/>
        <v>0</v>
      </c>
    </row>
    <row r="67" spans="1:19" ht="15">
      <c r="A67" s="41"/>
      <c r="B67" s="243"/>
      <c r="C67" s="1677" t="s">
        <v>169</v>
      </c>
      <c r="D67" s="1677"/>
      <c r="E67" s="1677"/>
      <c r="F67" s="1677"/>
      <c r="G67" s="1678"/>
      <c r="H67" s="242" t="s">
        <v>174</v>
      </c>
      <c r="I67" s="250">
        <f t="shared" si="12"/>
        <v>0</v>
      </c>
      <c r="J67" s="647"/>
      <c r="K67" s="252">
        <f t="shared" si="13"/>
        <v>0</v>
      </c>
      <c r="L67" s="648"/>
      <c r="M67" s="247" t="str">
        <f t="shared" si="14"/>
        <v xml:space="preserve"> </v>
      </c>
      <c r="N67" s="252">
        <f t="shared" si="15"/>
        <v>0</v>
      </c>
      <c r="O67" s="649"/>
      <c r="P67" s="248" t="str">
        <f t="shared" si="16"/>
        <v xml:space="preserve"> </v>
      </c>
      <c r="Q67" s="252">
        <f t="shared" si="17"/>
        <v>0</v>
      </c>
      <c r="R67" s="648"/>
      <c r="S67" s="249" t="str">
        <f t="shared" si="18"/>
        <v xml:space="preserve"> </v>
      </c>
    </row>
    <row r="68" spans="1:19" ht="15">
      <c r="A68" s="41"/>
      <c r="B68" s="243"/>
      <c r="C68" s="1685" t="s">
        <v>182</v>
      </c>
      <c r="D68" s="1685"/>
      <c r="E68" s="1685"/>
      <c r="F68" s="1685"/>
      <c r="G68" s="1686"/>
      <c r="H68" s="242" t="s">
        <v>175</v>
      </c>
      <c r="I68" s="250">
        <f t="shared" si="12"/>
        <v>0</v>
      </c>
      <c r="J68" s="647"/>
      <c r="K68" s="252">
        <f t="shared" si="13"/>
        <v>0</v>
      </c>
      <c r="L68" s="648"/>
      <c r="M68" s="247" t="str">
        <f t="shared" si="14"/>
        <v xml:space="preserve"> </v>
      </c>
      <c r="N68" s="252">
        <f t="shared" si="15"/>
        <v>0</v>
      </c>
      <c r="O68" s="649"/>
      <c r="P68" s="248" t="str">
        <f t="shared" si="16"/>
        <v xml:space="preserve"> </v>
      </c>
      <c r="Q68" s="252">
        <f t="shared" si="17"/>
        <v>0</v>
      </c>
      <c r="R68" s="648"/>
      <c r="S68" s="249" t="str">
        <f t="shared" si="18"/>
        <v xml:space="preserve"> </v>
      </c>
    </row>
    <row r="69" spans="1:19" ht="15">
      <c r="A69" s="41"/>
      <c r="B69" s="243"/>
      <c r="C69" s="1677" t="s">
        <v>170</v>
      </c>
      <c r="D69" s="1677"/>
      <c r="E69" s="1677"/>
      <c r="F69" s="1677"/>
      <c r="G69" s="1678"/>
      <c r="H69" s="242" t="s">
        <v>176</v>
      </c>
      <c r="I69" s="250">
        <f t="shared" si="12"/>
        <v>0</v>
      </c>
      <c r="J69" s="647"/>
      <c r="K69" s="252">
        <f t="shared" si="13"/>
        <v>0</v>
      </c>
      <c r="L69" s="648"/>
      <c r="M69" s="247" t="str">
        <f t="shared" si="14"/>
        <v xml:space="preserve"> </v>
      </c>
      <c r="N69" s="252">
        <f t="shared" si="15"/>
        <v>0</v>
      </c>
      <c r="O69" s="649"/>
      <c r="P69" s="248" t="str">
        <f t="shared" si="16"/>
        <v xml:space="preserve"> </v>
      </c>
      <c r="Q69" s="252">
        <f t="shared" si="17"/>
        <v>0</v>
      </c>
      <c r="R69" s="648"/>
      <c r="S69" s="249" t="str">
        <f t="shared" si="18"/>
        <v xml:space="preserve"> </v>
      </c>
    </row>
    <row r="70" spans="1:19" ht="15">
      <c r="A70" s="106"/>
      <c r="B70" s="243"/>
      <c r="C70" s="1685" t="s">
        <v>183</v>
      </c>
      <c r="D70" s="1685"/>
      <c r="E70" s="1685"/>
      <c r="F70" s="1685"/>
      <c r="G70" s="1686"/>
      <c r="H70" s="242" t="s">
        <v>187</v>
      </c>
      <c r="I70" s="250">
        <f t="shared" si="12"/>
        <v>0</v>
      </c>
      <c r="J70" s="647"/>
      <c r="K70" s="252">
        <f t="shared" si="13"/>
        <v>0</v>
      </c>
      <c r="L70" s="648"/>
      <c r="M70" s="247" t="str">
        <f t="shared" si="14"/>
        <v xml:space="preserve"> </v>
      </c>
      <c r="N70" s="252">
        <f t="shared" si="15"/>
        <v>0</v>
      </c>
      <c r="O70" s="649"/>
      <c r="P70" s="248" t="str">
        <f t="shared" si="16"/>
        <v xml:space="preserve"> </v>
      </c>
      <c r="Q70" s="252">
        <f t="shared" si="17"/>
        <v>0</v>
      </c>
      <c r="R70" s="648"/>
      <c r="S70" s="249" t="str">
        <f t="shared" si="18"/>
        <v xml:space="preserve"> </v>
      </c>
    </row>
    <row r="71" spans="1:19" ht="15">
      <c r="A71" s="106"/>
      <c r="B71" s="243"/>
      <c r="C71" s="1677" t="s">
        <v>184</v>
      </c>
      <c r="D71" s="1677"/>
      <c r="E71" s="1677"/>
      <c r="F71" s="1677"/>
      <c r="G71" s="1678"/>
      <c r="H71" s="242" t="s">
        <v>188</v>
      </c>
      <c r="I71" s="250">
        <f t="shared" si="12"/>
        <v>0</v>
      </c>
      <c r="J71" s="647"/>
      <c r="K71" s="252">
        <f t="shared" si="13"/>
        <v>0</v>
      </c>
      <c r="L71" s="648"/>
      <c r="M71" s="247" t="str">
        <f t="shared" si="14"/>
        <v xml:space="preserve"> </v>
      </c>
      <c r="N71" s="252">
        <f t="shared" si="15"/>
        <v>0</v>
      </c>
      <c r="O71" s="649"/>
      <c r="P71" s="248" t="str">
        <f t="shared" si="16"/>
        <v xml:space="preserve"> </v>
      </c>
      <c r="Q71" s="252">
        <f t="shared" si="17"/>
        <v>0</v>
      </c>
      <c r="R71" s="648"/>
      <c r="S71" s="249" t="str">
        <f t="shared" si="18"/>
        <v xml:space="preserve"> </v>
      </c>
    </row>
    <row r="72" spans="1:19" ht="15">
      <c r="A72" s="106"/>
      <c r="B72" s="243"/>
      <c r="C72" s="1685" t="s">
        <v>185</v>
      </c>
      <c r="D72" s="1685"/>
      <c r="E72" s="1685"/>
      <c r="F72" s="1685"/>
      <c r="G72" s="1686"/>
      <c r="H72" s="242" t="s">
        <v>189</v>
      </c>
      <c r="I72" s="250">
        <f t="shared" si="12"/>
        <v>0</v>
      </c>
      <c r="J72" s="647"/>
      <c r="K72" s="252">
        <f t="shared" si="13"/>
        <v>0</v>
      </c>
      <c r="L72" s="648"/>
      <c r="M72" s="247" t="str">
        <f t="shared" si="14"/>
        <v xml:space="preserve"> </v>
      </c>
      <c r="N72" s="252">
        <f t="shared" si="15"/>
        <v>0</v>
      </c>
      <c r="O72" s="649"/>
      <c r="P72" s="248" t="str">
        <f t="shared" si="16"/>
        <v xml:space="preserve"> </v>
      </c>
      <c r="Q72" s="252">
        <f t="shared" si="17"/>
        <v>0</v>
      </c>
      <c r="R72" s="648"/>
      <c r="S72" s="249" t="str">
        <f t="shared" si="18"/>
        <v xml:space="preserve"> </v>
      </c>
    </row>
    <row r="73" spans="1:19" ht="32.25" customHeight="1">
      <c r="A73" s="106"/>
      <c r="B73" s="1679" t="s">
        <v>358</v>
      </c>
      <c r="C73" s="1680"/>
      <c r="D73" s="1680"/>
      <c r="E73" s="1680"/>
      <c r="F73" s="1680"/>
      <c r="G73" s="1681"/>
      <c r="H73" s="242" t="s">
        <v>190</v>
      </c>
      <c r="I73" s="250">
        <f>I65+I67+I69+I71</f>
        <v>504.33</v>
      </c>
      <c r="J73" s="647"/>
      <c r="K73" s="250">
        <f>K65+K67+K69+K71</f>
        <v>500.5</v>
      </c>
      <c r="L73" s="648"/>
      <c r="M73" s="248">
        <f t="shared" si="14"/>
        <v>-7.5942339341303995E-3</v>
      </c>
      <c r="N73" s="250">
        <f>N65+N67+N69+N71</f>
        <v>500.5</v>
      </c>
      <c r="O73" s="648"/>
      <c r="P73" s="438">
        <f t="shared" si="16"/>
        <v>0</v>
      </c>
      <c r="Q73" s="250">
        <f>Q65+Q67+Q69+Q71</f>
        <v>500.5</v>
      </c>
      <c r="R73" s="648"/>
      <c r="S73" s="249">
        <f t="shared" si="18"/>
        <v>0</v>
      </c>
    </row>
    <row r="74" spans="1:19" ht="15">
      <c r="A74" s="106"/>
      <c r="B74" s="1679" t="s">
        <v>359</v>
      </c>
      <c r="C74" s="1680"/>
      <c r="D74" s="1680"/>
      <c r="E74" s="1680"/>
      <c r="F74" s="1680"/>
      <c r="G74" s="1681"/>
      <c r="H74" s="242" t="s">
        <v>191</v>
      </c>
      <c r="I74" s="250">
        <f>I66+I68+I70+I72</f>
        <v>504.33</v>
      </c>
      <c r="J74" s="251">
        <f>I74</f>
        <v>504.33</v>
      </c>
      <c r="K74" s="250">
        <f>K66+K68+K70+K72</f>
        <v>500.5</v>
      </c>
      <c r="L74" s="439">
        <f>K74</f>
        <v>500.5</v>
      </c>
      <c r="M74" s="248">
        <f t="shared" si="14"/>
        <v>-7.5942339341303995E-3</v>
      </c>
      <c r="N74" s="250">
        <f>N66+N68+N70+N72</f>
        <v>500.5</v>
      </c>
      <c r="O74" s="439">
        <f>N74</f>
        <v>500.5</v>
      </c>
      <c r="P74" s="438">
        <f t="shared" si="16"/>
        <v>0</v>
      </c>
      <c r="Q74" s="250">
        <f>Q66+Q68+Q70+Q72</f>
        <v>500.5</v>
      </c>
      <c r="R74" s="439">
        <f>Q74</f>
        <v>500.5</v>
      </c>
      <c r="S74" s="249">
        <f t="shared" si="18"/>
        <v>0</v>
      </c>
    </row>
    <row r="75" spans="1:19" ht="34.5" customHeight="1">
      <c r="A75" s="436"/>
      <c r="B75" s="1679" t="s">
        <v>356</v>
      </c>
      <c r="C75" s="1680"/>
      <c r="D75" s="1680"/>
      <c r="E75" s="1680"/>
      <c r="F75" s="1680"/>
      <c r="G75" s="1681"/>
      <c r="H75" s="242" t="s">
        <v>355</v>
      </c>
      <c r="I75" s="250">
        <f>I73-I74</f>
        <v>0</v>
      </c>
      <c r="J75" s="251">
        <f>IF($G$10="","Cell G10 CANNOT be blank",I75*$G$10)</f>
        <v>0</v>
      </c>
      <c r="K75" s="250">
        <f>K73-K74</f>
        <v>0</v>
      </c>
      <c r="L75" s="439">
        <f>IF($G$10="","Cell G10 CANNOT be blank",K75*$G$10)</f>
        <v>0</v>
      </c>
      <c r="M75" s="248" t="str">
        <f t="shared" si="14"/>
        <v xml:space="preserve"> </v>
      </c>
      <c r="N75" s="250">
        <f>N73-N74</f>
        <v>0</v>
      </c>
      <c r="O75" s="439">
        <f>IF($G$10="","Cell G10 CANNOT be blank",N75*$G$10)</f>
        <v>0</v>
      </c>
      <c r="P75" s="438" t="str">
        <f t="shared" si="16"/>
        <v xml:space="preserve"> </v>
      </c>
      <c r="Q75" s="250">
        <f>Q73-Q74</f>
        <v>0</v>
      </c>
      <c r="R75" s="439">
        <f>IF($G$10="","Cell G10 CANNOT be blank",Q75*$G$10)</f>
        <v>0</v>
      </c>
      <c r="S75" s="991" t="str">
        <f t="shared" si="18"/>
        <v xml:space="preserve"> </v>
      </c>
    </row>
    <row r="76" spans="1:19" ht="15.4" thickBot="1">
      <c r="A76" s="992"/>
      <c r="B76" s="1682" t="s">
        <v>357</v>
      </c>
      <c r="C76" s="1683"/>
      <c r="D76" s="1683"/>
      <c r="E76" s="1683"/>
      <c r="F76" s="1683"/>
      <c r="G76" s="1684"/>
      <c r="H76" s="565"/>
      <c r="I76" s="993"/>
      <c r="J76" s="994">
        <f>J74+J75</f>
        <v>504.33</v>
      </c>
      <c r="K76" s="993"/>
      <c r="L76" s="995">
        <f>L74+L75</f>
        <v>500.5</v>
      </c>
      <c r="M76" s="996"/>
      <c r="N76" s="993"/>
      <c r="O76" s="995">
        <f>O74+O75</f>
        <v>500.5</v>
      </c>
      <c r="P76" s="996"/>
      <c r="Q76" s="993"/>
      <c r="R76" s="995">
        <f>R74+R75</f>
        <v>500.5</v>
      </c>
      <c r="S76" s="997"/>
    </row>
    <row r="77" spans="1:19" ht="15">
      <c r="A77" s="38"/>
      <c r="B77" s="105"/>
      <c r="C77" s="34"/>
      <c r="D77" s="34"/>
      <c r="E77" s="34"/>
      <c r="F77" s="34"/>
      <c r="G77" s="34"/>
      <c r="H77" s="38"/>
      <c r="I77" s="90"/>
      <c r="J77" s="38"/>
      <c r="K77" s="39"/>
      <c r="L77" s="39"/>
      <c r="M77" s="39"/>
      <c r="N77" s="39"/>
      <c r="O77" s="39"/>
      <c r="P77" s="39"/>
      <c r="S77" s="39"/>
    </row>
    <row r="78" spans="1:19" ht="19.5" customHeight="1">
      <c r="A78" s="1698" t="s">
        <v>300</v>
      </c>
      <c r="B78" s="1698"/>
      <c r="C78" s="1698"/>
      <c r="D78" s="1698"/>
      <c r="E78" s="1698"/>
      <c r="F78" s="1698"/>
      <c r="G78" s="1698"/>
      <c r="H78" s="1698"/>
      <c r="I78" s="1698"/>
      <c r="J78" s="1698"/>
      <c r="K78" s="1698"/>
      <c r="L78" s="1698"/>
      <c r="M78" s="1698"/>
      <c r="N78" s="1698"/>
      <c r="O78" s="1698"/>
      <c r="P78" s="1698"/>
      <c r="Q78" s="1698"/>
      <c r="R78" s="1698"/>
    </row>
    <row r="88" spans="17:17">
      <c r="Q88" s="87"/>
    </row>
  </sheetData>
  <sheetProtection algorithmName="SHA-512" hashValue="V4c4wReFQyKKBJJfa9nMOUuGGa161iNd1QFuucWi3mqu6YTzi/JYLcuAfVS0wehWRSgsQxa5YV+Ek3GpAKP/Sg==" saltValue="mASrkwfnQLfuiXt5Y9TfyQ==" spinCount="100000" sheet="1" objects="1" scenarios="1"/>
  <mergeCells count="62">
    <mergeCell ref="A78:R78"/>
    <mergeCell ref="Q7:S7"/>
    <mergeCell ref="A6:H6"/>
    <mergeCell ref="B23:G23"/>
    <mergeCell ref="M8:M9"/>
    <mergeCell ref="S8:S9"/>
    <mergeCell ref="P8:P9"/>
    <mergeCell ref="B20:G20"/>
    <mergeCell ref="B22:G22"/>
    <mergeCell ref="C12:G12"/>
    <mergeCell ref="A7:G8"/>
    <mergeCell ref="C13:G13"/>
    <mergeCell ref="C14:G14"/>
    <mergeCell ref="C15:G15"/>
    <mergeCell ref="C16:G16"/>
    <mergeCell ref="C17:G17"/>
    <mergeCell ref="I1:N1"/>
    <mergeCell ref="I2:N2"/>
    <mergeCell ref="I4:K4"/>
    <mergeCell ref="I7:J7"/>
    <mergeCell ref="K7:M7"/>
    <mergeCell ref="N7:P7"/>
    <mergeCell ref="C18:G18"/>
    <mergeCell ref="C19:G19"/>
    <mergeCell ref="B21:G21"/>
    <mergeCell ref="C26:G26"/>
    <mergeCell ref="C27:G27"/>
    <mergeCell ref="C28:G28"/>
    <mergeCell ref="C29:G29"/>
    <mergeCell ref="C30:G30"/>
    <mergeCell ref="C31:G31"/>
    <mergeCell ref="C32:G32"/>
    <mergeCell ref="C33:G33"/>
    <mergeCell ref="B47:G47"/>
    <mergeCell ref="B48:G48"/>
    <mergeCell ref="C45:G45"/>
    <mergeCell ref="C46:G46"/>
    <mergeCell ref="B49:G49"/>
    <mergeCell ref="B34:G34"/>
    <mergeCell ref="B35:G35"/>
    <mergeCell ref="B36:G36"/>
    <mergeCell ref="C39:G39"/>
    <mergeCell ref="C40:G40"/>
    <mergeCell ref="C41:G41"/>
    <mergeCell ref="C42:G42"/>
    <mergeCell ref="C43:G43"/>
    <mergeCell ref="C44:G44"/>
    <mergeCell ref="B60:G60"/>
    <mergeCell ref="B61:G61"/>
    <mergeCell ref="B62:G62"/>
    <mergeCell ref="C65:G65"/>
    <mergeCell ref="C66:G66"/>
    <mergeCell ref="C67:G67"/>
    <mergeCell ref="B74:G74"/>
    <mergeCell ref="B75:G75"/>
    <mergeCell ref="B76:G76"/>
    <mergeCell ref="C68:G68"/>
    <mergeCell ref="C69:G69"/>
    <mergeCell ref="C70:G70"/>
    <mergeCell ref="C71:G71"/>
    <mergeCell ref="C72:G72"/>
    <mergeCell ref="B73:G73"/>
  </mergeCells>
  <conditionalFormatting sqref="A7">
    <cfRule type="containsText" dxfId="292" priority="20" stopIfTrue="1" operator="containsText" text="Enter">
      <formula>NOT(ISERROR(SEARCH("Enter",A7)))</formula>
    </cfRule>
  </conditionalFormatting>
  <conditionalFormatting sqref="I1:I2">
    <cfRule type="containsText" dxfId="291" priority="21" stopIfTrue="1" operator="containsText" text="Enter">
      <formula>NOT(ISERROR(SEARCH("Enter",I1)))</formula>
    </cfRule>
  </conditionalFormatting>
  <conditionalFormatting sqref="J21:J22">
    <cfRule type="containsText" dxfId="290" priority="15" stopIfTrue="1" operator="containsText" text="Cell G10 CANNOT be blank">
      <formula>NOT(ISERROR(SEARCH("Cell G10 CANNOT be blank",J21)))</formula>
    </cfRule>
  </conditionalFormatting>
  <conditionalFormatting sqref="J35:J36 L35:L36 O35:O36 R35:R36">
    <cfRule type="containsText" dxfId="289" priority="8" stopIfTrue="1" operator="containsText" text="Cell G10 CANNOT be blank">
      <formula>NOT(ISERROR(SEARCH("Cell G10 CANNOT be blank",J35)))</formula>
    </cfRule>
  </conditionalFormatting>
  <conditionalFormatting sqref="J48:J49 L48:L49 O48:O49 R48:R49">
    <cfRule type="containsText" dxfId="288" priority="6" stopIfTrue="1" operator="containsText" text="Cell G10 CANNOT be blank">
      <formula>NOT(ISERROR(SEARCH("Cell G10 CANNOT be blank",J48)))</formula>
    </cfRule>
  </conditionalFormatting>
  <conditionalFormatting sqref="J61:J62 L61:L62 O61:O62 R61:R62">
    <cfRule type="containsText" dxfId="287" priority="4" stopIfTrue="1" operator="containsText" text="Cell G10 CANNOT be blank">
      <formula>NOT(ISERROR(SEARCH("Cell G10 CANNOT be blank",J61)))</formula>
    </cfRule>
  </conditionalFormatting>
  <conditionalFormatting sqref="J74:J76 L74:L76 O74:O76 R74:R76">
    <cfRule type="containsText" dxfId="286" priority="1" stopIfTrue="1" operator="containsText" text="Cell G10 CANNOT be blank">
      <formula>NOT(ISERROR(SEARCH("Cell G10 CANNOT be blank",J74)))</formula>
    </cfRule>
  </conditionalFormatting>
  <conditionalFormatting sqref="L21:L22">
    <cfRule type="containsText" dxfId="285" priority="14" stopIfTrue="1" operator="containsText" text="Cell G10 CANNOT be blank">
      <formula>NOT(ISERROR(SEARCH("Cell G10 CANNOT be blank",L21)))</formula>
    </cfRule>
  </conditionalFormatting>
  <conditionalFormatting sqref="O21:O22">
    <cfRule type="containsText" dxfId="284" priority="13" stopIfTrue="1" operator="containsText" text="Cell G10 CANNOT be blank">
      <formula>NOT(ISERROR(SEARCH("Cell G10 CANNOT be blank",O21)))</formula>
    </cfRule>
  </conditionalFormatting>
  <conditionalFormatting sqref="R21:R22">
    <cfRule type="containsText" dxfId="283" priority="12" stopIfTrue="1" operator="containsText" text="Cell G10 CANNOT be blank">
      <formula>NOT(ISERROR(SEARCH("Cell G10 CANNOT be blank",R21)))</formula>
    </cfRule>
  </conditionalFormatting>
  <pageMargins left="0.7" right="0.7" top="0.75" bottom="0.75" header="0.3" footer="0.3"/>
  <pageSetup scale="52" fitToHeight="0" orientation="landscape" r:id="rId1"/>
  <headerFooter>
    <oddHeader>&amp;RPage &amp;P of &amp;N</oddHead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theme="6" tint="-0.249977111117893"/>
    <pageSetUpPr fitToPage="1"/>
  </sheetPr>
  <dimension ref="A1:M94"/>
  <sheetViews>
    <sheetView showGridLines="0" showWhiteSpace="0" zoomScaleNormal="100" workbookViewId="0">
      <pane ySplit="6" topLeftCell="A7" activePane="bottomLeft" state="frozen"/>
      <selection pane="bottomLeft" activeCell="A7" sqref="A7"/>
    </sheetView>
  </sheetViews>
  <sheetFormatPr defaultRowHeight="12.75"/>
  <cols>
    <col min="1" max="1" width="3.86328125" customWidth="1"/>
    <col min="2" max="2" width="11" customWidth="1"/>
    <col min="3" max="3" width="16.46484375" customWidth="1"/>
    <col min="4" max="4" width="29.6640625" customWidth="1"/>
    <col min="6" max="6" width="13.6640625" customWidth="1"/>
    <col min="7" max="8" width="19.46484375" customWidth="1"/>
    <col min="9" max="9" width="11.33203125" customWidth="1"/>
    <col min="10" max="10" width="18.86328125" customWidth="1"/>
    <col min="11" max="11" width="11.33203125" customWidth="1"/>
    <col min="12" max="12" width="83.53125" style="1177" customWidth="1"/>
    <col min="13" max="32" width="9.1328125" customWidth="1"/>
  </cols>
  <sheetData>
    <row r="1" spans="1:11" ht="15">
      <c r="A1" s="1664" t="str">
        <f>IF('BUDGET-CERTIFICATION'!$H$1="","CHARTER NAME: Enter Charter Name on BUDGET-CERTIFICATION Worksheet",(CONCATENATE("CHARTER NAME: ",'BUDGET-CERTIFICATION'!$H$1)))</f>
        <v>CHARTER NAME: Encor Jr./Sr. High School for the Performing and Visual Arts</v>
      </c>
      <c r="B1" s="1664"/>
      <c r="C1" s="1664"/>
      <c r="D1" s="1664"/>
      <c r="E1" s="1664"/>
      <c r="F1" s="1664"/>
      <c r="G1" s="12"/>
      <c r="H1" s="12"/>
      <c r="I1" s="12"/>
      <c r="J1" s="1"/>
      <c r="K1" s="1"/>
    </row>
    <row r="2" spans="1:11" ht="15">
      <c r="A2" s="1664" t="str">
        <f>IF('BUDGET-CERTIFICATION'!$H$2="","CDS #: Enter Charter CDS # on BUDGET-CERTIFICATION Worksheet",(_xlfn.CONCAT("CDS #: ",'BUDGET-CERTIFICATION'!$H$2)))</f>
        <v>CDS #: 35-75044-01166707</v>
      </c>
      <c r="B2" s="1664"/>
      <c r="C2" s="1664"/>
      <c r="D2" s="1664"/>
      <c r="E2" s="1664"/>
      <c r="F2" s="1664"/>
      <c r="G2" s="80"/>
      <c r="H2" s="80"/>
      <c r="I2" s="80"/>
      <c r="J2" s="1"/>
      <c r="K2" s="1"/>
    </row>
    <row r="3" spans="1:11" ht="15">
      <c r="A3" s="1664" t="str">
        <f>IF('BUDGET-CERTIFICATION'!$H$5="","CHARTER #: Enter Charter # on BUDGET-CERTIFICATION Worksheet",(_xlfn.CONCAT("CHARTER #: ",'BUDGET-CERTIFICATION'!$H$5)))</f>
        <v>CHARTER #: 0971</v>
      </c>
      <c r="B3" s="1664"/>
      <c r="C3" s="1664"/>
      <c r="D3" s="1664"/>
      <c r="E3" s="1664"/>
      <c r="F3" s="1664"/>
      <c r="G3" s="12"/>
      <c r="H3" s="12"/>
      <c r="I3" s="12"/>
      <c r="J3" s="1"/>
      <c r="K3" s="1"/>
    </row>
    <row r="4" spans="1:11" ht="15">
      <c r="A4" s="1721" t="str">
        <f>'Budget-ADA'!I4</f>
        <v>Fiscal Year 2024-25 Budget</v>
      </c>
      <c r="B4" s="1721"/>
      <c r="C4" s="1721"/>
      <c r="D4" s="1721"/>
      <c r="E4" s="1721"/>
      <c r="F4" s="1721"/>
      <c r="G4" s="1721"/>
      <c r="H4" s="1721"/>
      <c r="I4" s="1721"/>
      <c r="J4" s="1721"/>
      <c r="K4" s="1721"/>
    </row>
    <row r="5" spans="1:11" ht="15.4" thickBot="1">
      <c r="A5" s="1552" t="str">
        <f>Instructions!H1</f>
        <v>Form Revised (revision date here if revised)</v>
      </c>
      <c r="B5" s="263"/>
      <c r="C5" s="263"/>
      <c r="D5" s="12"/>
      <c r="E5" s="12"/>
      <c r="F5" s="12"/>
      <c r="G5" s="12"/>
      <c r="H5" s="12"/>
      <c r="I5" s="12"/>
      <c r="J5" s="1"/>
      <c r="K5" s="12"/>
    </row>
    <row r="6" spans="1:11" ht="15.4" thickBot="1">
      <c r="A6" s="672" t="s">
        <v>35</v>
      </c>
      <c r="B6" s="673"/>
      <c r="C6" s="673"/>
      <c r="D6" s="673"/>
      <c r="E6" s="673"/>
      <c r="F6" s="674"/>
      <c r="G6" s="277" t="str">
        <f>'Budget-ADA'!K7</f>
        <v>2024-25</v>
      </c>
      <c r="H6" s="278" t="str">
        <f>'Budget-ADA'!N7</f>
        <v>2025-26</v>
      </c>
      <c r="I6" s="278" t="s">
        <v>22</v>
      </c>
      <c r="J6" s="278" t="str">
        <f>'Budget-ADA'!Q7</f>
        <v>2026-27</v>
      </c>
      <c r="K6" s="279" t="s">
        <v>22</v>
      </c>
    </row>
    <row r="7" spans="1:11" ht="15">
      <c r="A7" s="328"/>
      <c r="B7" s="1"/>
      <c r="C7" s="1"/>
      <c r="D7" s="1"/>
      <c r="E7" s="1"/>
      <c r="F7" s="1192"/>
      <c r="G7" s="1527"/>
      <c r="H7" s="166"/>
      <c r="I7" s="166"/>
      <c r="J7" s="166"/>
      <c r="K7" s="654"/>
    </row>
    <row r="8" spans="1:11" ht="15">
      <c r="A8" s="675" t="s">
        <v>325</v>
      </c>
      <c r="C8" s="153"/>
      <c r="D8" s="153"/>
      <c r="E8" s="153"/>
      <c r="F8" s="653"/>
      <c r="G8" s="655"/>
      <c r="H8" s="655"/>
      <c r="I8" s="643"/>
      <c r="J8" s="655"/>
      <c r="K8" s="644"/>
    </row>
    <row r="9" spans="1:11" ht="15">
      <c r="A9" s="67"/>
      <c r="B9" s="140" t="s">
        <v>247</v>
      </c>
      <c r="C9" s="139"/>
      <c r="D9" s="141"/>
      <c r="E9" s="139"/>
      <c r="F9" s="1477"/>
      <c r="G9" s="1478">
        <v>1.0699999999999999E-2</v>
      </c>
      <c r="H9" s="1478">
        <v>2.93E-2</v>
      </c>
      <c r="I9" s="483">
        <f>SUM(H9-G9)</f>
        <v>1.8599999999999998E-2</v>
      </c>
      <c r="J9" s="1479">
        <v>3.0800000000000001E-2</v>
      </c>
      <c r="K9" s="482">
        <f>SUM(J9-H9)</f>
        <v>1.5000000000000013E-3</v>
      </c>
    </row>
    <row r="10" spans="1:11" ht="15" hidden="1">
      <c r="A10" s="280"/>
      <c r="B10" s="142" t="s">
        <v>248</v>
      </c>
      <c r="C10" s="143"/>
      <c r="D10" s="141"/>
      <c r="E10" s="143"/>
      <c r="F10" s="1477"/>
      <c r="G10" s="1480"/>
      <c r="H10" s="1480"/>
      <c r="I10" s="483">
        <f>SUM(H10-G10)</f>
        <v>0</v>
      </c>
      <c r="J10" s="1479"/>
      <c r="K10" s="482">
        <f>SUM(J10-H10)</f>
        <v>0</v>
      </c>
    </row>
    <row r="11" spans="1:11" ht="15">
      <c r="A11" s="280"/>
      <c r="B11" s="142" t="s">
        <v>367</v>
      </c>
      <c r="C11" s="143"/>
      <c r="D11" s="143"/>
      <c r="E11" s="143"/>
      <c r="F11" s="1477"/>
      <c r="G11" s="1481">
        <v>6790000</v>
      </c>
      <c r="H11" s="1482">
        <v>7283467</v>
      </c>
      <c r="I11" s="483">
        <f>SUM(H11-G11)/G11</f>
        <v>7.2675552282768771E-2</v>
      </c>
      <c r="J11" s="1481">
        <v>7677714</v>
      </c>
      <c r="K11" s="482">
        <f>SUM(J11-H11)/H11</f>
        <v>5.4129029485545828E-2</v>
      </c>
    </row>
    <row r="12" spans="1:11" ht="15">
      <c r="A12" s="280"/>
      <c r="B12" s="370" t="s">
        <v>324</v>
      </c>
      <c r="C12" s="143" t="s">
        <v>368</v>
      </c>
      <c r="D12" s="143"/>
      <c r="E12" s="143"/>
      <c r="F12" s="1483"/>
      <c r="G12" s="1484"/>
      <c r="H12" s="1485"/>
      <c r="I12" s="1486"/>
      <c r="J12" s="1484"/>
      <c r="K12" s="1487"/>
    </row>
    <row r="13" spans="1:11" ht="15">
      <c r="A13" s="280"/>
      <c r="B13" s="142"/>
      <c r="C13" s="143" t="s">
        <v>249</v>
      </c>
      <c r="D13" s="143"/>
      <c r="E13" s="143"/>
      <c r="F13" s="1483"/>
      <c r="G13" s="1484"/>
      <c r="H13" s="1485"/>
      <c r="I13" s="1486"/>
      <c r="J13" s="1484"/>
      <c r="K13" s="1487"/>
    </row>
    <row r="14" spans="1:11" ht="15">
      <c r="A14" s="280"/>
      <c r="B14" s="329"/>
      <c r="C14" s="329"/>
      <c r="D14" s="329"/>
      <c r="E14" s="329"/>
      <c r="F14" s="656"/>
      <c r="G14" s="657"/>
      <c r="H14" s="658"/>
      <c r="I14" s="489"/>
      <c r="J14" s="659"/>
      <c r="K14" s="660"/>
    </row>
    <row r="15" spans="1:11" ht="15">
      <c r="A15" s="675" t="s">
        <v>340</v>
      </c>
      <c r="B15" s="132"/>
      <c r="C15" s="661"/>
      <c r="D15" s="661"/>
      <c r="E15" s="661"/>
      <c r="F15" s="662"/>
      <c r="G15" s="663"/>
      <c r="H15" s="663"/>
      <c r="I15" s="664"/>
      <c r="J15" s="663"/>
      <c r="K15" s="665"/>
    </row>
    <row r="16" spans="1:11" ht="15">
      <c r="A16" s="280"/>
      <c r="B16" s="142" t="s">
        <v>147</v>
      </c>
      <c r="C16" s="143"/>
      <c r="D16" s="143"/>
      <c r="E16" s="143"/>
      <c r="F16" s="1477"/>
      <c r="G16" s="1481">
        <v>177</v>
      </c>
      <c r="H16" s="1481">
        <v>177</v>
      </c>
      <c r="I16" s="1488">
        <f>H16-G16</f>
        <v>0</v>
      </c>
      <c r="J16" s="1481">
        <v>177</v>
      </c>
      <c r="K16" s="1489">
        <f>SUM(J16-H16)</f>
        <v>0</v>
      </c>
    </row>
    <row r="17" spans="1:11" ht="15">
      <c r="A17" s="280"/>
      <c r="B17" s="142" t="s">
        <v>148</v>
      </c>
      <c r="C17" s="143"/>
      <c r="D17" s="143"/>
      <c r="E17" s="143"/>
      <c r="F17" s="1477"/>
      <c r="G17" s="1481">
        <v>72</v>
      </c>
      <c r="H17" s="1481">
        <v>72</v>
      </c>
      <c r="I17" s="1488">
        <f>H17-G17</f>
        <v>0</v>
      </c>
      <c r="J17" s="1481">
        <v>72</v>
      </c>
      <c r="K17" s="1489">
        <f>SUM(J17-H17)</f>
        <v>0</v>
      </c>
    </row>
    <row r="18" spans="1:11" ht="15">
      <c r="A18" s="280"/>
      <c r="B18" s="329"/>
      <c r="C18" s="329"/>
      <c r="D18" s="329"/>
      <c r="E18" s="329"/>
      <c r="F18" s="656"/>
      <c r="G18" s="657"/>
      <c r="H18" s="658"/>
      <c r="I18" s="489"/>
      <c r="J18" s="659"/>
      <c r="K18" s="660"/>
    </row>
    <row r="19" spans="1:11" ht="15">
      <c r="A19" s="676" t="s">
        <v>198</v>
      </c>
      <c r="C19" s="164"/>
      <c r="D19" s="164"/>
      <c r="E19" s="164"/>
      <c r="F19" s="653"/>
      <c r="G19" s="666"/>
      <c r="H19" s="666"/>
      <c r="I19" s="541"/>
      <c r="J19" s="667"/>
      <c r="K19" s="542"/>
    </row>
    <row r="20" spans="1:11" ht="15">
      <c r="A20" s="280"/>
      <c r="B20" s="142" t="s">
        <v>149</v>
      </c>
      <c r="C20" s="143"/>
      <c r="D20" s="143"/>
      <c r="E20" s="143"/>
      <c r="F20" s="1490"/>
      <c r="G20" s="1491">
        <f>'Budget-ADA'!K75</f>
        <v>0</v>
      </c>
      <c r="H20" s="1492">
        <f>'Budget-ADA'!N75</f>
        <v>0</v>
      </c>
      <c r="I20" s="1493">
        <f>H20-G20</f>
        <v>0</v>
      </c>
      <c r="J20" s="1492">
        <f>'Budget-ADA'!Q75</f>
        <v>0</v>
      </c>
      <c r="K20" s="1504">
        <f>J20-H20</f>
        <v>0</v>
      </c>
    </row>
    <row r="21" spans="1:11" ht="33" customHeight="1">
      <c r="A21" s="280"/>
      <c r="B21" s="642" t="s">
        <v>151</v>
      </c>
      <c r="C21" s="143"/>
      <c r="D21" s="143"/>
      <c r="E21" s="143"/>
      <c r="F21" s="1490"/>
      <c r="G21" s="1494">
        <f>IF(('Budget-ADA'!L75="Cell G10 CANNOT be blank"), "Missing Data Budget-ADA Tab, cell G10",'Budget-ADA'!L75)</f>
        <v>0</v>
      </c>
      <c r="H21" s="1494">
        <f>IF(('Budget-ADA'!O75="Cell G10 CANNOT be blank"), "Missing Data Budget-ADA Tab, cell G10",'Budget-ADA'!O75)</f>
        <v>0</v>
      </c>
      <c r="I21" s="1493">
        <f>H21-G21</f>
        <v>0</v>
      </c>
      <c r="J21" s="1494">
        <f>IF(('Budget-ADA'!R75="Cell G10 CANNOT be blank"), "Missing Data Budget-ADA Tab, cell G10",'Budget-ADA'!R75)</f>
        <v>0</v>
      </c>
      <c r="K21" s="1504">
        <f>J21-H21</f>
        <v>0</v>
      </c>
    </row>
    <row r="22" spans="1:11" ht="15">
      <c r="A22" s="280"/>
      <c r="B22" s="142" t="s">
        <v>150</v>
      </c>
      <c r="C22" s="143"/>
      <c r="D22" s="143"/>
      <c r="E22" s="143"/>
      <c r="F22" s="1490"/>
      <c r="G22" s="1495">
        <f>'Budget-ADA'!L74</f>
        <v>500.5</v>
      </c>
      <c r="H22" s="1492">
        <f>'Budget-ADA'!O74</f>
        <v>500.5</v>
      </c>
      <c r="I22" s="1493">
        <f>H22-G22</f>
        <v>0</v>
      </c>
      <c r="J22" s="1492">
        <f>'Budget-ADA'!R74</f>
        <v>500.5</v>
      </c>
      <c r="K22" s="1504">
        <f>J22-H22</f>
        <v>0</v>
      </c>
    </row>
    <row r="23" spans="1:11" ht="15">
      <c r="A23" s="67"/>
      <c r="B23" s="145" t="s">
        <v>36</v>
      </c>
      <c r="C23" s="139"/>
      <c r="D23" s="139"/>
      <c r="E23" s="139"/>
      <c r="F23" s="1490"/>
      <c r="G23" s="1496">
        <f>SUM(G21:G22)</f>
        <v>500.5</v>
      </c>
      <c r="H23" s="1496">
        <f>SUM(H21:H22)</f>
        <v>500.5</v>
      </c>
      <c r="I23" s="1493">
        <f>H23-G23</f>
        <v>0</v>
      </c>
      <c r="J23" s="1496">
        <f>SUM(J21:J22)</f>
        <v>500.5</v>
      </c>
      <c r="K23" s="1504">
        <f>J23-H23</f>
        <v>0</v>
      </c>
    </row>
    <row r="24" spans="1:11" ht="15">
      <c r="A24" s="281"/>
      <c r="B24" s="146" t="s">
        <v>137</v>
      </c>
      <c r="C24" s="147"/>
      <c r="D24" s="147"/>
      <c r="E24" s="148" t="s">
        <v>333</v>
      </c>
      <c r="F24" s="1497">
        <v>561</v>
      </c>
      <c r="G24" s="1498">
        <v>550</v>
      </c>
      <c r="H24" s="1498">
        <v>550</v>
      </c>
      <c r="I24" s="1493">
        <f>H24-G24</f>
        <v>0</v>
      </c>
      <c r="J24" s="1498">
        <v>550</v>
      </c>
      <c r="K24" s="1504">
        <f>J24-H24</f>
        <v>0</v>
      </c>
    </row>
    <row r="25" spans="1:11" ht="15">
      <c r="A25" s="281"/>
      <c r="B25" s="146" t="s">
        <v>200</v>
      </c>
      <c r="C25" s="147"/>
      <c r="D25" s="147"/>
      <c r="E25" s="150"/>
      <c r="F25" s="1499"/>
      <c r="G25" s="483">
        <f>(G24-F24)/F24</f>
        <v>-1.9607843137254902E-2</v>
      </c>
      <c r="H25" s="483">
        <f>(H24-G24)/G24</f>
        <v>0</v>
      </c>
      <c r="I25" s="1486" t="s">
        <v>2</v>
      </c>
      <c r="J25" s="483">
        <f>(J24-H24)/H24</f>
        <v>0</v>
      </c>
      <c r="K25" s="1487" t="s">
        <v>2</v>
      </c>
    </row>
    <row r="26" spans="1:11" ht="15">
      <c r="A26" s="281"/>
      <c r="B26" s="146" t="s">
        <v>199</v>
      </c>
      <c r="C26" s="147"/>
      <c r="D26" s="147"/>
      <c r="E26" s="215" t="str">
        <f>'Budget-ADA'!$I$7</f>
        <v>2023-24</v>
      </c>
      <c r="F26" s="1500">
        <f>'Budget-ADA'!$J$76/F24</f>
        <v>0.89898395721925128</v>
      </c>
      <c r="G26" s="483">
        <f>G23/G24</f>
        <v>0.91</v>
      </c>
      <c r="H26" s="483">
        <f>H23/H24</f>
        <v>0.91</v>
      </c>
      <c r="I26" s="1486" t="s">
        <v>2</v>
      </c>
      <c r="J26" s="483">
        <f>J23/J24</f>
        <v>0.91</v>
      </c>
      <c r="K26" s="1487" t="s">
        <v>2</v>
      </c>
    </row>
    <row r="27" spans="1:11" ht="15">
      <c r="A27" s="281"/>
      <c r="B27" s="146" t="s">
        <v>362</v>
      </c>
      <c r="C27" s="147"/>
      <c r="D27" s="147"/>
      <c r="E27" s="148" t="s">
        <v>353</v>
      </c>
      <c r="F27" s="1497">
        <v>324</v>
      </c>
      <c r="G27" s="1498">
        <v>387</v>
      </c>
      <c r="H27" s="1498">
        <v>387</v>
      </c>
      <c r="I27" s="1493">
        <f>H27-G27</f>
        <v>0</v>
      </c>
      <c r="J27" s="1498">
        <v>387</v>
      </c>
      <c r="K27" s="1504">
        <f>J27-H27</f>
        <v>0</v>
      </c>
    </row>
    <row r="28" spans="1:11" ht="15">
      <c r="A28" s="281"/>
      <c r="B28" s="146" t="s">
        <v>481</v>
      </c>
      <c r="C28" s="147"/>
      <c r="D28" s="147"/>
      <c r="E28" s="215" t="str">
        <f>E26</f>
        <v>2023-24</v>
      </c>
      <c r="F28" s="1380">
        <v>0.67720000000000002</v>
      </c>
      <c r="G28" s="1501">
        <v>0.70213333333333328</v>
      </c>
      <c r="H28" s="1501">
        <v>0.69017777777777789</v>
      </c>
      <c r="I28" s="1486"/>
      <c r="J28" s="1501">
        <v>0.68983703703703714</v>
      </c>
      <c r="K28" s="1487" t="s">
        <v>2</v>
      </c>
    </row>
    <row r="29" spans="1:11" ht="15">
      <c r="A29" s="280"/>
      <c r="B29" s="329"/>
      <c r="C29" s="329"/>
      <c r="D29" s="329"/>
      <c r="E29" s="329"/>
      <c r="F29" s="1192"/>
      <c r="G29" s="657"/>
      <c r="H29" s="658"/>
      <c r="I29" s="489"/>
      <c r="J29" s="659"/>
      <c r="K29" s="660"/>
    </row>
    <row r="30" spans="1:11" ht="15">
      <c r="A30" s="677" t="s">
        <v>202</v>
      </c>
      <c r="C30" s="153"/>
      <c r="D30" s="153"/>
      <c r="E30" s="153"/>
      <c r="F30" s="150"/>
      <c r="G30" s="1295"/>
      <c r="H30" s="1295"/>
      <c r="I30" s="541"/>
      <c r="J30" s="668"/>
      <c r="K30" s="542"/>
    </row>
    <row r="31" spans="1:11" ht="15">
      <c r="A31" s="67"/>
      <c r="B31" s="145" t="s">
        <v>230</v>
      </c>
      <c r="C31" s="139"/>
      <c r="D31" s="139"/>
      <c r="E31" s="139"/>
      <c r="F31" s="1490"/>
      <c r="G31" s="1502">
        <v>29.25</v>
      </c>
      <c r="H31" s="1502">
        <v>29.25</v>
      </c>
      <c r="I31" s="1493">
        <f>SUM(H31-G31)</f>
        <v>0</v>
      </c>
      <c r="J31" s="1503">
        <v>29.25</v>
      </c>
      <c r="K31" s="1504">
        <f>SUM(J31-H31)</f>
        <v>0</v>
      </c>
    </row>
    <row r="32" spans="1:11" ht="15">
      <c r="A32" s="67"/>
      <c r="B32" s="145" t="s">
        <v>489</v>
      </c>
      <c r="C32" s="139"/>
      <c r="D32" s="139"/>
      <c r="E32" s="139"/>
      <c r="F32" s="1505"/>
      <c r="G32" s="1502">
        <v>5</v>
      </c>
      <c r="H32" s="1502">
        <v>5</v>
      </c>
      <c r="I32" s="1493">
        <f>SUM(H32-G32)</f>
        <v>0</v>
      </c>
      <c r="J32" s="1503">
        <v>5</v>
      </c>
      <c r="K32" s="1504">
        <f>SUM(J32-H32)</f>
        <v>0</v>
      </c>
    </row>
    <row r="33" spans="1:11" ht="15">
      <c r="A33" s="67"/>
      <c r="B33" s="145" t="s">
        <v>377</v>
      </c>
      <c r="C33" s="139"/>
      <c r="D33" s="139"/>
      <c r="E33" s="139"/>
      <c r="F33" s="1505"/>
      <c r="G33" s="1506">
        <v>0</v>
      </c>
      <c r="H33" s="1506">
        <v>0</v>
      </c>
      <c r="I33" s="1493">
        <f>SUM(H33-G33)</f>
        <v>0</v>
      </c>
      <c r="J33" s="1503">
        <v>0</v>
      </c>
      <c r="K33" s="1504">
        <f>SUM(J33-H33)</f>
        <v>0</v>
      </c>
    </row>
    <row r="34" spans="1:11" ht="15">
      <c r="A34" s="281"/>
      <c r="B34" s="149" t="s">
        <v>201</v>
      </c>
      <c r="C34" s="139"/>
      <c r="D34" s="147"/>
      <c r="E34" s="147"/>
      <c r="F34" s="1505"/>
      <c r="G34" s="1493">
        <f>G24/G31</f>
        <v>18.803418803418804</v>
      </c>
      <c r="H34" s="1493">
        <f>H24/H31</f>
        <v>18.803418803418804</v>
      </c>
      <c r="I34" s="1493">
        <f>SUM(H34-G34)</f>
        <v>0</v>
      </c>
      <c r="J34" s="1493">
        <f>J24/J31</f>
        <v>18.803418803418804</v>
      </c>
      <c r="K34" s="1504">
        <f>SUM(J34-H34)</f>
        <v>0</v>
      </c>
    </row>
    <row r="35" spans="1:11" ht="15">
      <c r="A35" s="67"/>
      <c r="B35" s="145" t="s">
        <v>343</v>
      </c>
      <c r="C35" s="139"/>
      <c r="D35" s="139"/>
      <c r="E35" s="139"/>
      <c r="F35" s="1490"/>
      <c r="G35" s="1507">
        <v>0</v>
      </c>
      <c r="H35" s="1507">
        <v>0</v>
      </c>
      <c r="I35" s="1493">
        <f>SUM(H35-G35)</f>
        <v>0</v>
      </c>
      <c r="J35" s="1507">
        <v>0</v>
      </c>
      <c r="K35" s="1504">
        <f>SUM(J35-H35)</f>
        <v>0</v>
      </c>
    </row>
    <row r="36" spans="1:11" ht="15">
      <c r="A36" s="67"/>
      <c r="B36" s="140" t="s">
        <v>478</v>
      </c>
      <c r="C36" s="139"/>
      <c r="D36" s="139"/>
      <c r="E36" s="139"/>
      <c r="F36" s="1490"/>
      <c r="G36" s="1508">
        <v>70402</v>
      </c>
      <c r="H36" s="1508">
        <v>71253</v>
      </c>
      <c r="I36" s="622">
        <f t="shared" ref="I36:I42" si="0">IF(G36&lt;1," ",IF(H36&lt;1," ",(H36-G36)/G36))</f>
        <v>1.2087724780546007E-2</v>
      </c>
      <c r="J36" s="1508">
        <v>73391</v>
      </c>
      <c r="K36" s="482">
        <f t="shared" ref="K36:K42" si="1">IF(H36&lt;1," ",IF(J36&lt;1," ",(J36-H36)/H36))</f>
        <v>3.0005754143685177E-2</v>
      </c>
    </row>
    <row r="37" spans="1:11" ht="15">
      <c r="A37" s="67"/>
      <c r="B37" s="140" t="s">
        <v>479</v>
      </c>
      <c r="C37" s="139"/>
      <c r="D37" s="139"/>
      <c r="E37" s="139"/>
      <c r="F37" s="1490"/>
      <c r="G37" s="1508">
        <v>110570</v>
      </c>
      <c r="H37" s="1508">
        <v>113887</v>
      </c>
      <c r="I37" s="622">
        <f t="shared" si="0"/>
        <v>2.9999095595550331E-2</v>
      </c>
      <c r="J37" s="1508">
        <v>117304</v>
      </c>
      <c r="K37" s="482">
        <f t="shared" si="1"/>
        <v>3.0003424447039611E-2</v>
      </c>
    </row>
    <row r="38" spans="1:11" ht="15">
      <c r="A38" s="67"/>
      <c r="B38" s="140" t="s">
        <v>480</v>
      </c>
      <c r="C38" s="139"/>
      <c r="D38" s="139"/>
      <c r="E38" s="139"/>
      <c r="F38" s="1490"/>
      <c r="G38" s="1508">
        <v>0</v>
      </c>
      <c r="H38" s="1508">
        <v>0</v>
      </c>
      <c r="I38" s="622" t="str">
        <f t="shared" si="0"/>
        <v xml:space="preserve"> </v>
      </c>
      <c r="J38" s="1508">
        <v>0</v>
      </c>
      <c r="K38" s="482" t="str">
        <f t="shared" si="1"/>
        <v xml:space="preserve"> </v>
      </c>
    </row>
    <row r="39" spans="1:11" ht="15">
      <c r="A39" s="67"/>
      <c r="B39" s="145" t="s">
        <v>381</v>
      </c>
      <c r="C39" s="139"/>
      <c r="D39" s="139"/>
      <c r="E39" s="139"/>
      <c r="F39" s="1490"/>
      <c r="G39" s="1508">
        <v>0</v>
      </c>
      <c r="H39" s="1508">
        <v>0</v>
      </c>
      <c r="I39" s="483" t="str">
        <f t="shared" si="0"/>
        <v xml:space="preserve"> </v>
      </c>
      <c r="J39" s="1508">
        <v>0</v>
      </c>
      <c r="K39" s="482" t="str">
        <f t="shared" si="1"/>
        <v xml:space="preserve"> </v>
      </c>
    </row>
    <row r="40" spans="1:11" ht="15">
      <c r="A40" s="67"/>
      <c r="B40" s="145" t="s">
        <v>493</v>
      </c>
      <c r="C40" s="139"/>
      <c r="D40" s="139"/>
      <c r="E40" s="139"/>
      <c r="F40" s="1490"/>
      <c r="G40" s="1508">
        <v>0</v>
      </c>
      <c r="H40" s="1508">
        <v>0</v>
      </c>
      <c r="I40" s="483" t="str">
        <f t="shared" si="0"/>
        <v xml:space="preserve"> </v>
      </c>
      <c r="J40" s="1508">
        <v>0</v>
      </c>
      <c r="K40" s="482" t="str">
        <f t="shared" si="1"/>
        <v xml:space="preserve"> </v>
      </c>
    </row>
    <row r="41" spans="1:11" ht="15">
      <c r="A41" s="67"/>
      <c r="B41" s="145" t="s">
        <v>231</v>
      </c>
      <c r="C41" s="139"/>
      <c r="D41" s="139"/>
      <c r="E41" s="139"/>
      <c r="F41" s="1490"/>
      <c r="G41" s="1508">
        <v>6000</v>
      </c>
      <c r="H41" s="1508">
        <v>6600</v>
      </c>
      <c r="I41" s="483">
        <f t="shared" si="0"/>
        <v>0.1</v>
      </c>
      <c r="J41" s="1508">
        <v>7200</v>
      </c>
      <c r="K41" s="482">
        <f t="shared" si="1"/>
        <v>9.0909090909090912E-2</v>
      </c>
    </row>
    <row r="42" spans="1:11" ht="15">
      <c r="A42" s="67"/>
      <c r="B42" s="140" t="s">
        <v>499</v>
      </c>
      <c r="C42" s="139"/>
      <c r="D42" s="139"/>
      <c r="E42" s="139"/>
      <c r="F42" s="1490"/>
      <c r="G42" s="1508">
        <v>13447</v>
      </c>
      <c r="H42" s="1508">
        <v>13609</v>
      </c>
      <c r="I42" s="483">
        <f t="shared" si="0"/>
        <v>1.2047296794824124E-2</v>
      </c>
      <c r="J42" s="1508">
        <v>14018</v>
      </c>
      <c r="K42" s="482">
        <f t="shared" si="1"/>
        <v>3.0053640972885591E-2</v>
      </c>
    </row>
    <row r="43" spans="1:11" ht="15">
      <c r="A43" s="67"/>
      <c r="B43" s="140" t="s">
        <v>439</v>
      </c>
      <c r="C43" s="139"/>
      <c r="D43" s="139"/>
      <c r="E43" s="139"/>
      <c r="F43" s="1490"/>
      <c r="G43" s="1306">
        <v>0.191</v>
      </c>
      <c r="H43" s="1306">
        <v>0.191</v>
      </c>
      <c r="I43" s="483">
        <f>H43-G43</f>
        <v>0</v>
      </c>
      <c r="J43" s="1306">
        <v>0.191</v>
      </c>
      <c r="K43" s="482">
        <f>J43-H43</f>
        <v>0</v>
      </c>
    </row>
    <row r="44" spans="1:11" ht="8.25" customHeight="1">
      <c r="A44" s="67"/>
      <c r="B44" s="1255"/>
      <c r="C44" s="151"/>
      <c r="D44" s="151"/>
      <c r="E44" s="151"/>
      <c r="F44" s="1256"/>
      <c r="G44" s="1257"/>
      <c r="H44" s="1257"/>
      <c r="I44" s="1258"/>
      <c r="J44" s="1257"/>
      <c r="K44" s="1518"/>
    </row>
    <row r="45" spans="1:11" ht="12" customHeight="1">
      <c r="A45" s="67"/>
      <c r="B45" s="1294" t="s">
        <v>494</v>
      </c>
      <c r="C45" s="1"/>
      <c r="D45" s="1"/>
      <c r="E45" s="1"/>
      <c r="G45" s="1257"/>
      <c r="H45" s="1257"/>
      <c r="I45" s="1352"/>
      <c r="J45" s="1257"/>
      <c r="K45" s="1565"/>
    </row>
    <row r="46" spans="1:11" ht="51" customHeight="1">
      <c r="A46" s="67"/>
      <c r="B46" s="1716"/>
      <c r="C46" s="1717"/>
      <c r="D46" s="1717"/>
      <c r="E46" s="1717"/>
      <c r="F46" s="1717"/>
      <c r="G46" s="1717"/>
      <c r="H46" s="1717"/>
      <c r="I46" s="1717"/>
      <c r="J46" s="1717"/>
      <c r="K46" s="1718"/>
    </row>
    <row r="47" spans="1:11" ht="15">
      <c r="A47" s="67"/>
      <c r="B47" s="1719" t="s">
        <v>384</v>
      </c>
      <c r="C47" s="1719"/>
      <c r="D47" s="1719"/>
      <c r="E47" s="1719"/>
      <c r="F47" s="1719"/>
      <c r="G47" s="1719"/>
      <c r="H47" s="1719"/>
      <c r="I47" s="1719"/>
      <c r="J47" s="1719"/>
      <c r="K47" s="1720"/>
    </row>
    <row r="48" spans="1:11" ht="84.75" customHeight="1">
      <c r="A48" s="67"/>
      <c r="B48" s="1716"/>
      <c r="C48" s="1717"/>
      <c r="D48" s="1717"/>
      <c r="E48" s="1717"/>
      <c r="F48" s="1717"/>
      <c r="G48" s="1717"/>
      <c r="H48" s="1717"/>
      <c r="I48" s="1717"/>
      <c r="J48" s="1717"/>
      <c r="K48" s="1718"/>
    </row>
    <row r="49" spans="1:11" ht="15">
      <c r="A49" s="280"/>
      <c r="B49" s="1191"/>
      <c r="C49" s="1191"/>
      <c r="D49" s="1191"/>
      <c r="E49" s="1191"/>
      <c r="F49" s="1192"/>
      <c r="G49" s="1193"/>
      <c r="H49" s="1194"/>
      <c r="I49" s="1031"/>
      <c r="J49" s="1195"/>
      <c r="K49" s="309"/>
    </row>
    <row r="50" spans="1:11" ht="15">
      <c r="A50" s="677" t="s">
        <v>376</v>
      </c>
      <c r="C50" s="153"/>
      <c r="D50" s="153"/>
      <c r="E50" s="153"/>
      <c r="F50" s="150"/>
      <c r="G50" s="1295"/>
      <c r="H50" s="1295"/>
      <c r="I50" s="541"/>
      <c r="J50" s="668"/>
      <c r="K50" s="542"/>
    </row>
    <row r="51" spans="1:11" ht="15">
      <c r="A51" s="67"/>
      <c r="B51" s="145" t="s">
        <v>455</v>
      </c>
      <c r="C51" s="139"/>
      <c r="D51" s="139"/>
      <c r="E51" s="139"/>
      <c r="F51" s="1490"/>
      <c r="G51" s="1502">
        <v>23</v>
      </c>
      <c r="H51" s="1502">
        <v>23</v>
      </c>
      <c r="I51" s="1493">
        <f>SUM(H51-G51)</f>
        <v>0</v>
      </c>
      <c r="J51" s="1503">
        <v>23</v>
      </c>
      <c r="K51" s="1504">
        <f>SUM(J51-H51)</f>
        <v>0</v>
      </c>
    </row>
    <row r="52" spans="1:11" ht="15">
      <c r="A52" s="67"/>
      <c r="B52" s="145" t="s">
        <v>454</v>
      </c>
      <c r="C52" s="139"/>
      <c r="D52" s="139"/>
      <c r="E52" s="139"/>
      <c r="F52" s="1490"/>
      <c r="G52" s="1502">
        <v>5</v>
      </c>
      <c r="H52" s="1502">
        <v>5</v>
      </c>
      <c r="I52" s="1493">
        <f>SUM(H52-G52)</f>
        <v>0</v>
      </c>
      <c r="J52" s="1503">
        <v>5</v>
      </c>
      <c r="K52" s="1504">
        <f>SUM(J52-H52)</f>
        <v>0</v>
      </c>
    </row>
    <row r="53" spans="1:11" ht="15">
      <c r="A53" s="67"/>
      <c r="B53" s="140" t="s">
        <v>485</v>
      </c>
      <c r="C53" s="139"/>
      <c r="D53" s="139"/>
      <c r="E53" s="139"/>
      <c r="F53" s="1490"/>
      <c r="G53" s="1508">
        <v>39426</v>
      </c>
      <c r="H53" s="1508">
        <v>40584</v>
      </c>
      <c r="I53" s="622">
        <f t="shared" ref="I53:I58" si="2">IF(G53&lt;1," ",IF(H53&lt;1," ",(H53-G53)/G53))</f>
        <v>2.9371480748744485E-2</v>
      </c>
      <c r="J53" s="1508">
        <v>41818</v>
      </c>
      <c r="K53" s="482">
        <f t="shared" ref="K53:K58" si="3">IF(H53&lt;1," ",IF(J53&lt;1," ",(J53-H53)/H53))</f>
        <v>3.0406071358170708E-2</v>
      </c>
    </row>
    <row r="54" spans="1:11" ht="15">
      <c r="A54" s="67"/>
      <c r="B54" s="140" t="s">
        <v>486</v>
      </c>
      <c r="C54" s="139"/>
      <c r="D54" s="139"/>
      <c r="E54" s="139"/>
      <c r="F54" s="1490"/>
      <c r="G54" s="1508">
        <v>101473</v>
      </c>
      <c r="H54" s="1508">
        <v>104518</v>
      </c>
      <c r="I54" s="622">
        <f t="shared" si="2"/>
        <v>3.0007982418968591E-2</v>
      </c>
      <c r="J54" s="1508">
        <v>107653</v>
      </c>
      <c r="K54" s="482">
        <f t="shared" si="3"/>
        <v>2.9994833425821391E-2</v>
      </c>
    </row>
    <row r="55" spans="1:11" ht="15">
      <c r="A55" s="67"/>
      <c r="B55" s="145" t="s">
        <v>380</v>
      </c>
      <c r="C55" s="139"/>
      <c r="D55" s="139"/>
      <c r="E55" s="139"/>
      <c r="F55" s="1490"/>
      <c r="G55" s="1508">
        <v>0</v>
      </c>
      <c r="H55" s="1508">
        <v>0</v>
      </c>
      <c r="I55" s="483" t="str">
        <f t="shared" si="2"/>
        <v xml:space="preserve"> </v>
      </c>
      <c r="J55" s="1508">
        <v>0</v>
      </c>
      <c r="K55" s="482" t="str">
        <f t="shared" si="3"/>
        <v xml:space="preserve"> </v>
      </c>
    </row>
    <row r="56" spans="1:11" ht="15">
      <c r="A56" s="67"/>
      <c r="B56" s="145" t="s">
        <v>493</v>
      </c>
      <c r="C56" s="139"/>
      <c r="D56" s="139"/>
      <c r="E56" s="139"/>
      <c r="F56" s="1490"/>
      <c r="G56" s="1508">
        <v>0</v>
      </c>
      <c r="H56" s="1508">
        <v>0</v>
      </c>
      <c r="I56" s="483" t="str">
        <f t="shared" si="2"/>
        <v xml:space="preserve"> </v>
      </c>
      <c r="J56" s="1508">
        <v>0</v>
      </c>
      <c r="K56" s="482" t="str">
        <f t="shared" si="3"/>
        <v xml:space="preserve"> </v>
      </c>
    </row>
    <row r="57" spans="1:11" ht="15">
      <c r="A57" s="67"/>
      <c r="B57" s="145" t="s">
        <v>379</v>
      </c>
      <c r="C57" s="139"/>
      <c r="D57" s="139"/>
      <c r="E57" s="139"/>
      <c r="F57" s="1490"/>
      <c r="G57" s="1508">
        <v>6000</v>
      </c>
      <c r="H57" s="1508">
        <v>6600</v>
      </c>
      <c r="I57" s="483">
        <f t="shared" si="2"/>
        <v>0.1</v>
      </c>
      <c r="J57" s="1508">
        <v>7200</v>
      </c>
      <c r="K57" s="482">
        <f t="shared" si="3"/>
        <v>9.0909090909090912E-2</v>
      </c>
    </row>
    <row r="58" spans="1:11" ht="15">
      <c r="A58" s="67"/>
      <c r="B58" s="140" t="s">
        <v>378</v>
      </c>
      <c r="C58" s="139"/>
      <c r="D58" s="139"/>
      <c r="E58" s="139"/>
      <c r="F58" s="1490"/>
      <c r="G58" s="1508">
        <v>10665</v>
      </c>
      <c r="H58" s="1508">
        <v>11201</v>
      </c>
      <c r="I58" s="483">
        <f t="shared" si="2"/>
        <v>5.0257852789498361E-2</v>
      </c>
      <c r="J58" s="1508">
        <v>11709</v>
      </c>
      <c r="K58" s="482">
        <f t="shared" si="3"/>
        <v>4.5353093473796985E-2</v>
      </c>
    </row>
    <row r="59" spans="1:11" ht="15">
      <c r="A59" s="67"/>
      <c r="B59" s="140" t="s">
        <v>440</v>
      </c>
      <c r="C59" s="139"/>
      <c r="D59" s="139"/>
      <c r="E59" s="139"/>
      <c r="F59" s="1490"/>
      <c r="G59" s="1306">
        <v>0.27050000000000002</v>
      </c>
      <c r="H59" s="1306">
        <v>0.27600000000000002</v>
      </c>
      <c r="I59" s="483">
        <f>H59-G59</f>
        <v>5.5000000000000049E-3</v>
      </c>
      <c r="J59" s="1306">
        <v>0.28000000000000003</v>
      </c>
      <c r="K59" s="482">
        <f>J59-H59</f>
        <v>4.0000000000000036E-3</v>
      </c>
    </row>
    <row r="60" spans="1:11" ht="5.25" customHeight="1">
      <c r="A60" s="67"/>
      <c r="B60" s="1255"/>
      <c r="C60" s="151"/>
      <c r="D60" s="151"/>
      <c r="E60" s="151"/>
      <c r="F60" s="1256"/>
      <c r="G60" s="1257"/>
      <c r="H60" s="1257"/>
      <c r="I60" s="1258"/>
      <c r="J60" s="1257"/>
      <c r="K60" s="1518"/>
    </row>
    <row r="61" spans="1:11" ht="12" customHeight="1">
      <c r="A61" s="67"/>
      <c r="B61" s="1294" t="s">
        <v>495</v>
      </c>
      <c r="C61" s="1"/>
      <c r="D61" s="1"/>
      <c r="E61" s="1"/>
      <c r="G61" s="1257"/>
      <c r="H61" s="1257"/>
      <c r="I61" s="1352"/>
      <c r="J61" s="1257"/>
      <c r="K61" s="1565"/>
    </row>
    <row r="62" spans="1:11" ht="51" customHeight="1">
      <c r="A62" s="67"/>
      <c r="B62" s="1716"/>
      <c r="C62" s="1717"/>
      <c r="D62" s="1717"/>
      <c r="E62" s="1717"/>
      <c r="F62" s="1717"/>
      <c r="G62" s="1717"/>
      <c r="H62" s="1717"/>
      <c r="I62" s="1717"/>
      <c r="J62" s="1717"/>
      <c r="K62" s="1718"/>
    </row>
    <row r="63" spans="1:11" ht="15">
      <c r="A63" s="67"/>
      <c r="B63" s="1719" t="s">
        <v>384</v>
      </c>
      <c r="C63" s="1719"/>
      <c r="D63" s="1719"/>
      <c r="E63" s="1719"/>
      <c r="F63" s="1719"/>
      <c r="G63" s="1719"/>
      <c r="H63" s="1719"/>
      <c r="I63" s="1719"/>
      <c r="J63" s="1719"/>
      <c r="K63" s="1720"/>
    </row>
    <row r="64" spans="1:11" ht="82.5" customHeight="1">
      <c r="A64" s="67"/>
      <c r="B64" s="1716"/>
      <c r="C64" s="1717"/>
      <c r="D64" s="1717"/>
      <c r="E64" s="1717"/>
      <c r="F64" s="1717"/>
      <c r="G64" s="1717"/>
      <c r="H64" s="1717"/>
      <c r="I64" s="1717"/>
      <c r="J64" s="1717"/>
      <c r="K64" s="1718"/>
    </row>
    <row r="65" spans="1:13">
      <c r="A65" s="235"/>
      <c r="H65" s="1519"/>
      <c r="J65" s="1519"/>
      <c r="K65" s="467"/>
    </row>
    <row r="66" spans="1:13" ht="15">
      <c r="A66" s="677" t="s">
        <v>444</v>
      </c>
      <c r="K66" s="467"/>
      <c r="M66" s="1254"/>
    </row>
    <row r="67" spans="1:13" ht="15">
      <c r="A67" s="235"/>
      <c r="B67" s="1220" t="s">
        <v>488</v>
      </c>
      <c r="C67" s="1221"/>
      <c r="D67" s="144"/>
      <c r="E67" s="144"/>
      <c r="F67" s="1490"/>
      <c r="G67" s="1509">
        <v>6.2E-2</v>
      </c>
      <c r="H67" s="1306">
        <v>6.2E-2</v>
      </c>
      <c r="I67" s="483">
        <f>H67-G67</f>
        <v>0</v>
      </c>
      <c r="J67" s="1306">
        <v>6.2E-2</v>
      </c>
      <c r="K67" s="482">
        <f>J67-H67</f>
        <v>0</v>
      </c>
      <c r="M67" s="1254"/>
    </row>
    <row r="68" spans="1:13" ht="15">
      <c r="A68" s="235"/>
      <c r="B68" s="1220" t="s">
        <v>487</v>
      </c>
      <c r="C68" s="144"/>
      <c r="D68" s="144"/>
      <c r="E68" s="144"/>
      <c r="F68" s="1490"/>
      <c r="G68" s="1509">
        <v>1.4500000000000001E-2</v>
      </c>
      <c r="H68" s="1306">
        <v>1.4500000000000001E-2</v>
      </c>
      <c r="I68" s="483">
        <f>H68-G68</f>
        <v>0</v>
      </c>
      <c r="J68" s="1306">
        <v>1.4500000000000001E-2</v>
      </c>
      <c r="K68" s="482">
        <f>J68-H68</f>
        <v>0</v>
      </c>
      <c r="M68" s="1254"/>
    </row>
    <row r="69" spans="1:13" ht="15">
      <c r="A69" s="235"/>
      <c r="B69" s="1220" t="s">
        <v>447</v>
      </c>
      <c r="C69" s="144"/>
      <c r="D69" s="144"/>
      <c r="E69" s="144"/>
      <c r="F69" s="1490"/>
      <c r="G69" s="1371">
        <v>3.5999999999999997E-2</v>
      </c>
      <c r="H69" s="1306">
        <v>3.5999999999999997E-2</v>
      </c>
      <c r="I69" s="483">
        <f>H69-G69</f>
        <v>0</v>
      </c>
      <c r="J69" s="1306">
        <v>3.5999999999999997E-2</v>
      </c>
      <c r="K69" s="482">
        <f>J69-H69</f>
        <v>0</v>
      </c>
      <c r="M69" s="1254"/>
    </row>
    <row r="70" spans="1:13" ht="15">
      <c r="A70" s="235"/>
      <c r="B70" s="1220" t="s">
        <v>448</v>
      </c>
      <c r="C70" s="144"/>
      <c r="D70" s="144"/>
      <c r="E70" s="144"/>
      <c r="F70" s="1490"/>
      <c r="G70" s="1533">
        <v>1.9E-2</v>
      </c>
      <c r="H70" s="1533">
        <v>1.9E-2</v>
      </c>
      <c r="I70" s="1510">
        <f>H70-G70</f>
        <v>0</v>
      </c>
      <c r="J70" s="1533">
        <v>1.9E-2</v>
      </c>
      <c r="K70" s="1511">
        <f>J70-H70</f>
        <v>0</v>
      </c>
    </row>
    <row r="71" spans="1:13" ht="17.25" customHeight="1">
      <c r="A71" s="280"/>
      <c r="B71" s="329"/>
      <c r="C71" s="329"/>
      <c r="D71" s="329"/>
      <c r="E71" s="329"/>
      <c r="F71" s="656"/>
      <c r="G71" s="1193"/>
      <c r="H71" s="1194"/>
      <c r="I71" s="1031"/>
      <c r="J71" s="1195"/>
      <c r="K71" s="309"/>
    </row>
    <row r="72" spans="1:13" ht="15">
      <c r="A72" s="675" t="s">
        <v>335</v>
      </c>
      <c r="B72" s="164"/>
      <c r="C72" s="164"/>
      <c r="D72" s="164"/>
      <c r="E72" s="164"/>
      <c r="F72" s="653"/>
      <c r="G72" s="1193"/>
      <c r="H72" s="1194"/>
      <c r="I72" s="541"/>
      <c r="J72" s="1528"/>
      <c r="K72" s="542"/>
    </row>
    <row r="73" spans="1:13" ht="15">
      <c r="A73" s="67"/>
      <c r="B73" s="1529" t="s">
        <v>336</v>
      </c>
      <c r="C73" s="139"/>
      <c r="D73" s="139"/>
      <c r="E73" s="139"/>
      <c r="F73" s="1490"/>
      <c r="G73" s="1508">
        <v>1020194</v>
      </c>
      <c r="H73" s="1508">
        <v>1050800</v>
      </c>
      <c r="I73" s="483">
        <f>IF(G73&lt;1," ",IF(H73&lt;1," ",(H73-G73)/G73))</f>
        <v>3.0000176437030603E-2</v>
      </c>
      <c r="J73" s="1508">
        <v>1082324</v>
      </c>
      <c r="K73" s="482">
        <f>IF(H73&lt;1," ",IF(J73&lt;1," ",(J73-H73)/H73))</f>
        <v>0.03</v>
      </c>
    </row>
    <row r="74" spans="1:13" ht="15">
      <c r="A74" s="67"/>
      <c r="B74" s="145" t="s">
        <v>337</v>
      </c>
      <c r="C74" s="139"/>
      <c r="D74" s="139"/>
      <c r="E74" s="139"/>
      <c r="F74" s="1490"/>
      <c r="G74" s="1508">
        <v>0</v>
      </c>
      <c r="H74" s="1508">
        <v>0</v>
      </c>
      <c r="I74" s="483" t="str">
        <f>IF(G74&lt;1," ",IF(H74&lt;1," ",(H74-G74)/G74))</f>
        <v xml:space="preserve"> </v>
      </c>
      <c r="J74" s="1508">
        <v>0</v>
      </c>
      <c r="K74" s="482" t="str">
        <f>IF(H74&lt;1," ",IF(J74&lt;1," ",(J74-H74)/H74))</f>
        <v xml:space="preserve"> </v>
      </c>
    </row>
    <row r="75" spans="1:13" ht="15">
      <c r="A75" s="67"/>
      <c r="B75" s="145" t="s">
        <v>338</v>
      </c>
      <c r="C75" s="139"/>
      <c r="D75" s="139"/>
      <c r="E75" s="139"/>
      <c r="F75" s="1490"/>
      <c r="G75" s="1508">
        <v>0</v>
      </c>
      <c r="H75" s="1508">
        <v>0</v>
      </c>
      <c r="I75" s="483" t="str">
        <f>IF(G75&lt;1," ",IF(H75&lt;1," ",(H75-G75)/G75))</f>
        <v xml:space="preserve"> </v>
      </c>
      <c r="J75" s="1508">
        <v>0</v>
      </c>
      <c r="K75" s="482" t="str">
        <f>IF(H75&lt;1," ",IF(J75&lt;1," ",(J75-H75)/H75))</f>
        <v xml:space="preserve"> </v>
      </c>
    </row>
    <row r="76" spans="1:13" ht="15">
      <c r="A76" s="67"/>
      <c r="B76" s="145" t="s">
        <v>158</v>
      </c>
      <c r="C76" s="139"/>
      <c r="D76" s="139"/>
      <c r="E76" s="139"/>
      <c r="F76" s="1490"/>
      <c r="G76" s="1508">
        <v>0</v>
      </c>
      <c r="H76" s="1508">
        <v>0</v>
      </c>
      <c r="I76" s="483" t="str">
        <f>IF(G76&lt;1," ",IF(H76&lt;1," ",(H76-G76)/G76))</f>
        <v xml:space="preserve"> </v>
      </c>
      <c r="J76" s="1508">
        <v>0</v>
      </c>
      <c r="K76" s="482" t="str">
        <f>IF(H76&lt;1," ",IF(J76&lt;1," ",(J76-H76)/H76))</f>
        <v xml:space="preserve"> </v>
      </c>
    </row>
    <row r="77" spans="1:13" ht="5.25" customHeight="1">
      <c r="A77" s="67"/>
      <c r="B77" s="1255"/>
      <c r="C77" s="151"/>
      <c r="D77" s="151"/>
      <c r="E77" s="151"/>
      <c r="F77" s="1256"/>
      <c r="G77" s="1257"/>
      <c r="H77" s="1257"/>
      <c r="I77" s="1258"/>
      <c r="J77" s="1257"/>
      <c r="K77" s="1518"/>
    </row>
    <row r="78" spans="1:13" ht="15">
      <c r="A78" s="67"/>
      <c r="B78" s="1719" t="s">
        <v>456</v>
      </c>
      <c r="C78" s="1719"/>
      <c r="D78" s="1719"/>
      <c r="E78" s="1719"/>
      <c r="F78" s="1719"/>
      <c r="G78" s="1719"/>
      <c r="H78" s="1719"/>
      <c r="I78" s="1719"/>
      <c r="J78" s="1719"/>
      <c r="K78" s="1720"/>
    </row>
    <row r="79" spans="1:13" ht="82.5" customHeight="1">
      <c r="A79" s="67"/>
      <c r="B79" s="1716"/>
      <c r="C79" s="1717"/>
      <c r="D79" s="1717"/>
      <c r="E79" s="1717"/>
      <c r="F79" s="1717"/>
      <c r="G79" s="1717"/>
      <c r="H79" s="1717"/>
      <c r="I79" s="1717"/>
      <c r="J79" s="1717"/>
      <c r="K79" s="1718"/>
    </row>
    <row r="80" spans="1:13" ht="15">
      <c r="A80" s="1259"/>
      <c r="B80" s="1260"/>
      <c r="C80" s="1260"/>
      <c r="D80" s="1260"/>
      <c r="E80" s="1260"/>
      <c r="F80" s="656"/>
      <c r="G80" s="1261"/>
      <c r="H80" s="1262"/>
      <c r="I80" s="1263"/>
      <c r="J80" s="1264"/>
      <c r="K80" s="1265"/>
    </row>
    <row r="81" spans="1:11" ht="15">
      <c r="A81" s="302" t="s">
        <v>203</v>
      </c>
      <c r="C81" s="1"/>
      <c r="D81" s="1"/>
      <c r="E81" s="1"/>
      <c r="F81" s="150"/>
      <c r="G81" s="1530"/>
      <c r="H81" s="1530"/>
      <c r="I81" s="157"/>
      <c r="J81" s="1530"/>
      <c r="K81" s="1267"/>
    </row>
    <row r="82" spans="1:11" ht="15">
      <c r="A82" s="67"/>
      <c r="B82" s="681">
        <v>0.01</v>
      </c>
      <c r="C82" s="139" t="s">
        <v>41</v>
      </c>
      <c r="D82" s="139"/>
      <c r="E82" s="139"/>
      <c r="F82" s="1490"/>
      <c r="G82" s="962">
        <f>B82*('Budget-Summary MYP'!F13+'Budget-Summary MYP'!F14+'Budget-Summary MYP'!F15+'Budget-Summary MYP'!F16)</f>
        <v>67900</v>
      </c>
      <c r="H82" s="962">
        <f>B82*('Budget-Summary MYP'!H13+'Budget-Summary MYP'!H14+'Budget-Summary MYP'!H15+'Budget-Summary MYP'!H16)</f>
        <v>72834.67</v>
      </c>
      <c r="I82" s="268">
        <f>IF(G82&lt;1," ",IF(H82&lt;1," ",(H82-G82)/G82))</f>
        <v>7.2675552282768757E-2</v>
      </c>
      <c r="J82" s="962">
        <f>B82*('Budget-Summary MYP'!J13+'Budget-Summary MYP'!J14+'Budget-Summary MYP'!J15+'Budget-Summary MYP'!J16)</f>
        <v>76777.14</v>
      </c>
      <c r="K82" s="304">
        <f>IF(H82&lt;1," ",IF(J82&lt;1," ",(J82-H82)/H82))</f>
        <v>5.4129029485545842E-2</v>
      </c>
    </row>
    <row r="83" spans="1:11" ht="15">
      <c r="A83" s="67"/>
      <c r="B83" s="152"/>
      <c r="C83" s="139" t="s">
        <v>232</v>
      </c>
      <c r="D83" s="139"/>
      <c r="E83" s="139"/>
      <c r="F83" s="1490"/>
      <c r="G83" s="1512">
        <v>0</v>
      </c>
      <c r="H83" s="1512">
        <v>0</v>
      </c>
      <c r="I83" s="268" t="str">
        <f>IF(G83&lt;1," ",IF(H83&lt;1," ",(H83-G83)/G83))</f>
        <v xml:space="preserve"> </v>
      </c>
      <c r="J83" s="1512">
        <v>0</v>
      </c>
      <c r="K83" s="304" t="str">
        <f>IF(H83&lt;1," ",IF(J83&lt;1," ",(J83-H83)/H83))</f>
        <v xml:space="preserve"> </v>
      </c>
    </row>
    <row r="84" spans="1:11" ht="15">
      <c r="A84" s="67"/>
      <c r="B84" s="145"/>
      <c r="C84" s="139" t="s">
        <v>246</v>
      </c>
      <c r="D84" s="139"/>
      <c r="E84" s="139"/>
      <c r="F84" s="1490"/>
      <c r="G84" s="1512">
        <v>0</v>
      </c>
      <c r="H84" s="1512">
        <v>0</v>
      </c>
      <c r="I84" s="1513" t="str">
        <f>IF(G84&lt;1," ",IF(H84&lt;1," ",(H84-G84)/G84))</f>
        <v xml:space="preserve"> </v>
      </c>
      <c r="J84" s="1512">
        <v>0</v>
      </c>
      <c r="K84" s="596" t="str">
        <f>IF(H84&lt;1," ",IF(J84&lt;1," ",(J84-H84)/H84))</f>
        <v xml:space="preserve"> </v>
      </c>
    </row>
    <row r="85" spans="1:11" ht="15">
      <c r="A85" s="280"/>
      <c r="B85" s="329"/>
      <c r="C85" s="329"/>
      <c r="D85" s="329"/>
      <c r="E85" s="329"/>
      <c r="F85" s="656"/>
      <c r="G85" s="657"/>
      <c r="H85" s="658"/>
      <c r="I85" s="489"/>
      <c r="J85" s="659"/>
      <c r="K85" s="660"/>
    </row>
    <row r="86" spans="1:11" ht="15">
      <c r="A86" s="675" t="s">
        <v>339</v>
      </c>
      <c r="C86" s="153"/>
      <c r="D86" s="153"/>
      <c r="E86" s="153"/>
      <c r="F86" s="150"/>
      <c r="G86" s="669"/>
      <c r="H86" s="669"/>
      <c r="I86" s="670"/>
      <c r="J86" s="669"/>
      <c r="K86" s="671"/>
    </row>
    <row r="87" spans="1:11" ht="15.4">
      <c r="A87" s="283"/>
      <c r="B87" s="1714"/>
      <c r="C87" s="1714"/>
      <c r="D87" s="1714"/>
      <c r="E87" s="1714"/>
      <c r="F87" s="1714"/>
      <c r="G87" s="1512"/>
      <c r="H87" s="1512"/>
      <c r="I87" s="1513" t="str">
        <f t="shared" ref="I87:I94" si="4">IF(G87&lt;1," ",IF(H87&lt;1," ",(H87-G87)/G87))</f>
        <v xml:space="preserve"> </v>
      </c>
      <c r="J87" s="1512"/>
      <c r="K87" s="596" t="str">
        <f t="shared" ref="K87:K94" si="5">IF(H87&lt;1," ",IF(J87&lt;1," ",(J87-H87)/H87))</f>
        <v xml:space="preserve"> </v>
      </c>
    </row>
    <row r="88" spans="1:11" ht="15.4">
      <c r="A88" s="283"/>
      <c r="B88" s="1714"/>
      <c r="C88" s="1714"/>
      <c r="D88" s="1714"/>
      <c r="E88" s="1714"/>
      <c r="F88" s="1714"/>
      <c r="G88" s="1512"/>
      <c r="H88" s="1512"/>
      <c r="I88" s="483" t="str">
        <f t="shared" si="4"/>
        <v xml:space="preserve"> </v>
      </c>
      <c r="J88" s="1512"/>
      <c r="K88" s="482" t="str">
        <f t="shared" si="5"/>
        <v xml:space="preserve"> </v>
      </c>
    </row>
    <row r="89" spans="1:11" ht="15.4">
      <c r="A89" s="283"/>
      <c r="B89" s="1714"/>
      <c r="C89" s="1714"/>
      <c r="D89" s="1714"/>
      <c r="E89" s="1714"/>
      <c r="F89" s="1714"/>
      <c r="G89" s="1512"/>
      <c r="H89" s="1512"/>
      <c r="I89" s="483" t="str">
        <f t="shared" si="4"/>
        <v xml:space="preserve"> </v>
      </c>
      <c r="J89" s="1512"/>
      <c r="K89" s="482" t="str">
        <f t="shared" si="5"/>
        <v xml:space="preserve"> </v>
      </c>
    </row>
    <row r="90" spans="1:11" ht="15.4">
      <c r="A90" s="283"/>
      <c r="B90" s="1714"/>
      <c r="C90" s="1714"/>
      <c r="D90" s="1714"/>
      <c r="E90" s="1714"/>
      <c r="F90" s="1714"/>
      <c r="G90" s="1512"/>
      <c r="H90" s="1512"/>
      <c r="I90" s="483" t="str">
        <f t="shared" si="4"/>
        <v xml:space="preserve"> </v>
      </c>
      <c r="J90" s="1512"/>
      <c r="K90" s="482" t="str">
        <f t="shared" si="5"/>
        <v xml:space="preserve"> </v>
      </c>
    </row>
    <row r="91" spans="1:11" ht="15.4">
      <c r="A91" s="283"/>
      <c r="B91" s="1714"/>
      <c r="C91" s="1714"/>
      <c r="D91" s="1714"/>
      <c r="E91" s="1714"/>
      <c r="F91" s="1714"/>
      <c r="G91" s="1512"/>
      <c r="H91" s="1512"/>
      <c r="I91" s="483" t="str">
        <f t="shared" si="4"/>
        <v xml:space="preserve"> </v>
      </c>
      <c r="J91" s="1512"/>
      <c r="K91" s="482" t="str">
        <f t="shared" si="5"/>
        <v xml:space="preserve"> </v>
      </c>
    </row>
    <row r="92" spans="1:11" ht="15.4">
      <c r="A92" s="283"/>
      <c r="B92" s="1714"/>
      <c r="C92" s="1714"/>
      <c r="D92" s="1714"/>
      <c r="E92" s="1714"/>
      <c r="F92" s="1714"/>
      <c r="G92" s="1512"/>
      <c r="H92" s="1512"/>
      <c r="I92" s="483" t="str">
        <f t="shared" si="4"/>
        <v xml:space="preserve"> </v>
      </c>
      <c r="J92" s="1512"/>
      <c r="K92" s="482" t="str">
        <f t="shared" si="5"/>
        <v xml:space="preserve"> </v>
      </c>
    </row>
    <row r="93" spans="1:11" ht="15.4">
      <c r="A93" s="283"/>
      <c r="B93" s="1714"/>
      <c r="C93" s="1714"/>
      <c r="D93" s="1714"/>
      <c r="E93" s="1714"/>
      <c r="F93" s="1714"/>
      <c r="G93" s="1514"/>
      <c r="H93" s="1514"/>
      <c r="I93" s="483" t="str">
        <f t="shared" si="4"/>
        <v xml:space="preserve"> </v>
      </c>
      <c r="J93" s="1514"/>
      <c r="K93" s="482" t="str">
        <f t="shared" si="5"/>
        <v xml:space="preserve"> </v>
      </c>
    </row>
    <row r="94" spans="1:11" ht="15.75" thickBot="1">
      <c r="A94" s="284"/>
      <c r="B94" s="1715"/>
      <c r="C94" s="1715"/>
      <c r="D94" s="1715"/>
      <c r="E94" s="1715"/>
      <c r="F94" s="1715"/>
      <c r="G94" s="1515"/>
      <c r="H94" s="1515"/>
      <c r="I94" s="1516" t="str">
        <f t="shared" si="4"/>
        <v xml:space="preserve"> </v>
      </c>
      <c r="J94" s="1515"/>
      <c r="K94" s="1517" t="str">
        <f t="shared" si="5"/>
        <v xml:space="preserve"> </v>
      </c>
    </row>
  </sheetData>
  <sheetProtection password="D94D" sheet="1"/>
  <mergeCells count="20">
    <mergeCell ref="B63:K63"/>
    <mergeCell ref="B64:K64"/>
    <mergeCell ref="B78:K78"/>
    <mergeCell ref="B79:K79"/>
    <mergeCell ref="A4:K4"/>
    <mergeCell ref="B62:K62"/>
    <mergeCell ref="A1:F1"/>
    <mergeCell ref="A2:F2"/>
    <mergeCell ref="A3:F3"/>
    <mergeCell ref="B48:K48"/>
    <mergeCell ref="B47:K47"/>
    <mergeCell ref="B46:K46"/>
    <mergeCell ref="B93:F93"/>
    <mergeCell ref="B94:F94"/>
    <mergeCell ref="B87:F87"/>
    <mergeCell ref="B88:F88"/>
    <mergeCell ref="B89:F89"/>
    <mergeCell ref="B90:F90"/>
    <mergeCell ref="B91:F91"/>
    <mergeCell ref="B92:F92"/>
  </mergeCells>
  <conditionalFormatting sqref="A1:A3">
    <cfRule type="containsText" dxfId="282" priority="10" stopIfTrue="1" operator="containsText" text="Enter">
      <formula>NOT(ISERROR(SEARCH("Enter",A1)))</formula>
    </cfRule>
  </conditionalFormatting>
  <conditionalFormatting sqref="G21:H21 J21">
    <cfRule type="cellIs" dxfId="281" priority="17" stopIfTrue="1" operator="equal">
      <formula>"Cell G11 can NOT be blank"</formula>
    </cfRule>
  </conditionalFormatting>
  <conditionalFormatting sqref="G21:H21">
    <cfRule type="containsText" dxfId="280" priority="6" stopIfTrue="1" operator="containsText" text="Missing">
      <formula>NOT(ISERROR(SEARCH("Missing",G21)))</formula>
    </cfRule>
    <cfRule type="containsText" dxfId="279" priority="13" stopIfTrue="1" operator="containsText" text="Missing Data ADA Tab, cell G10">
      <formula>NOT(ISERROR(SEARCH("Missing Data ADA Tab, cell G10",G21)))</formula>
    </cfRule>
    <cfRule type="containsText" dxfId="278" priority="14" stopIfTrue="1" operator="containsText" text="Missing Data ADA Tab cell G10">
      <formula>NOT(ISERROR(SEARCH("Missing Data ADA Tab cell G10",G21)))</formula>
    </cfRule>
  </conditionalFormatting>
  <conditionalFormatting sqref="H21">
    <cfRule type="containsText" dxfId="277" priority="7" stopIfTrue="1" operator="containsText" text="Missing Data ADA Tab, cell G10">
      <formula>NOT(ISERROR(SEARCH("Missing Data ADA Tab, cell G10",H21)))</formula>
    </cfRule>
    <cfRule type="containsText" dxfId="276" priority="8" stopIfTrue="1" operator="containsText" text="Missing Data ADA Tab cell G10">
      <formula>NOT(ISERROR(SEARCH("Missing Data ADA Tab cell G10",H21)))</formula>
    </cfRule>
  </conditionalFormatting>
  <conditionalFormatting sqref="J21">
    <cfRule type="containsText" dxfId="275" priority="1" stopIfTrue="1" operator="containsText" text="Missing">
      <formula>NOT(ISERROR(SEARCH("Missing",J21)))</formula>
    </cfRule>
    <cfRule type="containsText" dxfId="274" priority="2" stopIfTrue="1" operator="containsText" text="Missing Data ADA Tab, cell G10">
      <formula>NOT(ISERROR(SEARCH("Missing Data ADA Tab, cell G10",J21)))</formula>
    </cfRule>
    <cfRule type="containsText" dxfId="273" priority="3" stopIfTrue="1" operator="containsText" text="Missing Data ADA Tab cell G10">
      <formula>NOT(ISERROR(SEARCH("Missing Data ADA Tab cell G10",J21)))</formula>
    </cfRule>
    <cfRule type="containsText" dxfId="272" priority="4" stopIfTrue="1" operator="containsText" text="Missing Data ADA Tab, cell G10">
      <formula>NOT(ISERROR(SEARCH("Missing Data ADA Tab, cell G10",J21)))</formula>
    </cfRule>
    <cfRule type="containsText" dxfId="271" priority="5" stopIfTrue="1" operator="containsText" text="Missing Data ADA Tab cell G10">
      <formula>NOT(ISERROR(SEARCH("Missing Data ADA Tab cell G10",J21)))</formula>
    </cfRule>
    <cfRule type="containsText" dxfId="270" priority="11" stopIfTrue="1" operator="containsText" text="Missing Data ADA Tab, cell G10">
      <formula>NOT(ISERROR(SEARCH("Missing Data ADA Tab, cell G10",J21)))</formula>
    </cfRule>
    <cfRule type="containsText" dxfId="269" priority="12" stopIfTrue="1" operator="containsText" text="Missing Data ADA Tab cell G10">
      <formula>NOT(ISERROR(SEARCH("Missing Data ADA Tab cell G10",J21)))</formula>
    </cfRule>
  </conditionalFormatting>
  <pageMargins left="0.7" right="0.7" top="0.75" bottom="0.75" header="0.3" footer="0.3"/>
  <pageSetup scale="56" fitToHeight="0" orientation="portrait" r:id="rId1"/>
  <headerFooter>
    <oddFooter>Page &amp;P of &amp;N</oddFooter>
  </headerFooter>
  <rowBreaks count="1" manualBreakCount="1">
    <brk id="6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theme="6" tint="-0.249977111117893"/>
    <pageSetUpPr autoPageBreaks="0"/>
  </sheetPr>
  <dimension ref="A1:L240"/>
  <sheetViews>
    <sheetView showGridLines="0" zoomScaleNormal="100" zoomScaleSheetLayoutView="100" workbookViewId="0">
      <pane ySplit="10" topLeftCell="A18" activePane="bottomLeft" state="frozen"/>
      <selection pane="bottomLeft" activeCell="E36" sqref="E36"/>
    </sheetView>
  </sheetViews>
  <sheetFormatPr defaultRowHeight="12.75"/>
  <cols>
    <col min="1" max="1" width="5.46484375" customWidth="1"/>
    <col min="2" max="2" width="3" customWidth="1"/>
    <col min="3" max="3" width="85.1328125" customWidth="1"/>
    <col min="4" max="4" width="11" customWidth="1"/>
    <col min="5" max="6" width="14.53125" customWidth="1"/>
    <col min="7" max="7" width="10.53125" customWidth="1"/>
    <col min="8" max="8" width="14.53125" customWidth="1"/>
    <col min="9" max="9" width="10.53125" customWidth="1"/>
    <col min="10" max="10" width="14.53125" customWidth="1"/>
    <col min="11" max="11" width="10.53125" customWidth="1"/>
    <col min="12" max="12" width="75.46484375" style="1177" customWidth="1"/>
    <col min="13" max="35" width="9.1328125" customWidth="1"/>
  </cols>
  <sheetData>
    <row r="1" spans="1:11" ht="15">
      <c r="A1" s="1664" t="str">
        <f>IF('BUDGET-CERTIFICATION'!$H$1="","CHARTER NAME: Enter Charter Name on BUDGET-CERTIFICATION Worksheet",(CONCATENATE("CHARTER NAME: ",'BUDGET-CERTIFICATION'!$H$1)))</f>
        <v>CHARTER NAME: Encor Jr./Sr. High School for the Performing and Visual Arts</v>
      </c>
      <c r="B1" s="1664"/>
      <c r="C1" s="1664"/>
      <c r="D1" s="1664"/>
      <c r="E1" s="12"/>
      <c r="F1" s="12"/>
      <c r="G1" s="156"/>
      <c r="H1" s="12"/>
      <c r="I1" s="155"/>
      <c r="J1" s="1"/>
      <c r="K1" s="157"/>
    </row>
    <row r="2" spans="1:11" ht="15">
      <c r="A2" s="1664" t="str">
        <f>IF('BUDGET-CERTIFICATION'!$H$2="","CDS #: Enter Charter CDS # on BUDGET-CERTIFICATION Worksheet",(_xlfn.CONCAT("CDS #: ",'BUDGET-CERTIFICATION'!$H$2)))</f>
        <v>CDS #: 35-75044-01166707</v>
      </c>
      <c r="B2" s="1664"/>
      <c r="C2" s="1664"/>
      <c r="D2" s="1664"/>
      <c r="E2" s="12"/>
      <c r="F2" s="80"/>
      <c r="G2" s="156"/>
      <c r="H2" s="80"/>
      <c r="I2" s="156"/>
      <c r="J2" s="1"/>
      <c r="K2" s="157"/>
    </row>
    <row r="3" spans="1:11" ht="15">
      <c r="A3" s="1664" t="str">
        <f>IF('BUDGET-CERTIFICATION'!$H$5="","CHARTER #: Enter Charter # on BUDGET-CERTIFICATION Worksheet",(_xlfn.CONCAT("CHARTER #: ",'BUDGET-CERTIFICATION'!$H$5)))</f>
        <v>CHARTER #: 0971</v>
      </c>
      <c r="B3" s="1664"/>
      <c r="C3" s="1664"/>
      <c r="D3" s="1664"/>
      <c r="E3" s="12"/>
      <c r="F3" s="12"/>
      <c r="G3" s="155"/>
      <c r="H3" s="12"/>
      <c r="I3" s="155"/>
      <c r="J3" s="1"/>
      <c r="K3" s="157"/>
    </row>
    <row r="4" spans="1:11" ht="15.4">
      <c r="A4" s="2"/>
      <c r="B4" s="52"/>
      <c r="C4" s="52"/>
      <c r="D4" s="158" t="str">
        <f>'Budget-ADA'!I4</f>
        <v>Fiscal Year 2024-25 Budget</v>
      </c>
      <c r="E4" s="52"/>
      <c r="F4" s="52"/>
      <c r="G4" s="52"/>
      <c r="H4" s="52"/>
      <c r="I4" s="52"/>
      <c r="J4" s="52"/>
      <c r="K4" s="52"/>
    </row>
    <row r="5" spans="1:11" ht="15">
      <c r="A5" s="12"/>
      <c r="B5" s="12"/>
      <c r="C5" s="52"/>
      <c r="D5" s="158" t="s">
        <v>204</v>
      </c>
      <c r="E5" s="52"/>
      <c r="F5" s="52"/>
      <c r="G5" s="159"/>
      <c r="H5" s="52"/>
      <c r="I5" s="159"/>
      <c r="J5" s="1"/>
      <c r="K5" s="160"/>
    </row>
    <row r="6" spans="1:11" ht="15.4" thickBot="1">
      <c r="A6" s="1551" t="str">
        <f>Instructions!H1</f>
        <v>Form Revised (revision date here if revised)</v>
      </c>
      <c r="B6" s="12"/>
      <c r="C6" s="12"/>
      <c r="D6" s="12"/>
      <c r="E6" s="12"/>
      <c r="F6" s="12"/>
      <c r="G6" s="155"/>
      <c r="H6" s="12"/>
      <c r="I6" s="155"/>
      <c r="J6" s="1"/>
      <c r="K6" s="157"/>
    </row>
    <row r="7" spans="1:11" ht="15">
      <c r="A7" s="238"/>
      <c r="B7" s="233"/>
      <c r="C7" s="233"/>
      <c r="D7" s="295"/>
      <c r="E7" s="296"/>
      <c r="F7" s="296"/>
      <c r="G7" s="297"/>
      <c r="H7" s="296" t="s">
        <v>2</v>
      </c>
      <c r="I7" s="297"/>
      <c r="J7" s="296" t="s">
        <v>2</v>
      </c>
      <c r="K7" s="298"/>
    </row>
    <row r="8" spans="1:11" ht="15">
      <c r="A8" s="1775" t="s">
        <v>21</v>
      </c>
      <c r="B8" s="1776"/>
      <c r="C8" s="1776"/>
      <c r="D8" s="53"/>
      <c r="E8" s="14" t="s">
        <v>93</v>
      </c>
      <c r="F8" s="14" t="s">
        <v>17</v>
      </c>
      <c r="G8" s="161" t="s">
        <v>18</v>
      </c>
      <c r="H8" s="14" t="s">
        <v>19</v>
      </c>
      <c r="I8" s="161" t="s">
        <v>18</v>
      </c>
      <c r="J8" s="14" t="s">
        <v>19</v>
      </c>
      <c r="K8" s="299" t="s">
        <v>18</v>
      </c>
    </row>
    <row r="9" spans="1:11" ht="15">
      <c r="A9" s="67"/>
      <c r="B9" s="1"/>
      <c r="C9" s="1"/>
      <c r="D9" s="53"/>
      <c r="E9" s="14" t="s">
        <v>20</v>
      </c>
      <c r="F9" s="14" t="s">
        <v>16</v>
      </c>
      <c r="G9" s="161" t="s">
        <v>22</v>
      </c>
      <c r="H9" s="14" t="s">
        <v>16</v>
      </c>
      <c r="I9" s="161" t="s">
        <v>22</v>
      </c>
      <c r="J9" s="14" t="s">
        <v>16</v>
      </c>
      <c r="K9" s="299" t="s">
        <v>22</v>
      </c>
    </row>
    <row r="10" spans="1:11" ht="15.4" thickBot="1">
      <c r="A10" s="300"/>
      <c r="B10" s="162"/>
      <c r="C10" s="162"/>
      <c r="D10" s="54"/>
      <c r="E10" s="15" t="str">
        <f>'Budget-ADA'!I7</f>
        <v>2023-24</v>
      </c>
      <c r="F10" s="204" t="str">
        <f>'Budget-Assumptions'!G6</f>
        <v>2024-25</v>
      </c>
      <c r="G10" s="163"/>
      <c r="H10" s="15" t="str">
        <f>'Budget-Assumptions'!H6</f>
        <v>2025-26</v>
      </c>
      <c r="I10" s="163"/>
      <c r="J10" s="15" t="str">
        <f>'Budget-Assumptions'!J6</f>
        <v>2026-27</v>
      </c>
      <c r="K10" s="301"/>
    </row>
    <row r="11" spans="1:11" ht="15.4" thickTop="1">
      <c r="A11" s="302" t="s">
        <v>1</v>
      </c>
      <c r="B11" s="1"/>
      <c r="C11" s="1"/>
      <c r="D11" s="333"/>
      <c r="E11" s="13"/>
      <c r="F11" s="1747"/>
      <c r="G11" s="1747"/>
      <c r="H11" s="1747"/>
      <c r="I11" s="1747"/>
      <c r="J11" s="1747"/>
      <c r="K11" s="1748"/>
    </row>
    <row r="12" spans="1:11" ht="15">
      <c r="A12" s="302"/>
      <c r="B12" s="274" t="s">
        <v>303</v>
      </c>
      <c r="C12" s="145"/>
      <c r="D12" s="139"/>
      <c r="E12" s="334"/>
      <c r="F12" s="1749"/>
      <c r="G12" s="1750"/>
      <c r="H12" s="1750"/>
      <c r="I12" s="1750"/>
      <c r="J12" s="1750"/>
      <c r="K12" s="1751"/>
    </row>
    <row r="13" spans="1:11" ht="15">
      <c r="A13" s="302"/>
      <c r="B13" s="145"/>
      <c r="C13" s="276" t="s">
        <v>152</v>
      </c>
      <c r="D13" s="342">
        <v>8011</v>
      </c>
      <c r="E13" s="682">
        <v>4337624</v>
      </c>
      <c r="F13" s="687">
        <f>'Budget-Assumptions'!G11-'Budget-Unrestricted MYP'!F14-'Budget-Unrestricted MYP'!F16</f>
        <v>4666685</v>
      </c>
      <c r="G13" s="266">
        <f>IF(E13&lt;1," ",IF(F13&lt;1," ",(F13-E13)/E13))</f>
        <v>7.5862038756701819E-2</v>
      </c>
      <c r="H13" s="686">
        <f>'Budget-Assumptions'!H11-'Budget-Unrestricted MYP'!H14-'Budget-Unrestricted MYP'!H16</f>
        <v>5103996</v>
      </c>
      <c r="I13" s="266">
        <f>IF(F13&lt;1," ",IF(H13&lt;1," ",(H13-F13)/F13))</f>
        <v>9.3709131856981986E-2</v>
      </c>
      <c r="J13" s="686">
        <f>'Budget-Assumptions'!J11-'Budget-Unrestricted MYP'!J14-'Budget-Unrestricted MYP'!J16</f>
        <v>5437481</v>
      </c>
      <c r="K13" s="303">
        <f>IF(H13&lt;1," ",IF(J13&lt;1," ",(J13-H13)/H13))</f>
        <v>6.5338021424781678E-2</v>
      </c>
    </row>
    <row r="14" spans="1:11" ht="15">
      <c r="A14" s="302"/>
      <c r="B14" s="145"/>
      <c r="C14" s="276" t="s">
        <v>153</v>
      </c>
      <c r="D14" s="342">
        <v>8012</v>
      </c>
      <c r="E14" s="682">
        <v>1910851</v>
      </c>
      <c r="F14" s="683">
        <v>1916629</v>
      </c>
      <c r="G14" s="266">
        <f>IF(E14&lt;1," ",IF(F14&lt;1," ",(F14-E14)/E14))</f>
        <v>3.0237836440413198E-3</v>
      </c>
      <c r="H14" s="683">
        <v>1972785</v>
      </c>
      <c r="I14" s="266">
        <f>IF(F14&lt;1," ",IF(H14&lt;1," ",(H14-F14)/F14))</f>
        <v>2.9299358404782563E-2</v>
      </c>
      <c r="J14" s="683">
        <v>2033547</v>
      </c>
      <c r="K14" s="303">
        <f>IF(H14&lt;1," ",IF(J14&lt;1," ",(J14-H14)/H14))</f>
        <v>3.0800112531269245E-2</v>
      </c>
    </row>
    <row r="15" spans="1:11" ht="15">
      <c r="A15" s="67"/>
      <c r="B15" s="145"/>
      <c r="C15" s="276" t="s">
        <v>301</v>
      </c>
      <c r="D15" s="342">
        <v>8019</v>
      </c>
      <c r="E15" s="682">
        <v>4192</v>
      </c>
      <c r="F15" s="267"/>
      <c r="G15" s="267"/>
      <c r="H15" s="267"/>
      <c r="I15" s="267"/>
      <c r="J15" s="267"/>
      <c r="K15" s="267"/>
    </row>
    <row r="16" spans="1:11" ht="15">
      <c r="A16" s="67"/>
      <c r="B16" s="145"/>
      <c r="C16" s="276" t="s">
        <v>302</v>
      </c>
      <c r="D16" s="342">
        <v>8096</v>
      </c>
      <c r="E16" s="682">
        <v>219605</v>
      </c>
      <c r="F16" s="683">
        <v>206686</v>
      </c>
      <c r="G16" s="266">
        <f>IF(E16&lt;1," ",IF(F16&lt;1," ",(F16-E16)/E16))</f>
        <v>-5.8828350902757225E-2</v>
      </c>
      <c r="H16" s="683">
        <v>206686</v>
      </c>
      <c r="I16" s="268">
        <f>IF(F16&lt;1," ",IF(H16&lt;1," ",(H16-F16)/F16))</f>
        <v>0</v>
      </c>
      <c r="J16" s="683">
        <v>206686</v>
      </c>
      <c r="K16" s="304">
        <f>IF(H16&lt;1," ",IF(J16&lt;1," ",(J16-H16)/H16))</f>
        <v>0</v>
      </c>
    </row>
    <row r="17" spans="1:11" ht="15">
      <c r="A17" s="67"/>
      <c r="B17" s="274" t="s">
        <v>304</v>
      </c>
      <c r="C17" s="274"/>
      <c r="D17" s="342" t="s">
        <v>99</v>
      </c>
      <c r="E17" s="684">
        <f>E85</f>
        <v>0</v>
      </c>
      <c r="F17" s="685">
        <f>F85</f>
        <v>0</v>
      </c>
      <c r="G17" s="266" t="str">
        <f>IF(E17&lt;1," ",IF(F17&lt;1," ",(F17-E17)/E17))</f>
        <v xml:space="preserve"> </v>
      </c>
      <c r="H17" s="684">
        <f>H85</f>
        <v>0</v>
      </c>
      <c r="I17" s="268" t="str">
        <f>IF(F17&lt;1," ",IF(H17&lt;1," ",(H17-F17)/F17))</f>
        <v xml:space="preserve"> </v>
      </c>
      <c r="J17" s="684">
        <f>J85</f>
        <v>0</v>
      </c>
      <c r="K17" s="304" t="str">
        <f>IF(H17&lt;1," ",IF(J17&lt;1," ",(J17-H17)/H17))</f>
        <v xml:space="preserve"> </v>
      </c>
    </row>
    <row r="18" spans="1:11" ht="15">
      <c r="A18" s="67"/>
      <c r="B18" s="145" t="s">
        <v>305</v>
      </c>
      <c r="C18" s="139"/>
      <c r="D18" s="139"/>
      <c r="E18" s="335"/>
      <c r="F18" s="336"/>
      <c r="G18" s="337"/>
      <c r="H18" s="335"/>
      <c r="I18" s="337"/>
      <c r="J18" s="335"/>
      <c r="K18" s="338"/>
    </row>
    <row r="19" spans="1:11" ht="15">
      <c r="A19" s="67"/>
      <c r="B19" s="145"/>
      <c r="C19" s="276" t="s">
        <v>306</v>
      </c>
      <c r="D19" s="342">
        <v>8560</v>
      </c>
      <c r="E19" s="688">
        <v>93235</v>
      </c>
      <c r="F19" s="685">
        <f>F88</f>
        <v>92527.144709999993</v>
      </c>
      <c r="G19" s="266">
        <f>IF(E19&lt;1," ",IF(F19&lt;1," ",(F19-E19)/E19))</f>
        <v>-7.5921627071379501E-3</v>
      </c>
      <c r="H19" s="744">
        <f>H88</f>
        <v>92527.144709999993</v>
      </c>
      <c r="I19" s="268">
        <f>IF(F19&lt;1," ",IF(H19&lt;1," ",(H19-F19)/F19))</f>
        <v>0</v>
      </c>
      <c r="J19" s="684">
        <f>J88</f>
        <v>92527.144709999993</v>
      </c>
      <c r="K19" s="304">
        <f>IF(H19&lt;1," ",IF(J19&lt;1," ",(J19-H19)/H19))</f>
        <v>0</v>
      </c>
    </row>
    <row r="20" spans="1:11" ht="15">
      <c r="A20" s="67"/>
      <c r="B20" s="462"/>
      <c r="C20" s="463" t="s">
        <v>307</v>
      </c>
      <c r="D20" s="464">
        <v>8560</v>
      </c>
      <c r="E20" s="271"/>
      <c r="F20" s="269"/>
      <c r="G20" s="270"/>
      <c r="H20" s="271"/>
      <c r="I20" s="270"/>
      <c r="J20" s="267"/>
      <c r="K20" s="305"/>
    </row>
    <row r="21" spans="1:11" ht="15">
      <c r="A21" s="67"/>
      <c r="B21" s="145"/>
      <c r="C21" s="276" t="s">
        <v>308</v>
      </c>
      <c r="D21" s="342" t="s">
        <v>100</v>
      </c>
      <c r="E21" s="684">
        <f>E109</f>
        <v>21254</v>
      </c>
      <c r="F21" s="685">
        <f>F109</f>
        <v>21254</v>
      </c>
      <c r="G21" s="266">
        <f>IF(E21&lt;1," ",IF(F21&lt;1," ",(F21-E21)/E21))</f>
        <v>0</v>
      </c>
      <c r="H21" s="684">
        <f>H109</f>
        <v>21411</v>
      </c>
      <c r="I21" s="268">
        <f>IF(F21&lt;1," ",IF(H21&lt;1," ",(H21-F21)/F21))</f>
        <v>7.3868448292086194E-3</v>
      </c>
      <c r="J21" s="684">
        <f>J109</f>
        <v>21411</v>
      </c>
      <c r="K21" s="304">
        <f>IF(H21&lt;1," ",IF(J21&lt;1," ",(J21-H21)/H21))</f>
        <v>0</v>
      </c>
    </row>
    <row r="22" spans="1:11" ht="15">
      <c r="A22" s="67"/>
      <c r="B22" s="145" t="s">
        <v>309</v>
      </c>
      <c r="C22" s="139"/>
      <c r="D22" s="139"/>
      <c r="E22" s="335"/>
      <c r="F22" s="336"/>
      <c r="G22" s="337"/>
      <c r="H22" s="335"/>
      <c r="I22" s="337"/>
      <c r="J22" s="335"/>
      <c r="K22" s="338"/>
    </row>
    <row r="23" spans="1:11" ht="15">
      <c r="A23" s="67"/>
      <c r="B23" s="145"/>
      <c r="C23" s="276" t="s">
        <v>236</v>
      </c>
      <c r="D23" s="342">
        <v>8660</v>
      </c>
      <c r="E23" s="688">
        <v>0</v>
      </c>
      <c r="F23" s="683">
        <v>0</v>
      </c>
      <c r="G23" s="266" t="str">
        <f>IF(E23&lt;1," ",IF(F23&lt;1," ",(F23-E23)/E23))</f>
        <v xml:space="preserve"> </v>
      </c>
      <c r="H23" s="688">
        <v>0</v>
      </c>
      <c r="I23" s="268" t="str">
        <f>IF(F23&lt;1," ",IF(H23&lt;1," ",(H23-F23)/F23))</f>
        <v xml:space="preserve"> </v>
      </c>
      <c r="J23" s="688">
        <v>0</v>
      </c>
      <c r="K23" s="304" t="str">
        <f>IF(H23&lt;1," ",IF(J23&lt;1," ",(J23-H23)/H23))</f>
        <v xml:space="preserve"> </v>
      </c>
    </row>
    <row r="24" spans="1:11" ht="15">
      <c r="A24" s="67"/>
      <c r="B24" s="462"/>
      <c r="C24" s="463" t="s">
        <v>310</v>
      </c>
      <c r="D24" s="464">
        <v>8792</v>
      </c>
      <c r="E24" s="689"/>
      <c r="F24" s="689"/>
      <c r="G24" s="270"/>
      <c r="H24" s="689"/>
      <c r="I24" s="270"/>
      <c r="J24" s="689"/>
      <c r="K24" s="305"/>
    </row>
    <row r="25" spans="1:11" ht="15.4" thickBot="1">
      <c r="A25" s="67"/>
      <c r="B25" s="883"/>
      <c r="C25" s="916" t="s">
        <v>311</v>
      </c>
      <c r="D25" s="917" t="s">
        <v>101</v>
      </c>
      <c r="E25" s="691">
        <f>E118</f>
        <v>180000</v>
      </c>
      <c r="F25" s="690">
        <f>F118</f>
        <v>160000</v>
      </c>
      <c r="G25" s="293">
        <f>IF(E25&lt;1," ",IF(F25&lt;1," ",(F25-E25)/E25))</f>
        <v>-0.1111111111111111</v>
      </c>
      <c r="H25" s="691">
        <f>H118</f>
        <v>160000</v>
      </c>
      <c r="I25" s="294">
        <f>IF(F25&lt;1," ",IF(H25&lt;1," ",(H25-F25)/F25))</f>
        <v>0</v>
      </c>
      <c r="J25" s="691">
        <f>J118</f>
        <v>160000</v>
      </c>
      <c r="K25" s="910">
        <f>IF(H25&lt;1," ",IF(J25&lt;1," ",(J25-H25)/H25))</f>
        <v>0</v>
      </c>
    </row>
    <row r="26" spans="1:11" ht="15.75" thickTop="1" thickBot="1">
      <c r="A26" s="67"/>
      <c r="B26" s="1761" t="s">
        <v>312</v>
      </c>
      <c r="C26" s="1762"/>
      <c r="D26" s="1763"/>
      <c r="E26" s="884">
        <f>SUM(E13:E25)</f>
        <v>6766761</v>
      </c>
      <c r="F26" s="884">
        <f>SUM(F13:F25)</f>
        <v>7063781.1447099997</v>
      </c>
      <c r="G26" s="885">
        <f>IF(E26&lt;1," ",IF(F26&lt;1," ",(F26-E26)/E26))</f>
        <v>4.3893990745350643E-2</v>
      </c>
      <c r="H26" s="884">
        <f>SUM(H13:H25)</f>
        <v>7557405.1447099997</v>
      </c>
      <c r="I26" s="885">
        <f>IF(F26&lt;1," ",IF(H26&lt;1," ",(H26-F26)/F26))</f>
        <v>6.9880987234389402E-2</v>
      </c>
      <c r="J26" s="884">
        <f>SUM(J13:J25)</f>
        <v>7951652.1447099997</v>
      </c>
      <c r="K26" s="886">
        <f>IF(H26&lt;1," ",IF(J26&lt;1," ",(J26-H26)/H26))</f>
        <v>5.2166979598276972E-2</v>
      </c>
    </row>
    <row r="27" spans="1:11" ht="15.4" thickTop="1">
      <c r="A27" s="67"/>
      <c r="B27" s="1"/>
      <c r="C27" s="1"/>
      <c r="D27" s="1"/>
      <c r="E27" s="265"/>
      <c r="F27" s="1734"/>
      <c r="G27" s="1734"/>
      <c r="H27" s="1734"/>
      <c r="I27" s="1734"/>
      <c r="J27" s="1734"/>
      <c r="K27" s="1735"/>
    </row>
    <row r="28" spans="1:11" ht="15">
      <c r="A28" s="1736" t="s">
        <v>3</v>
      </c>
      <c r="B28" s="1737"/>
      <c r="C28" s="1737"/>
      <c r="D28" s="153"/>
      <c r="E28" s="265"/>
      <c r="F28" s="1734"/>
      <c r="G28" s="1734"/>
      <c r="H28" s="1734"/>
      <c r="I28" s="1734"/>
      <c r="J28" s="1734"/>
      <c r="K28" s="1735"/>
    </row>
    <row r="29" spans="1:11" ht="15">
      <c r="A29" s="67"/>
      <c r="B29" s="274" t="s">
        <v>4</v>
      </c>
      <c r="C29" s="274"/>
      <c r="D29" s="275" t="s">
        <v>102</v>
      </c>
      <c r="E29" s="682">
        <v>1035762</v>
      </c>
      <c r="F29" s="692">
        <v>2029977</v>
      </c>
      <c r="G29" s="268">
        <f t="shared" ref="G29:G38" si="0">IF(E29&lt;1," ",IF(F29&lt;1," ",(F29-E29)/E29))</f>
        <v>0.95988750311364968</v>
      </c>
      <c r="H29" s="693">
        <v>2244681</v>
      </c>
      <c r="I29" s="268">
        <f t="shared" ref="I29:I38" si="1">IF(F29&lt;1," ",IF(H29&lt;1," ",(H29-F29)/F29))</f>
        <v>0.10576671558347706</v>
      </c>
      <c r="J29" s="693">
        <v>2309803</v>
      </c>
      <c r="K29" s="304">
        <f t="shared" ref="K29:K38" si="2">IF(H29&lt;1," ",IF(J29&lt;1," ",(J29-H29)/H29))</f>
        <v>2.9011694757517883E-2</v>
      </c>
    </row>
    <row r="30" spans="1:11" ht="15">
      <c r="A30" s="67"/>
      <c r="B30" s="274" t="s">
        <v>23</v>
      </c>
      <c r="C30" s="274"/>
      <c r="D30" s="275" t="s">
        <v>103</v>
      </c>
      <c r="E30" s="682">
        <v>1228331</v>
      </c>
      <c r="F30" s="692">
        <v>1057248</v>
      </c>
      <c r="G30" s="268">
        <f t="shared" si="0"/>
        <v>-0.13928086159186734</v>
      </c>
      <c r="H30" s="693">
        <v>1055531</v>
      </c>
      <c r="I30" s="268">
        <f t="shared" si="1"/>
        <v>-1.6240276642755531E-3</v>
      </c>
      <c r="J30" s="693">
        <v>1087182</v>
      </c>
      <c r="K30" s="304">
        <f t="shared" si="2"/>
        <v>2.9985855460427025E-2</v>
      </c>
    </row>
    <row r="31" spans="1:11" ht="15">
      <c r="A31" s="67"/>
      <c r="B31" s="274" t="s">
        <v>24</v>
      </c>
      <c r="C31" s="274"/>
      <c r="D31" s="275" t="s">
        <v>104</v>
      </c>
      <c r="E31" s="682">
        <v>1451838</v>
      </c>
      <c r="F31" s="692">
        <v>1182999</v>
      </c>
      <c r="G31" s="268">
        <f t="shared" si="0"/>
        <v>-0.18517148607489264</v>
      </c>
      <c r="H31" s="693">
        <v>1218505</v>
      </c>
      <c r="I31" s="268">
        <f t="shared" si="1"/>
        <v>3.0013550307312179E-2</v>
      </c>
      <c r="J31" s="693">
        <v>1279012</v>
      </c>
      <c r="K31" s="304">
        <f t="shared" si="2"/>
        <v>4.9656751511072995E-2</v>
      </c>
    </row>
    <row r="32" spans="1:11" ht="15">
      <c r="A32" s="67"/>
      <c r="B32" s="274" t="s">
        <v>25</v>
      </c>
      <c r="C32" s="274"/>
      <c r="D32" s="275" t="s">
        <v>105</v>
      </c>
      <c r="E32" s="682">
        <v>264439</v>
      </c>
      <c r="F32" s="692">
        <v>299341</v>
      </c>
      <c r="G32" s="268">
        <f t="shared" si="0"/>
        <v>0.13198507028085874</v>
      </c>
      <c r="H32" s="693">
        <v>308323</v>
      </c>
      <c r="I32" s="268">
        <f t="shared" si="1"/>
        <v>3.0005912988865541E-2</v>
      </c>
      <c r="J32" s="693">
        <v>317573</v>
      </c>
      <c r="K32" s="304">
        <f t="shared" si="2"/>
        <v>3.0001005439101204E-2</v>
      </c>
    </row>
    <row r="33" spans="1:12" ht="15">
      <c r="A33" s="67"/>
      <c r="B33" s="274" t="s">
        <v>26</v>
      </c>
      <c r="C33" s="274"/>
      <c r="D33" s="275" t="s">
        <v>106</v>
      </c>
      <c r="E33" s="682">
        <v>3100448</v>
      </c>
      <c r="F33" s="692">
        <v>2991827</v>
      </c>
      <c r="G33" s="268">
        <f t="shared" si="0"/>
        <v>-3.5033969284438894E-2</v>
      </c>
      <c r="H33" s="693">
        <v>2960338</v>
      </c>
      <c r="I33" s="268">
        <f t="shared" si="1"/>
        <v>-1.0525006960629742E-2</v>
      </c>
      <c r="J33" s="693">
        <v>3001824</v>
      </c>
      <c r="K33" s="304">
        <f t="shared" si="2"/>
        <v>1.4013940300060332E-2</v>
      </c>
    </row>
    <row r="34" spans="1:12" ht="15">
      <c r="A34" s="67"/>
      <c r="B34" s="274" t="s">
        <v>508</v>
      </c>
      <c r="C34" s="274"/>
      <c r="D34" s="275" t="s">
        <v>107</v>
      </c>
      <c r="E34" s="682">
        <v>0</v>
      </c>
      <c r="F34" s="692">
        <v>0</v>
      </c>
      <c r="G34" s="268" t="str">
        <f t="shared" si="0"/>
        <v xml:space="preserve"> </v>
      </c>
      <c r="H34" s="693">
        <v>0</v>
      </c>
      <c r="I34" s="268" t="str">
        <f t="shared" si="1"/>
        <v xml:space="preserve"> </v>
      </c>
      <c r="J34" s="693">
        <v>0</v>
      </c>
      <c r="K34" s="304" t="str">
        <f t="shared" si="2"/>
        <v xml:space="preserve"> </v>
      </c>
    </row>
    <row r="35" spans="1:12" ht="15">
      <c r="A35" s="67"/>
      <c r="B35" s="274" t="s">
        <v>507</v>
      </c>
      <c r="C35" s="274"/>
      <c r="D35" s="275">
        <v>6900</v>
      </c>
      <c r="E35" s="682">
        <v>0</v>
      </c>
      <c r="F35" s="692">
        <v>0</v>
      </c>
      <c r="G35" s="268" t="str">
        <f t="shared" ref="G35" si="3">IF(E35&lt;1," ",IF(F35&lt;1," ",(F35-E35)/E35))</f>
        <v xml:space="preserve"> </v>
      </c>
      <c r="H35" s="693">
        <v>0</v>
      </c>
      <c r="I35" s="268" t="str">
        <f t="shared" ref="I35" si="4">IF(F35&lt;1," ",IF(H35&lt;1," ",(H35-F35)/F35))</f>
        <v xml:space="preserve"> </v>
      </c>
      <c r="J35" s="693">
        <v>0</v>
      </c>
      <c r="K35" s="304" t="str">
        <f t="shared" ref="K35" si="5">IF(H35&lt;1," ",IF(J35&lt;1," ",(J35-H35)/H35))</f>
        <v xml:space="preserve"> </v>
      </c>
    </row>
    <row r="36" spans="1:12" ht="15">
      <c r="A36" s="67"/>
      <c r="B36" s="274" t="s">
        <v>27</v>
      </c>
      <c r="C36" s="274"/>
      <c r="D36" s="275" t="s">
        <v>108</v>
      </c>
      <c r="E36" s="682">
        <v>0</v>
      </c>
      <c r="F36" s="692">
        <v>0</v>
      </c>
      <c r="G36" s="268" t="str">
        <f t="shared" si="0"/>
        <v xml:space="preserve"> </v>
      </c>
      <c r="H36" s="693">
        <v>0</v>
      </c>
      <c r="I36" s="268" t="str">
        <f t="shared" si="1"/>
        <v xml:space="preserve"> </v>
      </c>
      <c r="J36" s="693">
        <v>0</v>
      </c>
      <c r="K36" s="304" t="str">
        <f t="shared" si="2"/>
        <v xml:space="preserve"> </v>
      </c>
    </row>
    <row r="37" spans="1:12" ht="15.4" thickBot="1">
      <c r="A37" s="67"/>
      <c r="B37" s="906" t="s">
        <v>146</v>
      </c>
      <c r="C37" s="906"/>
      <c r="D37" s="617" t="s">
        <v>111</v>
      </c>
      <c r="E37" s="907">
        <v>0</v>
      </c>
      <c r="F37" s="908">
        <v>0</v>
      </c>
      <c r="G37" s="294" t="str">
        <f t="shared" si="0"/>
        <v xml:space="preserve"> </v>
      </c>
      <c r="H37" s="909">
        <v>0</v>
      </c>
      <c r="I37" s="294" t="str">
        <f t="shared" si="1"/>
        <v xml:space="preserve"> </v>
      </c>
      <c r="J37" s="909">
        <v>0</v>
      </c>
      <c r="K37" s="910" t="str">
        <f t="shared" si="2"/>
        <v xml:space="preserve"> </v>
      </c>
    </row>
    <row r="38" spans="1:12" ht="15.75" thickTop="1" thickBot="1">
      <c r="A38" s="67"/>
      <c r="B38" s="1761" t="s">
        <v>28</v>
      </c>
      <c r="C38" s="1762"/>
      <c r="D38" s="1763"/>
      <c r="E38" s="884">
        <f>SUM(E29:E37)</f>
        <v>7080818</v>
      </c>
      <c r="F38" s="884">
        <f>SUM(F29:F37)</f>
        <v>7561392</v>
      </c>
      <c r="G38" s="885">
        <f t="shared" si="0"/>
        <v>6.7869842156654786E-2</v>
      </c>
      <c r="H38" s="884">
        <f>SUM(H29:H37)</f>
        <v>7787378</v>
      </c>
      <c r="I38" s="885">
        <f t="shared" si="1"/>
        <v>2.9886825071362522E-2</v>
      </c>
      <c r="J38" s="884">
        <f>SUM(J29:J37)</f>
        <v>7995394</v>
      </c>
      <c r="K38" s="886">
        <f t="shared" si="2"/>
        <v>2.6711943352435184E-2</v>
      </c>
    </row>
    <row r="39" spans="1:12" ht="15.75" thickTop="1" thickBot="1">
      <c r="A39" s="67"/>
      <c r="B39" s="1"/>
      <c r="C39" s="911"/>
      <c r="D39" s="544"/>
      <c r="E39" s="273"/>
      <c r="F39" s="1745"/>
      <c r="G39" s="1745"/>
      <c r="H39" s="1745"/>
      <c r="I39" s="1745"/>
      <c r="J39" s="1745"/>
      <c r="K39" s="1746"/>
    </row>
    <row r="40" spans="1:12" ht="15.75" thickTop="1" thickBot="1">
      <c r="A40" s="1758" t="s">
        <v>205</v>
      </c>
      <c r="B40" s="1759"/>
      <c r="C40" s="1759"/>
      <c r="D40" s="1760"/>
      <c r="E40" s="901">
        <f>SUM(E26-E38)</f>
        <v>-314057</v>
      </c>
      <c r="F40" s="901">
        <f>(F26-F38)</f>
        <v>-497610.85529000033</v>
      </c>
      <c r="G40" s="902" t="str">
        <f>IF(E40&lt;1," ",IF(F40&lt;1," ",(F40-E40)/E40))</f>
        <v xml:space="preserve"> </v>
      </c>
      <c r="H40" s="901">
        <f>SUM(H26-H38)</f>
        <v>-229972.85529000033</v>
      </c>
      <c r="I40" s="902" t="str">
        <f>IF(F40&lt;1," ",IF(H40&lt;1," ",(H40-F40)/F40))</f>
        <v xml:space="preserve"> </v>
      </c>
      <c r="J40" s="901">
        <f>SUM(J26-J38)</f>
        <v>-43741.855290000327</v>
      </c>
      <c r="K40" s="903" t="str">
        <f>IF(H40&lt;1," ",IF(J40&lt;1," ",(J40-H40)/H40))</f>
        <v xml:space="preserve"> </v>
      </c>
    </row>
    <row r="41" spans="1:12" ht="15.4" thickTop="1">
      <c r="A41" s="67"/>
      <c r="B41" s="1"/>
      <c r="C41" s="339"/>
      <c r="D41" s="340"/>
      <c r="E41" s="82"/>
      <c r="F41" s="1752"/>
      <c r="G41" s="1752"/>
      <c r="H41" s="1752"/>
      <c r="I41" s="1752"/>
      <c r="J41" s="1752"/>
      <c r="K41" s="1753"/>
    </row>
    <row r="42" spans="1:12" ht="15">
      <c r="A42" s="302" t="s">
        <v>29</v>
      </c>
      <c r="B42" s="1"/>
      <c r="C42" s="153"/>
      <c r="D42" s="341"/>
      <c r="E42" s="81"/>
      <c r="F42" s="1754"/>
      <c r="G42" s="1754"/>
      <c r="H42" s="1754"/>
      <c r="I42" s="1754"/>
      <c r="J42" s="1754"/>
      <c r="K42" s="1755"/>
    </row>
    <row r="43" spans="1:12" ht="15">
      <c r="A43" s="67"/>
      <c r="B43" s="145" t="s">
        <v>124</v>
      </c>
      <c r="C43" s="139"/>
      <c r="D43" s="306">
        <v>8900</v>
      </c>
      <c r="E43" s="694">
        <v>-254319.95</v>
      </c>
      <c r="F43" s="695">
        <v>-134189</v>
      </c>
      <c r="G43" s="31" t="str">
        <f>IF(E43&lt;1," ",IF(F43&lt;1," ",(F43-E43)/E43))</f>
        <v xml:space="preserve"> </v>
      </c>
      <c r="H43" s="695">
        <v>0</v>
      </c>
      <c r="I43" s="31" t="str">
        <f>IF(F43&lt;1," ",IF(H43&lt;1," ",(H43-F43)/F43))</f>
        <v xml:space="preserve"> </v>
      </c>
      <c r="J43" s="695">
        <v>0</v>
      </c>
      <c r="K43" s="307" t="str">
        <f>IF(H43&lt;1," ",IF(J43&lt;1," ",(J43-H43)/H43))</f>
        <v xml:space="preserve"> </v>
      </c>
      <c r="L43" s="1197"/>
    </row>
    <row r="44" spans="1:12" ht="15.4" thickBot="1">
      <c r="A44" s="67"/>
      <c r="B44" s="883" t="s">
        <v>30</v>
      </c>
      <c r="C44" s="151"/>
      <c r="D44" s="912">
        <v>7600</v>
      </c>
      <c r="E44" s="696">
        <v>0</v>
      </c>
      <c r="F44" s="697">
        <v>0</v>
      </c>
      <c r="G44" s="94" t="str">
        <f>IF(E44&lt;1," ",IF(F44&lt;1," ",(F44-E44)/E44))</f>
        <v xml:space="preserve"> </v>
      </c>
      <c r="H44" s="697">
        <v>0</v>
      </c>
      <c r="I44" s="94" t="str">
        <f>IF(F44&lt;1," ",IF(H44&lt;1," ",(H44-F44)/F44))</f>
        <v xml:space="preserve"> </v>
      </c>
      <c r="J44" s="697">
        <v>0</v>
      </c>
      <c r="K44" s="308" t="str">
        <f>IF(H44&lt;1," ",IF(J44&lt;1," ",(J44-H44)/H44))</f>
        <v xml:space="preserve"> </v>
      </c>
    </row>
    <row r="45" spans="1:12" ht="15.75" thickTop="1" thickBot="1">
      <c r="A45" s="67"/>
      <c r="B45" s="1761" t="s">
        <v>31</v>
      </c>
      <c r="C45" s="1762"/>
      <c r="D45" s="1763"/>
      <c r="E45" s="884">
        <f>E43-E44</f>
        <v>-254319.95</v>
      </c>
      <c r="F45" s="884">
        <f>F43-F44</f>
        <v>-134189</v>
      </c>
      <c r="G45" s="885" t="str">
        <f>IF(E45&lt;1," ",IF(F45&lt;1," ",(F45-E45)/E45))</f>
        <v xml:space="preserve"> </v>
      </c>
      <c r="H45" s="884">
        <f>H43-H44</f>
        <v>0</v>
      </c>
      <c r="I45" s="885" t="str">
        <f>IF(F45&lt;1," ",IF(H45&lt;1," ",(H45-F45)/F45))</f>
        <v xml:space="preserve"> </v>
      </c>
      <c r="J45" s="884">
        <f>J43-J44</f>
        <v>0</v>
      </c>
      <c r="K45" s="886" t="str">
        <f>IF(H45&lt;1," ",IF(J45&lt;1," ",(J45-H45)/H45))</f>
        <v xml:space="preserve"> </v>
      </c>
    </row>
    <row r="46" spans="1:12" ht="15.75" thickTop="1" thickBot="1">
      <c r="A46" s="67"/>
      <c r="B46" s="1"/>
      <c r="C46" s="1"/>
      <c r="D46" s="544"/>
      <c r="E46" s="265"/>
      <c r="F46" s="265"/>
      <c r="G46" s="51"/>
      <c r="H46" s="265"/>
      <c r="I46" s="51"/>
      <c r="J46" s="265"/>
      <c r="K46" s="309"/>
    </row>
    <row r="47" spans="1:12" ht="15.75" thickTop="1" thickBot="1">
      <c r="A47" s="899" t="s">
        <v>32</v>
      </c>
      <c r="B47" s="900"/>
      <c r="C47" s="904"/>
      <c r="D47" s="905"/>
      <c r="E47" s="901">
        <f>E40+E45</f>
        <v>-568376.94999999995</v>
      </c>
      <c r="F47" s="901">
        <f>F40+F45</f>
        <v>-631799.85529000033</v>
      </c>
      <c r="G47" s="902" t="str">
        <f>IF(E47&lt;1," ",IF(F47&lt;1," ",(F47-E47)/E47))</f>
        <v xml:space="preserve"> </v>
      </c>
      <c r="H47" s="901">
        <f>H40+H45</f>
        <v>-229972.85529000033</v>
      </c>
      <c r="I47" s="902" t="str">
        <f>IF(F47&lt;1," ",IF(H47&lt;1," ",(H47-F47)/F47))</f>
        <v xml:space="preserve"> </v>
      </c>
      <c r="J47" s="901">
        <f>J40+J45</f>
        <v>-43741.855290000327</v>
      </c>
      <c r="K47" s="903" t="str">
        <f>IF(H47&lt;1," ",IF(J47&lt;1," ",(J47-H47)/H47))</f>
        <v xml:space="preserve"> </v>
      </c>
    </row>
    <row r="48" spans="1:12" ht="15.4" thickTop="1">
      <c r="A48" s="302"/>
      <c r="B48" s="1"/>
      <c r="C48" s="339"/>
      <c r="D48" s="340"/>
      <c r="E48" s="265"/>
      <c r="F48" s="1734"/>
      <c r="G48" s="1734"/>
      <c r="H48" s="1734"/>
      <c r="I48" s="1734"/>
      <c r="J48" s="1734"/>
      <c r="K48" s="1735"/>
    </row>
    <row r="49" spans="1:11" ht="15">
      <c r="A49" s="302" t="s">
        <v>6</v>
      </c>
      <c r="B49" s="1"/>
      <c r="C49" s="153"/>
      <c r="D49" s="341"/>
      <c r="E49" s="265"/>
      <c r="F49" s="1734"/>
      <c r="G49" s="1734"/>
      <c r="H49" s="1734"/>
      <c r="I49" s="1734"/>
      <c r="J49" s="1734"/>
      <c r="K49" s="1735"/>
    </row>
    <row r="50" spans="1:11" ht="15">
      <c r="A50" s="67"/>
      <c r="B50" s="289" t="s">
        <v>159</v>
      </c>
      <c r="C50" s="290"/>
      <c r="D50" s="291">
        <v>9791</v>
      </c>
      <c r="E50" s="1615">
        <v>3049473</v>
      </c>
      <c r="F50" s="701">
        <f>E56</f>
        <v>2481096.0499999998</v>
      </c>
      <c r="G50" s="272">
        <f>IF(E50&lt;1," ",IF(F50&lt;1," ",(F50-E50)/E50))</f>
        <v>-0.18638530329666805</v>
      </c>
      <c r="H50" s="702">
        <f>F56</f>
        <v>1849296.1947099995</v>
      </c>
      <c r="I50" s="272">
        <f>IF(F50&lt;1," ",IF(H50&lt;1," ",(H50-F50)/F50))</f>
        <v>-0.25464546416492034</v>
      </c>
      <c r="J50" s="702">
        <f>H56</f>
        <v>1619323.3394199992</v>
      </c>
      <c r="K50" s="310">
        <f>IF(H50&lt;1," ",IF(J50&lt;1," ",(J50-H50)/H50))</f>
        <v>-0.12435696128497356</v>
      </c>
    </row>
    <row r="51" spans="1:11" ht="15">
      <c r="A51" s="67"/>
      <c r="B51" s="311" t="s">
        <v>133</v>
      </c>
      <c r="C51" s="312"/>
      <c r="D51" s="313">
        <v>9792</v>
      </c>
      <c r="E51" s="1616"/>
      <c r="F51" s="873"/>
      <c r="G51" s="490"/>
      <c r="H51" s="873"/>
      <c r="I51" s="315"/>
      <c r="J51" s="873"/>
      <c r="K51" s="316"/>
    </row>
    <row r="52" spans="1:11" ht="15">
      <c r="A52" s="67"/>
      <c r="B52" s="1764" t="s">
        <v>233</v>
      </c>
      <c r="C52" s="1765"/>
      <c r="D52" s="1765"/>
      <c r="E52" s="1616"/>
      <c r="F52" s="873"/>
      <c r="G52" s="490"/>
      <c r="H52" s="873"/>
      <c r="I52" s="315"/>
      <c r="J52" s="873"/>
      <c r="K52" s="316"/>
    </row>
    <row r="53" spans="1:11" ht="15">
      <c r="A53" s="67"/>
      <c r="B53" s="311" t="s">
        <v>299</v>
      </c>
      <c r="C53" s="312"/>
      <c r="D53" s="313">
        <v>9793</v>
      </c>
      <c r="E53" s="1616"/>
      <c r="F53" s="873"/>
      <c r="G53" s="490"/>
      <c r="H53" s="873"/>
      <c r="I53" s="315"/>
      <c r="J53" s="873"/>
      <c r="K53" s="316"/>
    </row>
    <row r="54" spans="1:11" ht="15">
      <c r="A54" s="67"/>
      <c r="B54" s="311" t="s">
        <v>298</v>
      </c>
      <c r="C54" s="312"/>
      <c r="D54" s="313">
        <v>9795</v>
      </c>
      <c r="E54" s="1617">
        <v>0</v>
      </c>
      <c r="F54" s="874"/>
      <c r="G54" s="317"/>
      <c r="H54" s="874"/>
      <c r="I54" s="318"/>
      <c r="J54" s="874"/>
      <c r="K54" s="319"/>
    </row>
    <row r="55" spans="1:11" ht="15.4" thickBot="1">
      <c r="A55" s="67"/>
      <c r="B55" s="1766" t="s">
        <v>281</v>
      </c>
      <c r="C55" s="1767"/>
      <c r="D55" s="1767"/>
      <c r="E55" s="1618">
        <f>E50+E54</f>
        <v>3049473</v>
      </c>
      <c r="F55" s="874"/>
      <c r="G55" s="317"/>
      <c r="H55" s="874"/>
      <c r="I55" s="318"/>
      <c r="J55" s="874"/>
      <c r="K55" s="319"/>
    </row>
    <row r="56" spans="1:11" ht="15.75" thickTop="1" thickBot="1">
      <c r="A56" s="67"/>
      <c r="B56" s="896" t="s">
        <v>33</v>
      </c>
      <c r="C56" s="897"/>
      <c r="D56" s="898">
        <v>9790</v>
      </c>
      <c r="E56" s="884">
        <f>E55+E47</f>
        <v>2481096.0499999998</v>
      </c>
      <c r="F56" s="884">
        <f>F50+F47</f>
        <v>1849296.1947099995</v>
      </c>
      <c r="G56" s="885">
        <f>IF(E56&lt;1," ",IF(F56&lt;1," ",(F56-E56)/E56))</f>
        <v>-0.25464546416492034</v>
      </c>
      <c r="H56" s="884">
        <f>H50+H47</f>
        <v>1619323.3394199992</v>
      </c>
      <c r="I56" s="885">
        <f>IF(F56&lt;1," ",IF(H56&lt;1," ",(H56-F56)/F56))</f>
        <v>-0.12435696128497356</v>
      </c>
      <c r="J56" s="884">
        <f>J50+J47</f>
        <v>1575581.4841299988</v>
      </c>
      <c r="K56" s="886">
        <f>IF(H56&lt;1," ",IF(J56&lt;1," ",(J56-H56)/H56))</f>
        <v>-2.7012428108192127E-2</v>
      </c>
    </row>
    <row r="57" spans="1:11" ht="15.4" thickTop="1">
      <c r="A57" s="67"/>
      <c r="B57" s="1"/>
      <c r="C57" s="1"/>
      <c r="D57" s="166"/>
      <c r="E57" s="167"/>
      <c r="F57" s="292"/>
      <c r="G57" s="51"/>
      <c r="H57" s="167"/>
      <c r="I57" s="51"/>
      <c r="J57" s="167"/>
      <c r="K57" s="309"/>
    </row>
    <row r="58" spans="1:11" ht="15">
      <c r="A58" s="320" t="s">
        <v>139</v>
      </c>
      <c r="C58" s="97"/>
      <c r="D58" s="545" t="s">
        <v>2</v>
      </c>
      <c r="E58" s="452"/>
      <c r="F58" s="1741"/>
      <c r="G58" s="1741"/>
      <c r="H58" s="1741"/>
      <c r="I58" s="1741"/>
      <c r="J58" s="1741"/>
      <c r="K58" s="1742"/>
    </row>
    <row r="59" spans="1:11" ht="15">
      <c r="A59" s="67"/>
      <c r="B59" s="344" t="s">
        <v>7</v>
      </c>
      <c r="C59" s="350" t="s">
        <v>140</v>
      </c>
      <c r="D59" s="351"/>
      <c r="E59" s="353"/>
      <c r="F59" s="1743"/>
      <c r="G59" s="1743"/>
      <c r="H59" s="1743"/>
      <c r="I59" s="1743"/>
      <c r="J59" s="1743"/>
      <c r="K59" s="1744"/>
    </row>
    <row r="60" spans="1:11" ht="15">
      <c r="A60" s="67"/>
      <c r="B60" s="347"/>
      <c r="C60" s="345" t="s">
        <v>34</v>
      </c>
      <c r="D60" s="285">
        <v>9711</v>
      </c>
      <c r="E60" s="880">
        <v>0</v>
      </c>
      <c r="F60" s="746">
        <v>0</v>
      </c>
      <c r="G60" s="31" t="str">
        <f>IF(E60&lt;1," ",IF(F60&lt;1," ",(F60-E60)/E60))</f>
        <v xml:space="preserve"> </v>
      </c>
      <c r="H60" s="746">
        <v>0</v>
      </c>
      <c r="I60" s="31" t="str">
        <f>IF(F60&lt;1," ",IF(H60&lt;1," ",(H60-F60)/F60))</f>
        <v xml:space="preserve"> </v>
      </c>
      <c r="J60" s="746">
        <v>0</v>
      </c>
      <c r="K60" s="307" t="str">
        <f>IF(H60&lt;1," ",IF(J60&lt;1," ",(J60-H60)/H60))</f>
        <v xml:space="preserve"> </v>
      </c>
    </row>
    <row r="61" spans="1:11" ht="15">
      <c r="A61" s="67"/>
      <c r="B61" s="344"/>
      <c r="C61" s="345" t="s">
        <v>10</v>
      </c>
      <c r="D61" s="285">
        <v>9712</v>
      </c>
      <c r="E61" s="880">
        <v>0</v>
      </c>
      <c r="F61" s="746">
        <v>0</v>
      </c>
      <c r="G61" s="31" t="str">
        <f>IF(E61&lt;1," ",IF(F61&lt;1," ",(F61-E61)/E61))</f>
        <v xml:space="preserve"> </v>
      </c>
      <c r="H61" s="746">
        <v>0</v>
      </c>
      <c r="I61" s="31" t="str">
        <f>IF(F61&lt;1," ",IF(H61&lt;1," ",(H61-F61)/F61))</f>
        <v xml:space="preserve"> </v>
      </c>
      <c r="J61" s="746">
        <v>0</v>
      </c>
      <c r="K61" s="307" t="str">
        <f>IF(H61&lt;1," ",IF(J61&lt;1," ",(J61-H61)/H61))</f>
        <v xml:space="preserve"> </v>
      </c>
    </row>
    <row r="62" spans="1:11" ht="15">
      <c r="A62" s="67"/>
      <c r="B62" s="344"/>
      <c r="C62" s="345" t="s">
        <v>11</v>
      </c>
      <c r="D62" s="285">
        <v>9713</v>
      </c>
      <c r="E62" s="880">
        <v>0</v>
      </c>
      <c r="F62" s="746">
        <v>0</v>
      </c>
      <c r="G62" s="31" t="str">
        <f>IF(E62&lt;1," ",IF(F62&lt;1," ",(F62-E62)/E62))</f>
        <v xml:space="preserve"> </v>
      </c>
      <c r="H62" s="746">
        <v>0</v>
      </c>
      <c r="I62" s="31" t="str">
        <f>IF(F62&lt;1," ",IF(H62&lt;1," ",(H62-F62)/F62))</f>
        <v xml:space="preserve"> </v>
      </c>
      <c r="J62" s="746">
        <v>0</v>
      </c>
      <c r="K62" s="307" t="str">
        <f>IF(H62&lt;1," ",IF(J62&lt;1," ",(J62-H62)/H62))</f>
        <v xml:space="preserve"> </v>
      </c>
    </row>
    <row r="63" spans="1:11" ht="15">
      <c r="A63" s="67"/>
      <c r="B63" s="344"/>
      <c r="C63" s="345" t="s">
        <v>141</v>
      </c>
      <c r="D63" s="285">
        <v>9719</v>
      </c>
      <c r="E63" s="881">
        <v>0</v>
      </c>
      <c r="F63" s="882">
        <v>0</v>
      </c>
      <c r="G63" s="50" t="str">
        <f>IF(E63&lt;1," ",IF(F63&lt;1," ",(F63-E63)/E63))</f>
        <v xml:space="preserve"> </v>
      </c>
      <c r="H63" s="882">
        <v>0</v>
      </c>
      <c r="I63" s="50" t="str">
        <f>IF(F63&lt;1," ",IF(H63&lt;1," ",(H63-F63)/F63))</f>
        <v xml:space="preserve"> </v>
      </c>
      <c r="J63" s="882">
        <v>0</v>
      </c>
      <c r="K63" s="321" t="str">
        <f>IF(H63&lt;1," ",IF(J63&lt;1," ",(J63-H63)/H63))</f>
        <v xml:space="preserve"> </v>
      </c>
    </row>
    <row r="64" spans="1:11" ht="15">
      <c r="A64" s="322"/>
      <c r="B64" s="471" t="s">
        <v>8</v>
      </c>
      <c r="C64" s="472" t="s">
        <v>142</v>
      </c>
      <c r="D64" s="473">
        <v>9740</v>
      </c>
      <c r="E64" s="455"/>
      <c r="F64" s="324"/>
      <c r="G64" s="490"/>
      <c r="H64" s="325"/>
      <c r="I64" s="490"/>
      <c r="J64" s="325"/>
      <c r="K64" s="501"/>
    </row>
    <row r="65" spans="1:11" ht="15">
      <c r="A65" s="67"/>
      <c r="B65" s="344" t="s">
        <v>9</v>
      </c>
      <c r="C65" s="350" t="s">
        <v>344</v>
      </c>
      <c r="D65" s="971"/>
      <c r="E65" s="456"/>
      <c r="F65" s="326"/>
      <c r="G65" s="30"/>
      <c r="H65" s="30"/>
      <c r="I65" s="30"/>
      <c r="J65" s="30"/>
      <c r="K65" s="327"/>
    </row>
    <row r="66" spans="1:11" ht="15">
      <c r="A66" s="67"/>
      <c r="B66" s="344"/>
      <c r="C66" s="345" t="s">
        <v>143</v>
      </c>
      <c r="D66" s="285">
        <v>9750</v>
      </c>
      <c r="E66" s="880">
        <v>0</v>
      </c>
      <c r="F66" s="746">
        <v>0</v>
      </c>
      <c r="G66" s="31"/>
      <c r="H66" s="746">
        <v>0</v>
      </c>
      <c r="I66" s="31"/>
      <c r="J66" s="746">
        <v>0</v>
      </c>
      <c r="K66" s="307"/>
    </row>
    <row r="67" spans="1:11" ht="15">
      <c r="A67" s="67"/>
      <c r="B67" s="344"/>
      <c r="C67" s="345" t="s">
        <v>144</v>
      </c>
      <c r="D67" s="286">
        <v>9760</v>
      </c>
      <c r="E67" s="880">
        <v>0</v>
      </c>
      <c r="F67" s="746">
        <v>0</v>
      </c>
      <c r="G67" s="31" t="str">
        <f>IF(E67&lt;1," ",IF(F67&lt;1," ",(F67-E67)/E67))</f>
        <v xml:space="preserve"> </v>
      </c>
      <c r="H67" s="746">
        <v>0</v>
      </c>
      <c r="I67" s="31" t="str">
        <f>IF(F67&lt;1," ",IF(H67&lt;1," ",(H67-F67)/F67))</f>
        <v xml:space="preserve"> </v>
      </c>
      <c r="J67" s="746">
        <v>0</v>
      </c>
      <c r="K67" s="307" t="str">
        <f>IF(H67&lt;1," ",IF(J67&lt;1," ",(J67-H67)/H67))</f>
        <v xml:space="preserve"> </v>
      </c>
    </row>
    <row r="68" spans="1:11" ht="15">
      <c r="A68" s="67"/>
      <c r="B68" s="344" t="s">
        <v>38</v>
      </c>
      <c r="C68" s="346" t="s">
        <v>145</v>
      </c>
      <c r="D68" s="285">
        <v>9780</v>
      </c>
      <c r="E68" s="880">
        <v>0</v>
      </c>
      <c r="F68" s="746">
        <v>0</v>
      </c>
      <c r="G68" s="31" t="str">
        <f>IF(E68&lt;1," ",IF(F68&lt;1," ",(F68-E68)/E68))</f>
        <v xml:space="preserve"> </v>
      </c>
      <c r="H68" s="746">
        <v>0</v>
      </c>
      <c r="I68" s="31" t="str">
        <f>IF(F68&lt;1," ",IF(H68&lt;1," ",(H68-F68)/F68))</f>
        <v xml:space="preserve"> </v>
      </c>
      <c r="J68" s="746">
        <v>0</v>
      </c>
      <c r="K68" s="307" t="str">
        <f>IF(H68&lt;1," ",IF(J68&lt;1," ",(J68-H68)/H68))</f>
        <v xml:space="preserve"> </v>
      </c>
    </row>
    <row r="69" spans="1:11" ht="15">
      <c r="A69" s="67"/>
      <c r="B69" s="344" t="s">
        <v>40</v>
      </c>
      <c r="C69" s="1756" t="s">
        <v>347</v>
      </c>
      <c r="D69" s="1757"/>
      <c r="E69" s="456"/>
      <c r="F69" s="326"/>
      <c r="G69" s="30"/>
      <c r="H69" s="30"/>
      <c r="I69" s="30"/>
      <c r="J69" s="30"/>
      <c r="K69" s="327"/>
    </row>
    <row r="70" spans="1:11" ht="15">
      <c r="A70" s="67"/>
      <c r="B70" s="344"/>
      <c r="C70" s="345" t="s">
        <v>345</v>
      </c>
      <c r="D70" s="286">
        <v>9789</v>
      </c>
      <c r="E70" s="880">
        <v>521502</v>
      </c>
      <c r="F70" s="746">
        <v>456269.25</v>
      </c>
      <c r="G70" s="31">
        <f>IF(E70&lt;1," ",IF(F70&lt;1," ",(F70-E70)/E70))</f>
        <v>-0.12508628921844978</v>
      </c>
      <c r="H70" s="746">
        <v>477354.15</v>
      </c>
      <c r="I70" s="31">
        <f>IF(F70&lt;1," ",IF(H70&lt;1," ",(H70-F70)/F70))</f>
        <v>4.6211529705322073E-2</v>
      </c>
      <c r="J70" s="746">
        <v>493056</v>
      </c>
      <c r="K70" s="307">
        <f>IF(H70&lt;1," ",IF(J70&lt;1," ",(J70-H70)/H70))</f>
        <v>3.2893502654161438E-2</v>
      </c>
    </row>
    <row r="71" spans="1:11" ht="15.4" thickBot="1">
      <c r="A71" s="67"/>
      <c r="B71" s="883"/>
      <c r="C71" s="889" t="s">
        <v>346</v>
      </c>
      <c r="D71" s="617">
        <v>9790</v>
      </c>
      <c r="E71" s="890">
        <f>E56-E66-E67-E68-E70-E60-E61-E62-E63-E64</f>
        <v>1959594.0499999998</v>
      </c>
      <c r="F71" s="891">
        <f>F56-F66-F67-F68-F70-F60-F61-F62-F63-F64</f>
        <v>1393026.9447099995</v>
      </c>
      <c r="G71" s="94">
        <f>IF(E71&lt;1," ",IF(F71&lt;1," ",(F71-E71)/E71))</f>
        <v>-0.28912473238526132</v>
      </c>
      <c r="H71" s="891">
        <f>H56-H66-H67-H68-H70-H60-H61-H62-H63-H64</f>
        <v>1141969.1894199993</v>
      </c>
      <c r="I71" s="94">
        <f>IF(F71&lt;1," ",IF(H71&lt;1," ",(H71-F71)/F71))</f>
        <v>-0.1802246225339636</v>
      </c>
      <c r="J71" s="891">
        <f>J56-J66-J67-J68-J70-J60-J61-J62-J63-J64</f>
        <v>1082525.4841299988</v>
      </c>
      <c r="K71" s="308">
        <f>IF(H71&lt;1," ",IF(J71&lt;1," ",(J71-H71)/H71))</f>
        <v>-5.2053685721758919E-2</v>
      </c>
    </row>
    <row r="72" spans="1:11" ht="15.75" thickTop="1" thickBot="1">
      <c r="A72" s="67"/>
      <c r="B72" s="1768"/>
      <c r="C72" s="1769"/>
      <c r="D72" s="1769"/>
      <c r="E72" s="982"/>
      <c r="F72" s="982"/>
      <c r="G72" s="982"/>
      <c r="H72" s="982"/>
      <c r="I72" s="982"/>
      <c r="J72" s="982"/>
      <c r="K72" s="983"/>
    </row>
    <row r="73" spans="1:11" ht="15.4" thickTop="1">
      <c r="A73" s="328"/>
      <c r="B73" s="221"/>
      <c r="C73" s="221"/>
      <c r="D73" s="221"/>
      <c r="E73" s="221"/>
      <c r="F73" s="1732"/>
      <c r="G73" s="1732"/>
      <c r="H73" s="1732"/>
      <c r="I73" s="1732"/>
      <c r="J73" s="1732"/>
      <c r="K73" s="1733"/>
    </row>
    <row r="74" spans="1:11" ht="15">
      <c r="A74" s="328" t="s">
        <v>313</v>
      </c>
      <c r="B74" s="221"/>
      <c r="C74" s="221"/>
      <c r="D74" s="221"/>
      <c r="E74" s="221"/>
      <c r="F74" s="1732"/>
      <c r="G74" s="1732"/>
      <c r="H74" s="1732"/>
      <c r="I74" s="1732"/>
      <c r="J74" s="1732"/>
      <c r="K74" s="1733"/>
    </row>
    <row r="75" spans="1:11" ht="15">
      <c r="A75" s="280"/>
      <c r="B75" s="164"/>
      <c r="C75" s="1739" t="s">
        <v>321</v>
      </c>
      <c r="D75" s="1739"/>
      <c r="E75" s="1739"/>
      <c r="F75" s="1739"/>
      <c r="G75" s="1739"/>
      <c r="H75" s="1739"/>
      <c r="I75" s="1739"/>
      <c r="J75" s="1739"/>
      <c r="K75" s="1740"/>
    </row>
    <row r="76" spans="1:11" ht="15">
      <c r="A76" s="280"/>
      <c r="B76" s="287">
        <v>1</v>
      </c>
      <c r="C76" s="1774" t="s">
        <v>533</v>
      </c>
      <c r="D76" s="1774"/>
      <c r="E76" s="703"/>
      <c r="F76" s="704"/>
      <c r="G76" s="31" t="str">
        <f t="shared" ref="G76:G85" si="6">IF(E76&lt;1," ",IF(F76&lt;1," ",(F76-E76)/E76))</f>
        <v xml:space="preserve"> </v>
      </c>
      <c r="H76" s="708"/>
      <c r="I76" s="31" t="str">
        <f t="shared" ref="I76:I85" si="7">IF(F76&lt;1," ",IF(H76&lt;1," ",(H76-F76)/F76))</f>
        <v xml:space="preserve"> </v>
      </c>
      <c r="J76" s="711"/>
      <c r="K76" s="307" t="str">
        <f t="shared" ref="K76:K85" si="8">IF(H76&lt;1," ",IF(J76&lt;1," ",(J76-H76)/H76))</f>
        <v xml:space="preserve"> </v>
      </c>
    </row>
    <row r="77" spans="1:11" ht="15">
      <c r="A77" s="280"/>
      <c r="B77" s="287">
        <v>2</v>
      </c>
      <c r="C77" s="1724"/>
      <c r="D77" s="1724"/>
      <c r="E77" s="698"/>
      <c r="F77" s="704"/>
      <c r="G77" s="31" t="str">
        <f t="shared" si="6"/>
        <v xml:space="preserve"> </v>
      </c>
      <c r="H77" s="708"/>
      <c r="I77" s="31" t="str">
        <f t="shared" si="7"/>
        <v xml:space="preserve"> </v>
      </c>
      <c r="J77" s="711"/>
      <c r="K77" s="307" t="str">
        <f t="shared" si="8"/>
        <v xml:space="preserve"> </v>
      </c>
    </row>
    <row r="78" spans="1:11" ht="15">
      <c r="A78" s="280"/>
      <c r="B78" s="287">
        <v>3</v>
      </c>
      <c r="C78" s="1724"/>
      <c r="D78" s="1724"/>
      <c r="E78" s="698"/>
      <c r="F78" s="704"/>
      <c r="G78" s="31" t="str">
        <f t="shared" si="6"/>
        <v xml:space="preserve"> </v>
      </c>
      <c r="H78" s="708"/>
      <c r="I78" s="31" t="str">
        <f t="shared" si="7"/>
        <v xml:space="preserve"> </v>
      </c>
      <c r="J78" s="711"/>
      <c r="K78" s="307" t="str">
        <f t="shared" si="8"/>
        <v xml:space="preserve"> </v>
      </c>
    </row>
    <row r="79" spans="1:11" ht="15">
      <c r="A79" s="280"/>
      <c r="B79" s="287">
        <v>4</v>
      </c>
      <c r="C79" s="1724"/>
      <c r="D79" s="1724"/>
      <c r="E79" s="698"/>
      <c r="F79" s="704"/>
      <c r="G79" s="31" t="str">
        <f t="shared" si="6"/>
        <v xml:space="preserve"> </v>
      </c>
      <c r="H79" s="708"/>
      <c r="I79" s="31" t="str">
        <f t="shared" si="7"/>
        <v xml:space="preserve"> </v>
      </c>
      <c r="J79" s="711"/>
      <c r="K79" s="307" t="str">
        <f t="shared" si="8"/>
        <v xml:space="preserve"> </v>
      </c>
    </row>
    <row r="80" spans="1:11" ht="15">
      <c r="A80" s="280"/>
      <c r="B80" s="287">
        <v>5</v>
      </c>
      <c r="C80" s="1724"/>
      <c r="D80" s="1724"/>
      <c r="E80" s="698"/>
      <c r="F80" s="704"/>
      <c r="G80" s="31" t="str">
        <f t="shared" si="6"/>
        <v xml:space="preserve"> </v>
      </c>
      <c r="H80" s="708"/>
      <c r="I80" s="31" t="str">
        <f t="shared" si="7"/>
        <v xml:space="preserve"> </v>
      </c>
      <c r="J80" s="711"/>
      <c r="K80" s="307" t="str">
        <f t="shared" si="8"/>
        <v xml:space="preserve"> </v>
      </c>
    </row>
    <row r="81" spans="1:11" ht="15">
      <c r="A81" s="67"/>
      <c r="B81" s="288">
        <v>6</v>
      </c>
      <c r="C81" s="1722"/>
      <c r="D81" s="1722"/>
      <c r="E81" s="698"/>
      <c r="F81" s="704"/>
      <c r="G81" s="31" t="str">
        <f t="shared" si="6"/>
        <v xml:space="preserve"> </v>
      </c>
      <c r="H81" s="708"/>
      <c r="I81" s="31" t="str">
        <f t="shared" si="7"/>
        <v xml:space="preserve"> </v>
      </c>
      <c r="J81" s="711"/>
      <c r="K81" s="307" t="str">
        <f t="shared" si="8"/>
        <v xml:space="preserve"> </v>
      </c>
    </row>
    <row r="82" spans="1:11" ht="15">
      <c r="A82" s="67"/>
      <c r="B82" s="288">
        <v>7</v>
      </c>
      <c r="C82" s="1722"/>
      <c r="D82" s="1722"/>
      <c r="E82" s="698"/>
      <c r="F82" s="704"/>
      <c r="G82" s="31" t="str">
        <f t="shared" si="6"/>
        <v xml:space="preserve"> </v>
      </c>
      <c r="H82" s="708"/>
      <c r="I82" s="31" t="str">
        <f t="shared" si="7"/>
        <v xml:space="preserve"> </v>
      </c>
      <c r="J82" s="711"/>
      <c r="K82" s="307" t="str">
        <f t="shared" si="8"/>
        <v xml:space="preserve"> </v>
      </c>
    </row>
    <row r="83" spans="1:11" ht="15">
      <c r="A83" s="67"/>
      <c r="B83" s="288">
        <v>8</v>
      </c>
      <c r="C83" s="1722"/>
      <c r="D83" s="1722"/>
      <c r="E83" s="705"/>
      <c r="F83" s="706"/>
      <c r="G83" s="31" t="str">
        <f t="shared" si="6"/>
        <v xml:space="preserve"> </v>
      </c>
      <c r="H83" s="709"/>
      <c r="I83" s="31" t="str">
        <f t="shared" si="7"/>
        <v xml:space="preserve"> </v>
      </c>
      <c r="J83" s="712"/>
      <c r="K83" s="307" t="str">
        <f t="shared" si="8"/>
        <v xml:space="preserve"> </v>
      </c>
    </row>
    <row r="84" spans="1:11" ht="15.4" thickBot="1">
      <c r="A84" s="67"/>
      <c r="B84" s="288">
        <v>9</v>
      </c>
      <c r="C84" s="1724"/>
      <c r="D84" s="1724"/>
      <c r="E84" s="699"/>
      <c r="F84" s="707"/>
      <c r="G84" s="94" t="str">
        <f t="shared" si="6"/>
        <v xml:space="preserve"> </v>
      </c>
      <c r="H84" s="710"/>
      <c r="I84" s="94" t="str">
        <f t="shared" si="7"/>
        <v xml:space="preserve"> </v>
      </c>
      <c r="J84" s="713"/>
      <c r="K84" s="308" t="str">
        <f t="shared" si="8"/>
        <v xml:space="preserve"> </v>
      </c>
    </row>
    <row r="85" spans="1:11" ht="15.75" thickTop="1" thickBot="1">
      <c r="A85" s="67"/>
      <c r="B85" s="288" t="s">
        <v>2</v>
      </c>
      <c r="C85" s="1738" t="s">
        <v>318</v>
      </c>
      <c r="D85" s="1738"/>
      <c r="E85" s="888">
        <f>SUM(E76:E84)</f>
        <v>0</v>
      </c>
      <c r="F85" s="884">
        <f>SUM(F76:F84)</f>
        <v>0</v>
      </c>
      <c r="G85" s="885" t="str">
        <f t="shared" si="6"/>
        <v xml:space="preserve"> </v>
      </c>
      <c r="H85" s="884">
        <f>SUM(H76:H84)</f>
        <v>0</v>
      </c>
      <c r="I85" s="885" t="str">
        <f t="shared" si="7"/>
        <v xml:space="preserve"> </v>
      </c>
      <c r="J85" s="884">
        <f>SUM(J76:J84)</f>
        <v>0</v>
      </c>
      <c r="K85" s="886" t="str">
        <f t="shared" si="8"/>
        <v xml:space="preserve"> </v>
      </c>
    </row>
    <row r="86" spans="1:11" ht="15" customHeight="1" thickTop="1">
      <c r="A86" s="67"/>
      <c r="B86" s="151"/>
      <c r="C86" s="151"/>
      <c r="D86" s="151"/>
      <c r="E86" s="151"/>
      <c r="F86" s="1772"/>
      <c r="G86" s="1772"/>
      <c r="H86" s="1772"/>
      <c r="I86" s="1772"/>
      <c r="J86" s="1772"/>
      <c r="K86" s="1773"/>
    </row>
    <row r="87" spans="1:11" ht="15">
      <c r="A87" s="67"/>
      <c r="B87" s="145" t="s">
        <v>125</v>
      </c>
      <c r="C87" s="151"/>
      <c r="D87" s="151"/>
      <c r="E87" s="924"/>
      <c r="F87" s="940">
        <f>'Budget-Assumptions'!G16</f>
        <v>177</v>
      </c>
      <c r="G87" s="465" t="str">
        <f>IF(E87&lt;1," ",IF(F87&lt;1," ",(F87-E87)/E87))</f>
        <v xml:space="preserve"> </v>
      </c>
      <c r="H87" s="940">
        <f>'Budget-Assumptions'!H16</f>
        <v>177</v>
      </c>
      <c r="I87" s="465"/>
      <c r="J87" s="940">
        <f>'Budget-Assumptions'!J16</f>
        <v>177</v>
      </c>
      <c r="K87" s="678"/>
    </row>
    <row r="88" spans="1:11" ht="15">
      <c r="A88" s="67"/>
      <c r="B88" s="348" t="s">
        <v>134</v>
      </c>
      <c r="C88" s="165"/>
      <c r="D88" s="165"/>
      <c r="E88" s="925"/>
      <c r="F88" s="940">
        <f>(1.04446*'Budget-ADA'!L76)*F87</f>
        <v>92527.144709999993</v>
      </c>
      <c r="G88" s="268">
        <f>IF(E19&lt;1," ",IF(F88&lt;1," ",(F88-E19)/E19))</f>
        <v>-7.5921627071379501E-3</v>
      </c>
      <c r="H88" s="940">
        <f>(1.04446*'Budget-ADA'!O76)*H87</f>
        <v>92527.144709999993</v>
      </c>
      <c r="I88" s="268">
        <f>IF(F88&lt;1," ",IF(H88&lt;1," ",(H88-F88)/F88))</f>
        <v>0</v>
      </c>
      <c r="J88" s="940">
        <f>(1.04446*'Budget-ADA'!R76)*J87</f>
        <v>92527.144709999993</v>
      </c>
      <c r="K88" s="304">
        <f>IF(H88&lt;1," ",IF(J88&lt;1," ",(J88-H88)/H88))</f>
        <v>0</v>
      </c>
    </row>
    <row r="89" spans="1:11" ht="10.5" customHeight="1">
      <c r="A89" s="280"/>
      <c r="B89" s="329"/>
      <c r="C89" s="329"/>
      <c r="D89" s="329"/>
      <c r="E89" s="25"/>
      <c r="F89" s="1730"/>
      <c r="G89" s="1730"/>
      <c r="H89" s="1730"/>
      <c r="I89" s="1730"/>
      <c r="J89" s="1730"/>
      <c r="K89" s="1731"/>
    </row>
    <row r="90" spans="1:11" ht="15">
      <c r="A90" s="280"/>
      <c r="B90" s="164"/>
      <c r="C90" s="164" t="s">
        <v>314</v>
      </c>
      <c r="D90" s="164"/>
      <c r="E90" s="164"/>
      <c r="F90" s="1770"/>
      <c r="G90" s="1770"/>
      <c r="H90" s="1770"/>
      <c r="I90" s="1770"/>
      <c r="J90" s="1770"/>
      <c r="K90" s="1771"/>
    </row>
    <row r="91" spans="1:11" ht="15">
      <c r="A91" s="280"/>
      <c r="B91" s="287">
        <v>1</v>
      </c>
      <c r="C91" s="1724" t="s">
        <v>534</v>
      </c>
      <c r="D91" s="1725"/>
      <c r="E91" s="1211">
        <v>21254</v>
      </c>
      <c r="F91" s="1212">
        <v>21254</v>
      </c>
      <c r="G91" s="94">
        <f t="shared" ref="G91:G109" si="9">IF(E91&lt;1," ",IF(F91&lt;1," ",(F91-E91)/E91))</f>
        <v>0</v>
      </c>
      <c r="H91" s="1209">
        <v>21411</v>
      </c>
      <c r="I91" s="94">
        <f t="shared" ref="I91:I109" si="10">IF(F91&lt;1," ",IF(H91&lt;1," ",(H91-F91)/F91))</f>
        <v>7.3868448292086194E-3</v>
      </c>
      <c r="J91" s="1210">
        <v>21411</v>
      </c>
      <c r="K91" s="308">
        <f t="shared" ref="K91:K109" si="11">IF(H91&lt;1," ",IF(J91&lt;1," ",(J91-H91)/H91))</f>
        <v>0</v>
      </c>
    </row>
    <row r="92" spans="1:11" ht="15">
      <c r="A92" s="280"/>
      <c r="B92" s="287">
        <v>2</v>
      </c>
      <c r="C92" s="1724"/>
      <c r="D92" s="1725"/>
      <c r="E92" s="715"/>
      <c r="F92" s="716"/>
      <c r="G92" s="94" t="str">
        <f t="shared" si="9"/>
        <v xml:space="preserve"> </v>
      </c>
      <c r="H92" s="709"/>
      <c r="I92" s="94" t="str">
        <f t="shared" si="10"/>
        <v xml:space="preserve"> </v>
      </c>
      <c r="J92" s="712"/>
      <c r="K92" s="308" t="str">
        <f t="shared" si="11"/>
        <v xml:space="preserve"> </v>
      </c>
    </row>
    <row r="93" spans="1:11" ht="15">
      <c r="A93" s="280"/>
      <c r="B93" s="287">
        <v>3</v>
      </c>
      <c r="C93" s="1724"/>
      <c r="D93" s="1725"/>
      <c r="E93" s="698"/>
      <c r="F93" s="706"/>
      <c r="G93" s="94" t="str">
        <f t="shared" si="9"/>
        <v xml:space="preserve"> </v>
      </c>
      <c r="H93" s="709"/>
      <c r="I93" s="94" t="str">
        <f t="shared" si="10"/>
        <v xml:space="preserve"> </v>
      </c>
      <c r="J93" s="712"/>
      <c r="K93" s="308" t="str">
        <f t="shared" si="11"/>
        <v xml:space="preserve"> </v>
      </c>
    </row>
    <row r="94" spans="1:11" ht="15">
      <c r="A94" s="280"/>
      <c r="B94" s="287">
        <v>4</v>
      </c>
      <c r="C94" s="1724"/>
      <c r="D94" s="1725"/>
      <c r="E94" s="698"/>
      <c r="F94" s="714"/>
      <c r="G94" s="94" t="str">
        <f t="shared" si="9"/>
        <v xml:space="preserve"> </v>
      </c>
      <c r="H94" s="708"/>
      <c r="I94" s="94" t="str">
        <f t="shared" si="10"/>
        <v xml:space="preserve"> </v>
      </c>
      <c r="J94" s="711"/>
      <c r="K94" s="308" t="str">
        <f t="shared" si="11"/>
        <v xml:space="preserve"> </v>
      </c>
    </row>
    <row r="95" spans="1:11" ht="15">
      <c r="A95" s="67"/>
      <c r="B95" s="287">
        <v>5</v>
      </c>
      <c r="C95" s="1724"/>
      <c r="D95" s="1725"/>
      <c r="E95" s="698"/>
      <c r="F95" s="717"/>
      <c r="G95" s="94" t="str">
        <f t="shared" si="9"/>
        <v xml:space="preserve"> </v>
      </c>
      <c r="H95" s="726"/>
      <c r="I95" s="94" t="str">
        <f t="shared" si="10"/>
        <v xml:space="preserve"> </v>
      </c>
      <c r="J95" s="732"/>
      <c r="K95" s="308" t="str">
        <f t="shared" si="11"/>
        <v xml:space="preserve"> </v>
      </c>
    </row>
    <row r="96" spans="1:11" ht="15">
      <c r="A96" s="281"/>
      <c r="B96" s="288">
        <v>6</v>
      </c>
      <c r="C96" s="1722"/>
      <c r="D96" s="1723"/>
      <c r="E96" s="698"/>
      <c r="F96" s="718"/>
      <c r="G96" s="31" t="str">
        <f t="shared" si="9"/>
        <v xml:space="preserve"> </v>
      </c>
      <c r="H96" s="727"/>
      <c r="I96" s="31" t="str">
        <f t="shared" si="10"/>
        <v xml:space="preserve"> </v>
      </c>
      <c r="J96" s="733"/>
      <c r="K96" s="307" t="str">
        <f t="shared" si="11"/>
        <v xml:space="preserve"> </v>
      </c>
    </row>
    <row r="97" spans="1:11" ht="15">
      <c r="A97" s="281"/>
      <c r="B97" s="288">
        <v>7</v>
      </c>
      <c r="C97" s="1722"/>
      <c r="D97" s="1723"/>
      <c r="E97" s="698"/>
      <c r="F97" s="706"/>
      <c r="G97" s="31" t="str">
        <f t="shared" si="9"/>
        <v xml:space="preserve"> </v>
      </c>
      <c r="H97" s="709"/>
      <c r="I97" s="31" t="str">
        <f t="shared" si="10"/>
        <v xml:space="preserve"> </v>
      </c>
      <c r="J97" s="712"/>
      <c r="K97" s="307" t="str">
        <f t="shared" si="11"/>
        <v xml:space="preserve"> </v>
      </c>
    </row>
    <row r="98" spans="1:11" ht="15">
      <c r="A98" s="281"/>
      <c r="B98" s="288">
        <v>8</v>
      </c>
      <c r="C98" s="1722"/>
      <c r="D98" s="1723"/>
      <c r="E98" s="705"/>
      <c r="F98" s="706"/>
      <c r="G98" s="31" t="str">
        <f t="shared" si="9"/>
        <v xml:space="preserve"> </v>
      </c>
      <c r="H98" s="709"/>
      <c r="I98" s="31" t="str">
        <f t="shared" si="10"/>
        <v xml:space="preserve"> </v>
      </c>
      <c r="J98" s="712"/>
      <c r="K98" s="307" t="str">
        <f t="shared" si="11"/>
        <v xml:space="preserve"> </v>
      </c>
    </row>
    <row r="99" spans="1:11" ht="15">
      <c r="A99" s="281"/>
      <c r="B99" s="288">
        <v>9</v>
      </c>
      <c r="C99" s="1724"/>
      <c r="D99" s="1725"/>
      <c r="E99" s="699"/>
      <c r="F99" s="706"/>
      <c r="G99" s="31" t="str">
        <f t="shared" si="9"/>
        <v xml:space="preserve"> </v>
      </c>
      <c r="H99" s="709"/>
      <c r="I99" s="31" t="str">
        <f t="shared" si="10"/>
        <v xml:space="preserve"> </v>
      </c>
      <c r="J99" s="712"/>
      <c r="K99" s="307" t="str">
        <f t="shared" si="11"/>
        <v xml:space="preserve"> </v>
      </c>
    </row>
    <row r="100" spans="1:11" ht="15">
      <c r="A100" s="281"/>
      <c r="B100" s="145">
        <v>10</v>
      </c>
      <c r="C100" s="1722"/>
      <c r="D100" s="1723"/>
      <c r="E100" s="703"/>
      <c r="F100" s="706"/>
      <c r="G100" s="31" t="str">
        <f t="shared" si="9"/>
        <v xml:space="preserve"> </v>
      </c>
      <c r="H100" s="709"/>
      <c r="I100" s="31" t="str">
        <f t="shared" si="10"/>
        <v xml:space="preserve"> </v>
      </c>
      <c r="J100" s="712"/>
      <c r="K100" s="307" t="str">
        <f t="shared" si="11"/>
        <v xml:space="preserve"> </v>
      </c>
    </row>
    <row r="101" spans="1:11" ht="15">
      <c r="A101" s="67"/>
      <c r="B101" s="145">
        <v>11</v>
      </c>
      <c r="C101" s="1722"/>
      <c r="D101" s="1723"/>
      <c r="E101" s="698"/>
      <c r="F101" s="719"/>
      <c r="G101" s="31" t="str">
        <f t="shared" si="9"/>
        <v xml:space="preserve"> </v>
      </c>
      <c r="H101" s="719"/>
      <c r="I101" s="31" t="str">
        <f t="shared" si="10"/>
        <v xml:space="preserve"> </v>
      </c>
      <c r="J101" s="719"/>
      <c r="K101" s="307" t="str">
        <f t="shared" si="11"/>
        <v xml:space="preserve"> </v>
      </c>
    </row>
    <row r="102" spans="1:11" ht="15">
      <c r="A102" s="67"/>
      <c r="B102" s="145">
        <v>12</v>
      </c>
      <c r="C102" s="1722"/>
      <c r="D102" s="1723"/>
      <c r="E102" s="698"/>
      <c r="F102" s="720"/>
      <c r="G102" s="31" t="str">
        <f t="shared" si="9"/>
        <v xml:space="preserve"> </v>
      </c>
      <c r="H102" s="720"/>
      <c r="I102" s="31" t="str">
        <f t="shared" si="10"/>
        <v xml:space="preserve"> </v>
      </c>
      <c r="J102" s="720"/>
      <c r="K102" s="307" t="str">
        <f t="shared" si="11"/>
        <v xml:space="preserve"> </v>
      </c>
    </row>
    <row r="103" spans="1:11" ht="15">
      <c r="A103" s="67"/>
      <c r="B103" s="145">
        <v>13</v>
      </c>
      <c r="C103" s="1722"/>
      <c r="D103" s="1723"/>
      <c r="E103" s="698"/>
      <c r="F103" s="721"/>
      <c r="G103" s="31" t="str">
        <f t="shared" si="9"/>
        <v xml:space="preserve"> </v>
      </c>
      <c r="H103" s="728"/>
      <c r="I103" s="31" t="str">
        <f t="shared" si="10"/>
        <v xml:space="preserve"> </v>
      </c>
      <c r="J103" s="734"/>
      <c r="K103" s="307" t="str">
        <f t="shared" si="11"/>
        <v xml:space="preserve"> </v>
      </c>
    </row>
    <row r="104" spans="1:11" ht="15">
      <c r="A104" s="67"/>
      <c r="B104" s="145">
        <v>14</v>
      </c>
      <c r="C104" s="1722"/>
      <c r="D104" s="1723"/>
      <c r="E104" s="698"/>
      <c r="F104" s="722"/>
      <c r="G104" s="31" t="str">
        <f t="shared" si="9"/>
        <v xml:space="preserve"> </v>
      </c>
      <c r="H104" s="729"/>
      <c r="I104" s="31" t="str">
        <f t="shared" si="10"/>
        <v xml:space="preserve"> </v>
      </c>
      <c r="J104" s="735"/>
      <c r="K104" s="307" t="str">
        <f t="shared" si="11"/>
        <v xml:space="preserve"> </v>
      </c>
    </row>
    <row r="105" spans="1:11" ht="15">
      <c r="A105" s="67"/>
      <c r="B105" s="145">
        <v>15</v>
      </c>
      <c r="C105" s="1722"/>
      <c r="D105" s="1723"/>
      <c r="E105" s="698"/>
      <c r="F105" s="721"/>
      <c r="G105" s="31" t="str">
        <f t="shared" si="9"/>
        <v xml:space="preserve"> </v>
      </c>
      <c r="H105" s="728"/>
      <c r="I105" s="31" t="str">
        <f t="shared" si="10"/>
        <v xml:space="preserve"> </v>
      </c>
      <c r="J105" s="734"/>
      <c r="K105" s="307" t="str">
        <f t="shared" si="11"/>
        <v xml:space="preserve"> </v>
      </c>
    </row>
    <row r="106" spans="1:11" ht="15">
      <c r="A106" s="67"/>
      <c r="B106" s="145">
        <v>16</v>
      </c>
      <c r="C106" s="1722"/>
      <c r="D106" s="1723"/>
      <c r="E106" s="698"/>
      <c r="F106" s="723"/>
      <c r="G106" s="31" t="str">
        <f t="shared" si="9"/>
        <v xml:space="preserve"> </v>
      </c>
      <c r="H106" s="730"/>
      <c r="I106" s="31" t="str">
        <f t="shared" si="10"/>
        <v xml:space="preserve"> </v>
      </c>
      <c r="J106" s="736"/>
      <c r="K106" s="307" t="str">
        <f t="shared" si="11"/>
        <v xml:space="preserve"> </v>
      </c>
    </row>
    <row r="107" spans="1:11" ht="15">
      <c r="A107" s="67"/>
      <c r="B107" s="145">
        <v>17</v>
      </c>
      <c r="C107" s="1722"/>
      <c r="D107" s="1723"/>
      <c r="E107" s="705"/>
      <c r="F107" s="724"/>
      <c r="G107" s="31" t="str">
        <f t="shared" si="9"/>
        <v xml:space="preserve"> </v>
      </c>
      <c r="H107" s="731"/>
      <c r="I107" s="31" t="str">
        <f t="shared" si="10"/>
        <v xml:space="preserve"> </v>
      </c>
      <c r="J107" s="737"/>
      <c r="K107" s="307" t="str">
        <f t="shared" si="11"/>
        <v xml:space="preserve"> </v>
      </c>
    </row>
    <row r="108" spans="1:11" ht="15.4" thickBot="1">
      <c r="A108" s="67"/>
      <c r="B108" s="883">
        <v>18</v>
      </c>
      <c r="C108" s="1726"/>
      <c r="D108" s="1727"/>
      <c r="E108" s="699"/>
      <c r="F108" s="725"/>
      <c r="G108" s="330" t="str">
        <f t="shared" si="9"/>
        <v xml:space="preserve"> </v>
      </c>
      <c r="H108" s="725"/>
      <c r="I108" s="330" t="str">
        <f t="shared" si="10"/>
        <v xml:space="preserve"> </v>
      </c>
      <c r="J108" s="725"/>
      <c r="K108" s="331" t="str">
        <f t="shared" si="11"/>
        <v xml:space="preserve"> </v>
      </c>
    </row>
    <row r="109" spans="1:11" ht="15.75" thickTop="1" thickBot="1">
      <c r="A109" s="67"/>
      <c r="B109" s="887"/>
      <c r="C109" s="1728" t="s">
        <v>317</v>
      </c>
      <c r="D109" s="1729"/>
      <c r="E109" s="884">
        <f>SUM(E91:E108)</f>
        <v>21254</v>
      </c>
      <c r="F109" s="884">
        <f>SUM(F91:F108)</f>
        <v>21254</v>
      </c>
      <c r="G109" s="885">
        <f t="shared" si="9"/>
        <v>0</v>
      </c>
      <c r="H109" s="884">
        <f>SUM(H91:H108)</f>
        <v>21411</v>
      </c>
      <c r="I109" s="885">
        <f t="shared" si="10"/>
        <v>7.3868448292086194E-3</v>
      </c>
      <c r="J109" s="884">
        <f>SUM(J91:J108)</f>
        <v>21411</v>
      </c>
      <c r="K109" s="886">
        <f t="shared" si="11"/>
        <v>0</v>
      </c>
    </row>
    <row r="110" spans="1:11" ht="13.5" customHeight="1" thickTop="1">
      <c r="A110" s="67"/>
      <c r="B110" s="1"/>
      <c r="C110" s="1"/>
      <c r="D110" s="1"/>
      <c r="E110" s="1"/>
      <c r="F110" s="1772"/>
      <c r="G110" s="1772"/>
      <c r="H110" s="1772"/>
      <c r="I110" s="1772"/>
      <c r="J110" s="1772"/>
      <c r="K110" s="1773"/>
    </row>
    <row r="111" spans="1:11" ht="15">
      <c r="A111" s="67"/>
      <c r="B111" s="164"/>
      <c r="C111" s="164" t="s">
        <v>326</v>
      </c>
      <c r="D111" s="164"/>
      <c r="E111" s="164"/>
      <c r="F111" s="1730"/>
      <c r="G111" s="1730"/>
      <c r="H111" s="1730"/>
      <c r="I111" s="1730"/>
      <c r="J111" s="1730"/>
      <c r="K111" s="1731"/>
    </row>
    <row r="112" spans="1:11" ht="15">
      <c r="A112" s="67"/>
      <c r="B112" s="287">
        <v>1</v>
      </c>
      <c r="C112" s="1724" t="s">
        <v>535</v>
      </c>
      <c r="D112" s="1725"/>
      <c r="E112" s="1213">
        <v>0</v>
      </c>
      <c r="F112" s="722">
        <v>10000</v>
      </c>
      <c r="G112" s="31" t="str">
        <f t="shared" ref="G112:G118" si="12">IF(E112&lt;1," ",IF(F112&lt;1," ",(F112-E112)/E112))</f>
        <v xml:space="preserve"> </v>
      </c>
      <c r="H112" s="1213">
        <v>10000</v>
      </c>
      <c r="I112" s="31">
        <f t="shared" ref="I112:I118" si="13">IF(F112&lt;1," ",IF(H112&lt;1," ",(H112-F112)/F112))</f>
        <v>0</v>
      </c>
      <c r="J112" s="1213">
        <v>10000</v>
      </c>
      <c r="K112" s="307">
        <f t="shared" ref="K112:K118" si="14">IF(H112&lt;1," ",IF(J112&lt;1," ",(J112-H112)/H112))</f>
        <v>0</v>
      </c>
    </row>
    <row r="113" spans="1:11" ht="15">
      <c r="A113" s="67"/>
      <c r="B113" s="287">
        <v>2</v>
      </c>
      <c r="C113" s="1724" t="s">
        <v>536</v>
      </c>
      <c r="D113" s="1725"/>
      <c r="E113" s="1214">
        <v>500</v>
      </c>
      <c r="F113" s="740">
        <v>0</v>
      </c>
      <c r="G113" s="78" t="str">
        <f t="shared" si="12"/>
        <v xml:space="preserve"> </v>
      </c>
      <c r="H113" s="1214">
        <v>0</v>
      </c>
      <c r="I113" s="78" t="str">
        <f t="shared" si="13"/>
        <v xml:space="preserve"> </v>
      </c>
      <c r="J113" s="1214">
        <v>0</v>
      </c>
      <c r="K113" s="332" t="str">
        <f t="shared" si="14"/>
        <v xml:space="preserve"> </v>
      </c>
    </row>
    <row r="114" spans="1:11" ht="15">
      <c r="A114" s="67"/>
      <c r="B114" s="287">
        <v>3</v>
      </c>
      <c r="C114" s="1724" t="s">
        <v>537</v>
      </c>
      <c r="D114" s="1725"/>
      <c r="E114" s="741">
        <v>179500</v>
      </c>
      <c r="F114" s="725">
        <v>150000</v>
      </c>
      <c r="G114" s="330">
        <f t="shared" si="12"/>
        <v>-0.16434540389972144</v>
      </c>
      <c r="H114" s="741">
        <v>150000</v>
      </c>
      <c r="I114" s="330">
        <f t="shared" si="13"/>
        <v>0</v>
      </c>
      <c r="J114" s="741">
        <v>150000</v>
      </c>
      <c r="K114" s="331">
        <f t="shared" si="14"/>
        <v>0</v>
      </c>
    </row>
    <row r="115" spans="1:11" ht="15">
      <c r="A115" s="67"/>
      <c r="B115" s="287">
        <v>4</v>
      </c>
      <c r="C115" s="1724"/>
      <c r="D115" s="1725"/>
      <c r="E115" s="741"/>
      <c r="F115" s="722"/>
      <c r="G115" s="31" t="str">
        <f t="shared" si="12"/>
        <v xml:space="preserve"> </v>
      </c>
      <c r="H115" s="741"/>
      <c r="I115" s="31" t="str">
        <f t="shared" si="13"/>
        <v xml:space="preserve"> </v>
      </c>
      <c r="J115" s="741"/>
      <c r="K115" s="307" t="str">
        <f t="shared" si="14"/>
        <v xml:space="preserve"> </v>
      </c>
    </row>
    <row r="116" spans="1:11" ht="15">
      <c r="A116" s="67"/>
      <c r="B116" s="287">
        <v>5</v>
      </c>
      <c r="C116" s="1724"/>
      <c r="D116" s="1725"/>
      <c r="E116" s="741"/>
      <c r="F116" s="722"/>
      <c r="G116" s="31" t="str">
        <f t="shared" si="12"/>
        <v xml:space="preserve"> </v>
      </c>
      <c r="H116" s="741"/>
      <c r="I116" s="31" t="str">
        <f t="shared" si="13"/>
        <v xml:space="preserve"> </v>
      </c>
      <c r="J116" s="741"/>
      <c r="K116" s="307" t="str">
        <f t="shared" si="14"/>
        <v xml:space="preserve"> </v>
      </c>
    </row>
    <row r="117" spans="1:11" ht="15.4" thickBot="1">
      <c r="A117" s="67"/>
      <c r="B117" s="288">
        <v>6</v>
      </c>
      <c r="C117" s="1722"/>
      <c r="D117" s="1723"/>
      <c r="E117" s="741"/>
      <c r="F117" s="725"/>
      <c r="G117" s="94" t="str">
        <f t="shared" si="12"/>
        <v xml:space="preserve"> </v>
      </c>
      <c r="H117" s="741"/>
      <c r="I117" s="94" t="str">
        <f t="shared" si="13"/>
        <v xml:space="preserve"> </v>
      </c>
      <c r="J117" s="741"/>
      <c r="K117" s="308" t="str">
        <f t="shared" si="14"/>
        <v xml:space="preserve"> </v>
      </c>
    </row>
    <row r="118" spans="1:11" ht="15.75" thickTop="1" thickBot="1">
      <c r="A118" s="236"/>
      <c r="B118" s="887"/>
      <c r="C118" s="1728" t="s">
        <v>316</v>
      </c>
      <c r="D118" s="1729"/>
      <c r="E118" s="884">
        <f>SUM(E112:E117)</f>
        <v>180000</v>
      </c>
      <c r="F118" s="884">
        <f>SUM(F112:F117)</f>
        <v>160000</v>
      </c>
      <c r="G118" s="885">
        <f t="shared" si="12"/>
        <v>-0.1111111111111111</v>
      </c>
      <c r="H118" s="884">
        <f>SUM(H112:H117)</f>
        <v>160000</v>
      </c>
      <c r="I118" s="885">
        <f t="shared" si="13"/>
        <v>0</v>
      </c>
      <c r="J118" s="884">
        <f>SUM(J112:J117)</f>
        <v>160000</v>
      </c>
      <c r="K118" s="886">
        <f t="shared" si="14"/>
        <v>0</v>
      </c>
    </row>
    <row r="119" spans="1:11" ht="15.4">
      <c r="A119" s="2"/>
      <c r="B119" s="3"/>
      <c r="C119" s="3"/>
      <c r="D119" s="46"/>
      <c r="F119" s="4"/>
      <c r="G119" s="47"/>
      <c r="H119" s="4"/>
      <c r="I119" s="47"/>
      <c r="J119" s="4"/>
      <c r="K119" s="47"/>
    </row>
    <row r="120" spans="1:11" ht="15.4">
      <c r="A120" s="2"/>
      <c r="B120" s="2"/>
      <c r="C120" s="2"/>
      <c r="D120" s="2"/>
      <c r="E120" s="2"/>
      <c r="F120" s="2"/>
      <c r="G120" s="32"/>
      <c r="H120" s="2"/>
      <c r="I120" s="32"/>
      <c r="J120" s="2"/>
      <c r="K120" s="32"/>
    </row>
    <row r="121" spans="1:11" ht="15.4">
      <c r="A121" s="2"/>
      <c r="B121" s="2"/>
      <c r="C121" s="2"/>
      <c r="D121" s="2"/>
      <c r="E121" s="2"/>
      <c r="F121" s="2"/>
      <c r="G121" s="32"/>
      <c r="H121" s="2"/>
      <c r="I121" s="32"/>
      <c r="J121" s="2"/>
      <c r="K121" s="32"/>
    </row>
    <row r="122" spans="1:11" ht="15.4">
      <c r="A122" s="2"/>
      <c r="B122" s="2"/>
      <c r="C122" s="2"/>
      <c r="D122" s="2"/>
      <c r="E122" s="2"/>
      <c r="F122" s="2"/>
      <c r="G122" s="32"/>
      <c r="H122" s="2"/>
      <c r="I122" s="32"/>
      <c r="J122" s="2"/>
      <c r="K122" s="32"/>
    </row>
    <row r="123" spans="1:11" ht="15.4">
      <c r="A123" s="2"/>
      <c r="B123" s="2"/>
      <c r="C123" s="2"/>
      <c r="D123" s="2"/>
      <c r="E123" s="2"/>
      <c r="F123" s="2"/>
      <c r="G123" s="32"/>
      <c r="H123" s="2"/>
      <c r="I123" s="32"/>
      <c r="J123" s="2"/>
      <c r="K123" s="32"/>
    </row>
    <row r="124" spans="1:11" ht="15.4">
      <c r="A124" s="2"/>
      <c r="B124" s="2"/>
      <c r="C124" s="2"/>
      <c r="D124" s="2"/>
      <c r="E124" s="2"/>
      <c r="F124" s="2"/>
      <c r="G124" s="32"/>
      <c r="H124" s="2"/>
      <c r="I124" s="32"/>
      <c r="J124" s="2"/>
      <c r="K124" s="32"/>
    </row>
    <row r="125" spans="1:11" ht="15.4">
      <c r="A125" s="2"/>
      <c r="B125" s="2"/>
      <c r="C125" s="2"/>
      <c r="D125" s="2"/>
      <c r="E125" s="2"/>
      <c r="F125" s="2"/>
      <c r="G125" s="32"/>
      <c r="H125" s="2"/>
      <c r="I125" s="32"/>
      <c r="J125" s="2"/>
      <c r="K125" s="32"/>
    </row>
    <row r="126" spans="1:11" ht="15.4">
      <c r="A126" s="2"/>
      <c r="B126" s="2"/>
      <c r="C126" s="2"/>
      <c r="D126" s="2"/>
      <c r="E126" s="2"/>
      <c r="F126" s="2"/>
      <c r="G126" s="32"/>
      <c r="H126" s="2"/>
      <c r="I126" s="32"/>
      <c r="J126" s="2"/>
      <c r="K126" s="32"/>
    </row>
    <row r="127" spans="1:11" ht="15.4">
      <c r="A127" s="2"/>
      <c r="B127" s="2"/>
      <c r="C127" s="2"/>
      <c r="D127" s="2"/>
      <c r="E127" s="2"/>
      <c r="F127" s="2"/>
      <c r="G127" s="32"/>
      <c r="H127" s="2"/>
      <c r="I127" s="32"/>
      <c r="J127" s="2"/>
      <c r="K127" s="32"/>
    </row>
    <row r="128" spans="1:11" ht="15.4">
      <c r="A128" s="2"/>
      <c r="B128" s="2"/>
      <c r="C128" s="2"/>
      <c r="D128" s="2"/>
      <c r="E128" s="2"/>
      <c r="F128" s="2"/>
      <c r="G128" s="32"/>
      <c r="H128" s="2"/>
      <c r="I128" s="32"/>
      <c r="J128" s="2"/>
      <c r="K128" s="32"/>
    </row>
    <row r="129" spans="1:11" ht="15.4">
      <c r="A129" s="2"/>
      <c r="B129" s="2"/>
      <c r="C129" s="2"/>
      <c r="D129" s="2"/>
      <c r="E129" s="2"/>
      <c r="F129" s="2"/>
      <c r="G129" s="32"/>
      <c r="H129" s="2"/>
      <c r="I129" s="32"/>
      <c r="J129" s="2"/>
      <c r="K129" s="32"/>
    </row>
    <row r="130" spans="1:11" ht="15.4">
      <c r="A130" s="2"/>
      <c r="B130" s="2"/>
      <c r="C130" s="2"/>
      <c r="D130" s="2"/>
      <c r="E130" s="2"/>
      <c r="F130" s="2"/>
      <c r="G130" s="32"/>
      <c r="H130" s="2"/>
      <c r="I130" s="32"/>
      <c r="J130" s="2"/>
      <c r="K130" s="32"/>
    </row>
    <row r="131" spans="1:11" ht="15.4">
      <c r="A131" s="2"/>
      <c r="B131" s="2"/>
      <c r="C131" s="2"/>
      <c r="D131" s="2"/>
      <c r="E131" s="2"/>
      <c r="F131" s="2"/>
      <c r="G131" s="32"/>
      <c r="H131" s="2"/>
      <c r="I131" s="32"/>
      <c r="J131" s="2"/>
      <c r="K131" s="32"/>
    </row>
    <row r="132" spans="1:11" ht="15.4">
      <c r="A132" s="2"/>
      <c r="B132" s="2"/>
      <c r="C132" s="2"/>
      <c r="D132" s="2"/>
      <c r="E132" s="2"/>
      <c r="F132" s="2"/>
      <c r="G132" s="32"/>
      <c r="H132" s="2"/>
      <c r="I132" s="32"/>
      <c r="J132" s="2"/>
      <c r="K132" s="32"/>
    </row>
    <row r="133" spans="1:11" ht="15.4">
      <c r="A133" s="2"/>
      <c r="B133" s="2"/>
      <c r="C133" s="2"/>
      <c r="D133" s="2"/>
      <c r="E133" s="2"/>
      <c r="F133" s="2"/>
      <c r="G133" s="32"/>
      <c r="H133" s="2"/>
      <c r="I133" s="32"/>
      <c r="J133" s="2"/>
      <c r="K133" s="32"/>
    </row>
    <row r="134" spans="1:11" ht="15.4">
      <c r="A134" s="2"/>
      <c r="B134" s="2"/>
      <c r="C134" s="2"/>
      <c r="D134" s="2"/>
      <c r="E134" s="2"/>
      <c r="F134" s="2"/>
      <c r="G134" s="32"/>
      <c r="H134" s="2"/>
      <c r="I134" s="32"/>
      <c r="J134" s="2"/>
      <c r="K134" s="32"/>
    </row>
    <row r="135" spans="1:11" ht="15.4">
      <c r="A135" s="2"/>
      <c r="B135" s="2"/>
      <c r="C135" s="2"/>
      <c r="D135" s="2"/>
      <c r="E135" s="2"/>
      <c r="F135" s="2"/>
      <c r="G135" s="32"/>
      <c r="H135" s="2"/>
      <c r="I135" s="32"/>
      <c r="J135" s="2"/>
      <c r="K135" s="32"/>
    </row>
    <row r="136" spans="1:11" ht="15.4">
      <c r="A136" s="2"/>
      <c r="B136" s="2"/>
      <c r="C136" s="2"/>
      <c r="D136" s="2"/>
      <c r="E136" s="2"/>
      <c r="F136" s="2"/>
      <c r="G136" s="32"/>
      <c r="H136" s="2"/>
      <c r="I136" s="32"/>
      <c r="J136" s="2"/>
      <c r="K136" s="32"/>
    </row>
    <row r="137" spans="1:11" ht="15.4">
      <c r="A137" s="2"/>
      <c r="B137" s="2"/>
      <c r="C137" s="2"/>
      <c r="D137" s="2"/>
      <c r="E137" s="2"/>
      <c r="F137" s="2"/>
      <c r="G137" s="32"/>
      <c r="H137" s="2"/>
      <c r="I137" s="32"/>
      <c r="J137" s="2"/>
      <c r="K137" s="32"/>
    </row>
    <row r="138" spans="1:11" ht="15.4">
      <c r="A138" s="2"/>
      <c r="B138" s="2"/>
      <c r="C138" s="2"/>
      <c r="D138" s="2"/>
      <c r="E138" s="2"/>
      <c r="F138" s="2"/>
      <c r="G138" s="32"/>
      <c r="H138" s="2"/>
      <c r="I138" s="32"/>
      <c r="J138" s="2"/>
      <c r="K138" s="32"/>
    </row>
    <row r="139" spans="1:11" ht="15.4">
      <c r="A139" s="2"/>
      <c r="B139" s="2"/>
      <c r="C139" s="2"/>
      <c r="D139" s="2"/>
      <c r="E139" s="2"/>
      <c r="F139" s="2"/>
      <c r="G139" s="32"/>
      <c r="H139" s="2"/>
      <c r="I139" s="32"/>
      <c r="J139" s="2"/>
      <c r="K139" s="32"/>
    </row>
    <row r="140" spans="1:11" ht="15.4">
      <c r="A140" s="2"/>
      <c r="B140" s="2"/>
      <c r="C140" s="2"/>
      <c r="D140" s="2"/>
      <c r="E140" s="2"/>
      <c r="F140" s="2"/>
      <c r="G140" s="32"/>
      <c r="H140" s="2"/>
      <c r="I140" s="32"/>
      <c r="J140" s="2"/>
      <c r="K140" s="32"/>
    </row>
    <row r="141" spans="1:11" ht="15.4">
      <c r="A141" s="2"/>
      <c r="B141" s="2"/>
      <c r="C141" s="2"/>
      <c r="D141" s="2"/>
      <c r="E141" s="2"/>
      <c r="F141" s="2"/>
      <c r="G141" s="32"/>
      <c r="H141" s="2"/>
      <c r="I141" s="32"/>
      <c r="J141" s="2"/>
      <c r="K141" s="32"/>
    </row>
    <row r="142" spans="1:11" ht="15.4">
      <c r="A142" s="2"/>
      <c r="B142" s="2"/>
      <c r="C142" s="2"/>
      <c r="D142" s="2"/>
      <c r="E142" s="2"/>
      <c r="F142" s="2"/>
      <c r="G142" s="32"/>
      <c r="H142" s="2"/>
      <c r="I142" s="32"/>
      <c r="J142" s="2"/>
      <c r="K142" s="32"/>
    </row>
    <row r="143" spans="1:11" ht="15.4">
      <c r="A143" s="2"/>
      <c r="B143" s="2"/>
      <c r="C143" s="2"/>
      <c r="D143" s="2"/>
      <c r="E143" s="2"/>
      <c r="F143" s="2"/>
      <c r="G143" s="32"/>
      <c r="H143" s="2"/>
      <c r="I143" s="32"/>
      <c r="J143" s="2"/>
      <c r="K143" s="32"/>
    </row>
    <row r="144" spans="1:11" ht="15.4">
      <c r="A144" s="2"/>
      <c r="B144" s="2"/>
      <c r="C144" s="2"/>
      <c r="D144" s="2"/>
      <c r="E144" s="2"/>
      <c r="F144" s="2"/>
      <c r="G144" s="32"/>
      <c r="H144" s="2"/>
      <c r="I144" s="32"/>
      <c r="J144" s="2"/>
      <c r="K144" s="32"/>
    </row>
    <row r="145" spans="1:11" ht="15.4">
      <c r="A145" s="2"/>
      <c r="B145" s="2"/>
      <c r="C145" s="2"/>
      <c r="D145" s="2"/>
      <c r="E145" s="2"/>
      <c r="F145" s="2"/>
      <c r="G145" s="32"/>
      <c r="H145" s="2"/>
      <c r="I145" s="32"/>
      <c r="J145" s="2"/>
      <c r="K145" s="32"/>
    </row>
    <row r="146" spans="1:11" ht="15.4">
      <c r="A146" s="2"/>
      <c r="B146" s="2"/>
      <c r="C146" s="2"/>
      <c r="D146" s="2"/>
      <c r="E146" s="2"/>
      <c r="F146" s="2"/>
      <c r="G146" s="32"/>
      <c r="H146" s="2"/>
      <c r="I146" s="32"/>
      <c r="J146" s="2"/>
      <c r="K146" s="32"/>
    </row>
    <row r="147" spans="1:11" ht="15.4">
      <c r="A147" s="2"/>
      <c r="B147" s="2"/>
      <c r="C147" s="2"/>
      <c r="D147" s="2"/>
      <c r="E147" s="2"/>
      <c r="F147" s="2"/>
      <c r="G147" s="32"/>
      <c r="H147" s="2"/>
      <c r="I147" s="32"/>
      <c r="J147" s="2"/>
      <c r="K147" s="32"/>
    </row>
    <row r="148" spans="1:11" ht="15.4">
      <c r="A148" s="2"/>
      <c r="B148" s="2"/>
      <c r="C148" s="2"/>
      <c r="D148" s="2"/>
      <c r="E148" s="2"/>
      <c r="F148" s="2"/>
      <c r="G148" s="32"/>
      <c r="H148" s="2"/>
      <c r="I148" s="32"/>
      <c r="J148" s="2"/>
      <c r="K148" s="32"/>
    </row>
    <row r="149" spans="1:11" ht="15.4">
      <c r="A149" s="2"/>
      <c r="B149" s="2"/>
      <c r="C149" s="2"/>
      <c r="D149" s="2"/>
      <c r="E149" s="2"/>
      <c r="F149" s="2"/>
      <c r="G149" s="32"/>
      <c r="H149" s="2"/>
      <c r="I149" s="32"/>
      <c r="J149" s="2"/>
      <c r="K149" s="32"/>
    </row>
    <row r="150" spans="1:11" ht="15.4">
      <c r="A150" s="2"/>
      <c r="B150" s="2"/>
      <c r="C150" s="2"/>
      <c r="D150" s="2"/>
      <c r="E150" s="2"/>
      <c r="F150" s="2"/>
      <c r="G150" s="32"/>
      <c r="H150" s="2"/>
      <c r="I150" s="32"/>
      <c r="J150" s="2"/>
      <c r="K150" s="32"/>
    </row>
    <row r="151" spans="1:11" ht="15.4">
      <c r="A151" s="2"/>
      <c r="B151" s="2"/>
      <c r="C151" s="2"/>
      <c r="D151" s="2"/>
      <c r="E151" s="2"/>
      <c r="F151" s="2"/>
      <c r="G151" s="32"/>
      <c r="H151" s="2"/>
      <c r="I151" s="32"/>
      <c r="J151" s="2"/>
      <c r="K151" s="32"/>
    </row>
    <row r="152" spans="1:11" ht="15.4">
      <c r="A152" s="2"/>
      <c r="B152" s="2"/>
      <c r="C152" s="2"/>
      <c r="D152" s="2"/>
      <c r="E152" s="2"/>
      <c r="F152" s="2"/>
      <c r="G152" s="32"/>
      <c r="H152" s="2"/>
      <c r="I152" s="32"/>
      <c r="J152" s="2"/>
      <c r="K152" s="32"/>
    </row>
    <row r="153" spans="1:11" ht="15.4">
      <c r="A153" s="2"/>
      <c r="B153" s="2"/>
      <c r="C153" s="2"/>
      <c r="D153" s="2"/>
      <c r="E153" s="2"/>
      <c r="F153" s="2"/>
      <c r="G153" s="32"/>
      <c r="H153" s="2"/>
      <c r="I153" s="32"/>
      <c r="J153" s="2"/>
      <c r="K153" s="32"/>
    </row>
    <row r="154" spans="1:11" ht="15.4">
      <c r="A154" s="2"/>
      <c r="B154" s="2"/>
      <c r="C154" s="2"/>
      <c r="D154" s="2"/>
      <c r="E154" s="2"/>
      <c r="F154" s="2"/>
      <c r="G154" s="32"/>
      <c r="H154" s="2"/>
      <c r="I154" s="32"/>
      <c r="J154" s="2"/>
      <c r="K154" s="32"/>
    </row>
    <row r="155" spans="1:11" ht="15.4">
      <c r="A155" s="2"/>
      <c r="B155" s="2"/>
      <c r="C155" s="2"/>
      <c r="D155" s="2"/>
      <c r="E155" s="2"/>
      <c r="F155" s="2"/>
      <c r="G155" s="32"/>
      <c r="H155" s="2"/>
      <c r="I155" s="32"/>
      <c r="J155" s="2"/>
      <c r="K155" s="32"/>
    </row>
    <row r="156" spans="1:11" ht="15.4">
      <c r="A156" s="2"/>
      <c r="B156" s="2"/>
      <c r="C156" s="2"/>
      <c r="D156" s="2"/>
      <c r="E156" s="2"/>
      <c r="F156" s="2"/>
      <c r="G156" s="32"/>
      <c r="H156" s="2"/>
      <c r="I156" s="32"/>
      <c r="J156" s="2"/>
      <c r="K156" s="32"/>
    </row>
    <row r="157" spans="1:11" ht="15.4">
      <c r="A157" s="2"/>
      <c r="B157" s="2"/>
      <c r="C157" s="2"/>
      <c r="D157" s="2"/>
      <c r="E157" s="2"/>
      <c r="F157" s="2"/>
      <c r="G157" s="32"/>
      <c r="H157" s="2"/>
      <c r="I157" s="32"/>
      <c r="J157" s="2"/>
      <c r="K157" s="32"/>
    </row>
    <row r="158" spans="1:11" ht="15.4">
      <c r="A158" s="2"/>
      <c r="B158" s="2"/>
      <c r="C158" s="2"/>
      <c r="D158" s="2"/>
      <c r="E158" s="2"/>
      <c r="F158" s="2"/>
      <c r="G158" s="32"/>
      <c r="H158" s="2"/>
      <c r="I158" s="32"/>
      <c r="J158" s="2"/>
      <c r="K158" s="32"/>
    </row>
    <row r="159" spans="1:11" ht="15.4">
      <c r="A159" s="2"/>
      <c r="B159" s="2"/>
      <c r="C159" s="2"/>
      <c r="D159" s="2"/>
      <c r="E159" s="2"/>
      <c r="F159" s="2"/>
      <c r="G159" s="32"/>
      <c r="H159" s="2"/>
      <c r="I159" s="32"/>
      <c r="J159" s="2"/>
      <c r="K159" s="32"/>
    </row>
    <row r="160" spans="1:11" ht="15.4">
      <c r="A160" s="2"/>
      <c r="B160" s="2"/>
      <c r="C160" s="2"/>
      <c r="D160" s="2"/>
      <c r="E160" s="2"/>
      <c r="F160" s="2"/>
      <c r="G160" s="32"/>
      <c r="H160" s="2"/>
      <c r="I160" s="32"/>
      <c r="J160" s="2"/>
      <c r="K160" s="32"/>
    </row>
    <row r="161" spans="1:11" ht="15.4">
      <c r="A161" s="2"/>
      <c r="B161" s="2"/>
      <c r="C161" s="2"/>
      <c r="D161" s="2"/>
      <c r="E161" s="2"/>
      <c r="F161" s="2"/>
      <c r="G161" s="32"/>
      <c r="H161" s="2"/>
      <c r="I161" s="32"/>
      <c r="J161" s="2"/>
      <c r="K161" s="32"/>
    </row>
    <row r="162" spans="1:11" ht="15.4">
      <c r="A162" s="2"/>
      <c r="B162" s="2"/>
      <c r="C162" s="2"/>
      <c r="D162" s="2"/>
      <c r="E162" s="2"/>
      <c r="F162" s="2"/>
      <c r="G162" s="32"/>
      <c r="H162" s="2"/>
      <c r="I162" s="32"/>
      <c r="J162" s="2"/>
      <c r="K162" s="32"/>
    </row>
    <row r="163" spans="1:11" ht="15.4">
      <c r="A163" s="2"/>
      <c r="B163" s="2"/>
      <c r="C163" s="2"/>
      <c r="D163" s="2"/>
      <c r="E163" s="2"/>
      <c r="F163" s="2"/>
      <c r="G163" s="32"/>
      <c r="H163" s="2"/>
      <c r="I163" s="32"/>
      <c r="J163" s="2"/>
      <c r="K163" s="32"/>
    </row>
    <row r="164" spans="1:11" ht="15.4">
      <c r="A164" s="2"/>
      <c r="B164" s="2"/>
      <c r="C164" s="2"/>
      <c r="D164" s="2"/>
      <c r="E164" s="2"/>
      <c r="F164" s="2"/>
      <c r="G164" s="32"/>
      <c r="H164" s="2"/>
      <c r="I164" s="32"/>
      <c r="J164" s="2"/>
      <c r="K164" s="32"/>
    </row>
    <row r="165" spans="1:11" ht="15.4">
      <c r="A165" s="2"/>
      <c r="B165" s="2"/>
      <c r="C165" s="2"/>
      <c r="D165" s="2"/>
      <c r="E165" s="2"/>
      <c r="F165" s="2"/>
      <c r="G165" s="32"/>
      <c r="H165" s="2"/>
      <c r="I165" s="32"/>
      <c r="J165" s="2"/>
      <c r="K165" s="32"/>
    </row>
    <row r="166" spans="1:11" ht="15.4">
      <c r="A166" s="2"/>
      <c r="B166" s="2"/>
      <c r="C166" s="2"/>
      <c r="D166" s="2"/>
      <c r="E166" s="2"/>
      <c r="F166" s="2"/>
      <c r="G166" s="32"/>
      <c r="H166" s="2"/>
      <c r="I166" s="32"/>
      <c r="J166" s="2"/>
      <c r="K166" s="32"/>
    </row>
    <row r="167" spans="1:11" ht="15.4">
      <c r="A167" s="2"/>
      <c r="B167" s="2"/>
      <c r="C167" s="2"/>
      <c r="D167" s="2"/>
      <c r="E167" s="2"/>
      <c r="F167" s="2"/>
      <c r="G167" s="32"/>
      <c r="H167" s="2"/>
      <c r="I167" s="32"/>
      <c r="J167" s="2"/>
      <c r="K167" s="32"/>
    </row>
    <row r="168" spans="1:11" ht="15.4">
      <c r="A168" s="2"/>
      <c r="B168" s="2"/>
      <c r="C168" s="2"/>
      <c r="D168" s="2"/>
      <c r="E168" s="2"/>
      <c r="F168" s="2"/>
      <c r="G168" s="32"/>
      <c r="H168" s="2"/>
      <c r="I168" s="32"/>
      <c r="J168" s="2"/>
      <c r="K168" s="32"/>
    </row>
    <row r="169" spans="1:11" ht="15.4">
      <c r="A169" s="2"/>
      <c r="B169" s="2"/>
      <c r="C169" s="2"/>
      <c r="D169" s="2"/>
      <c r="E169" s="2"/>
      <c r="F169" s="2"/>
      <c r="G169" s="32"/>
      <c r="H169" s="2"/>
      <c r="I169" s="32"/>
      <c r="J169" s="2"/>
      <c r="K169" s="32"/>
    </row>
    <row r="170" spans="1:11" ht="15.4">
      <c r="A170" s="2"/>
      <c r="B170" s="2"/>
      <c r="C170" s="2"/>
      <c r="D170" s="2"/>
      <c r="E170" s="2"/>
      <c r="F170" s="2"/>
      <c r="G170" s="32"/>
      <c r="H170" s="2"/>
      <c r="I170" s="32"/>
      <c r="J170" s="2"/>
      <c r="K170" s="32"/>
    </row>
    <row r="171" spans="1:11" ht="15.4">
      <c r="A171" s="2"/>
      <c r="B171" s="2"/>
      <c r="C171" s="2"/>
      <c r="D171" s="2"/>
      <c r="E171" s="2"/>
      <c r="F171" s="2"/>
      <c r="G171" s="32"/>
      <c r="H171" s="2"/>
      <c r="I171" s="32"/>
      <c r="J171" s="2"/>
      <c r="K171" s="32"/>
    </row>
    <row r="172" spans="1:11" ht="15.4">
      <c r="A172" s="2"/>
      <c r="B172" s="2"/>
      <c r="C172" s="2"/>
      <c r="D172" s="2"/>
      <c r="E172" s="2"/>
      <c r="F172" s="2"/>
      <c r="G172" s="32"/>
      <c r="H172" s="2"/>
      <c r="I172" s="32"/>
      <c r="J172" s="2"/>
      <c r="K172" s="32"/>
    </row>
    <row r="173" spans="1:11" ht="15.4">
      <c r="A173" s="2"/>
      <c r="B173" s="2"/>
      <c r="C173" s="2"/>
      <c r="D173" s="2"/>
      <c r="E173" s="2"/>
      <c r="F173" s="2"/>
      <c r="G173" s="32"/>
      <c r="H173" s="2"/>
      <c r="I173" s="32"/>
      <c r="J173" s="2"/>
      <c r="K173" s="32"/>
    </row>
    <row r="174" spans="1:11" ht="15.4">
      <c r="A174" s="2"/>
      <c r="B174" s="2"/>
      <c r="C174" s="2"/>
      <c r="D174" s="2"/>
      <c r="E174" s="2"/>
      <c r="F174" s="2"/>
      <c r="G174" s="32"/>
      <c r="H174" s="2"/>
      <c r="I174" s="32"/>
      <c r="J174" s="2"/>
      <c r="K174" s="32"/>
    </row>
    <row r="175" spans="1:11" ht="15.4">
      <c r="A175" s="2"/>
      <c r="B175" s="2"/>
      <c r="C175" s="2"/>
      <c r="D175" s="2"/>
      <c r="E175" s="2"/>
      <c r="F175" s="2"/>
      <c r="G175" s="32"/>
      <c r="H175" s="2"/>
      <c r="I175" s="32"/>
      <c r="J175" s="2"/>
      <c r="K175" s="32"/>
    </row>
    <row r="176" spans="1:11" ht="15.4">
      <c r="A176" s="2"/>
      <c r="B176" s="2"/>
      <c r="C176" s="2"/>
      <c r="D176" s="2"/>
      <c r="E176" s="2"/>
      <c r="F176" s="2"/>
      <c r="G176" s="32"/>
      <c r="H176" s="2"/>
      <c r="I176" s="32"/>
      <c r="J176" s="2"/>
      <c r="K176" s="32"/>
    </row>
    <row r="177" spans="1:11" ht="15.4">
      <c r="A177" s="2"/>
      <c r="B177" s="2"/>
      <c r="C177" s="2"/>
      <c r="D177" s="2"/>
      <c r="E177" s="2"/>
      <c r="F177" s="2"/>
      <c r="G177" s="32"/>
      <c r="H177" s="2"/>
      <c r="I177" s="32"/>
      <c r="J177" s="2"/>
      <c r="K177" s="32"/>
    </row>
    <row r="178" spans="1:11" ht="15.4">
      <c r="A178" s="2"/>
      <c r="B178" s="2"/>
      <c r="C178" s="2"/>
      <c r="D178" s="2"/>
      <c r="E178" s="2"/>
      <c r="F178" s="2"/>
      <c r="G178" s="32"/>
      <c r="H178" s="2"/>
      <c r="I178" s="32"/>
      <c r="J178" s="2"/>
      <c r="K178" s="32"/>
    </row>
    <row r="179" spans="1:11" ht="15.4">
      <c r="A179" s="2"/>
      <c r="B179" s="2"/>
      <c r="C179" s="2"/>
      <c r="D179" s="2"/>
      <c r="E179" s="2"/>
      <c r="F179" s="2"/>
      <c r="G179" s="32"/>
      <c r="H179" s="2"/>
      <c r="I179" s="32"/>
      <c r="J179" s="2"/>
      <c r="K179" s="32"/>
    </row>
    <row r="180" spans="1:11" ht="15.4">
      <c r="A180" s="2"/>
      <c r="B180" s="2"/>
      <c r="C180" s="2"/>
      <c r="D180" s="2"/>
      <c r="E180" s="2"/>
      <c r="F180" s="2"/>
      <c r="G180" s="32"/>
      <c r="H180" s="2"/>
      <c r="I180" s="32"/>
      <c r="J180" s="2"/>
      <c r="K180" s="32"/>
    </row>
    <row r="181" spans="1:11" ht="15.4">
      <c r="A181" s="2"/>
      <c r="B181" s="2"/>
      <c r="C181" s="2"/>
      <c r="D181" s="2"/>
      <c r="E181" s="2"/>
      <c r="F181" s="2"/>
      <c r="G181" s="32"/>
      <c r="H181" s="2"/>
      <c r="I181" s="32"/>
      <c r="J181" s="2"/>
      <c r="K181" s="32"/>
    </row>
    <row r="182" spans="1:11" ht="15.4">
      <c r="A182" s="2"/>
      <c r="B182" s="2"/>
      <c r="C182" s="2"/>
      <c r="D182" s="2"/>
      <c r="E182" s="2"/>
      <c r="F182" s="2"/>
      <c r="G182" s="32"/>
      <c r="H182" s="2"/>
      <c r="I182" s="32"/>
      <c r="J182" s="2"/>
      <c r="K182" s="32"/>
    </row>
    <row r="183" spans="1:11" ht="15.4">
      <c r="A183" s="2"/>
      <c r="B183" s="2"/>
      <c r="C183" s="2"/>
      <c r="D183" s="2"/>
      <c r="E183" s="2"/>
      <c r="F183" s="2"/>
      <c r="G183" s="32"/>
      <c r="H183" s="2"/>
      <c r="I183" s="32"/>
      <c r="J183" s="2"/>
      <c r="K183" s="32"/>
    </row>
    <row r="184" spans="1:11" ht="15.4">
      <c r="A184" s="2"/>
      <c r="B184" s="2"/>
      <c r="C184" s="2"/>
      <c r="D184" s="2"/>
      <c r="E184" s="2"/>
      <c r="F184" s="2"/>
      <c r="G184" s="32"/>
      <c r="H184" s="2"/>
      <c r="I184" s="32"/>
      <c r="J184" s="2"/>
      <c r="K184" s="32"/>
    </row>
    <row r="185" spans="1:11" ht="15.4">
      <c r="A185" s="2"/>
      <c r="B185" s="2"/>
      <c r="C185" s="2"/>
      <c r="D185" s="2"/>
      <c r="E185" s="2"/>
      <c r="F185" s="2"/>
      <c r="G185" s="32"/>
      <c r="H185" s="2"/>
      <c r="I185" s="32"/>
      <c r="J185" s="2"/>
      <c r="K185" s="32"/>
    </row>
    <row r="186" spans="1:11" ht="15.4">
      <c r="A186" s="2"/>
      <c r="B186" s="2"/>
      <c r="C186" s="2"/>
      <c r="D186" s="2"/>
      <c r="E186" s="2"/>
      <c r="F186" s="2"/>
      <c r="G186" s="32"/>
      <c r="H186" s="2"/>
      <c r="I186" s="32"/>
      <c r="J186" s="2"/>
      <c r="K186" s="32"/>
    </row>
    <row r="187" spans="1:11" ht="15.4">
      <c r="A187" s="2"/>
      <c r="B187" s="2"/>
      <c r="C187" s="2"/>
      <c r="D187" s="2"/>
      <c r="E187" s="2"/>
      <c r="F187" s="2"/>
      <c r="G187" s="32"/>
      <c r="H187" s="2"/>
      <c r="I187" s="32"/>
      <c r="J187" s="2"/>
      <c r="K187" s="32"/>
    </row>
    <row r="188" spans="1:11" ht="15.4">
      <c r="A188" s="2"/>
      <c r="B188" s="2"/>
      <c r="C188" s="2"/>
      <c r="D188" s="2"/>
      <c r="E188" s="2"/>
      <c r="F188" s="2"/>
      <c r="G188" s="32"/>
      <c r="H188" s="2"/>
      <c r="I188" s="32"/>
      <c r="J188" s="2"/>
      <c r="K188" s="32"/>
    </row>
    <row r="189" spans="1:11" ht="15.4">
      <c r="A189" s="2"/>
      <c r="B189" s="2"/>
      <c r="C189" s="2"/>
      <c r="D189" s="2"/>
      <c r="E189" s="2"/>
      <c r="F189" s="2"/>
      <c r="G189" s="32"/>
      <c r="H189" s="2"/>
      <c r="I189" s="32"/>
      <c r="J189" s="2"/>
      <c r="K189" s="32"/>
    </row>
    <row r="190" spans="1:11" ht="15.4">
      <c r="A190" s="2"/>
      <c r="B190" s="2"/>
      <c r="C190" s="2"/>
      <c r="D190" s="2"/>
      <c r="E190" s="2"/>
      <c r="F190" s="2"/>
      <c r="G190" s="32"/>
      <c r="H190" s="2"/>
      <c r="I190" s="32"/>
      <c r="J190" s="2"/>
      <c r="K190" s="32"/>
    </row>
    <row r="191" spans="1:11" ht="15.4">
      <c r="A191" s="2"/>
      <c r="B191" s="2"/>
      <c r="C191" s="2"/>
      <c r="D191" s="2"/>
      <c r="E191" s="2"/>
      <c r="F191" s="2"/>
      <c r="G191" s="32"/>
      <c r="H191" s="2"/>
      <c r="I191" s="32"/>
      <c r="J191" s="2"/>
      <c r="K191" s="32"/>
    </row>
    <row r="192" spans="1:11" ht="15.4">
      <c r="A192" s="2"/>
      <c r="B192" s="2"/>
      <c r="C192" s="2"/>
      <c r="D192" s="2"/>
      <c r="E192" s="2"/>
      <c r="F192" s="2"/>
      <c r="G192" s="32"/>
      <c r="H192" s="2"/>
      <c r="I192" s="32"/>
      <c r="J192" s="2"/>
      <c r="K192" s="32"/>
    </row>
    <row r="193" spans="1:11" ht="15.4">
      <c r="A193" s="2"/>
      <c r="B193" s="2"/>
      <c r="C193" s="2"/>
      <c r="D193" s="2"/>
      <c r="E193" s="2"/>
      <c r="F193" s="2"/>
      <c r="G193" s="32"/>
      <c r="H193" s="2"/>
      <c r="I193" s="32"/>
      <c r="J193" s="2"/>
      <c r="K193" s="32"/>
    </row>
    <row r="194" spans="1:11" ht="15.4">
      <c r="A194" s="2"/>
      <c r="B194" s="2"/>
      <c r="C194" s="2"/>
      <c r="D194" s="2"/>
      <c r="E194" s="2"/>
      <c r="F194" s="2"/>
      <c r="G194" s="32"/>
      <c r="H194" s="2"/>
      <c r="I194" s="32"/>
      <c r="J194" s="2"/>
      <c r="K194" s="32"/>
    </row>
    <row r="195" spans="1:11" ht="15.4">
      <c r="A195" s="2"/>
      <c r="B195" s="2"/>
      <c r="C195" s="2"/>
      <c r="D195" s="2"/>
      <c r="E195" s="2"/>
      <c r="F195" s="2"/>
      <c r="G195" s="32"/>
      <c r="H195" s="2"/>
      <c r="I195" s="32"/>
      <c r="J195" s="2"/>
      <c r="K195" s="32"/>
    </row>
    <row r="196" spans="1:11" ht="15.4">
      <c r="A196" s="2"/>
      <c r="B196" s="2"/>
      <c r="C196" s="2"/>
      <c r="D196" s="2"/>
      <c r="E196" s="2"/>
      <c r="F196" s="2"/>
      <c r="G196" s="32"/>
      <c r="H196" s="2"/>
      <c r="I196" s="32"/>
      <c r="J196" s="2"/>
      <c r="K196" s="32"/>
    </row>
    <row r="197" spans="1:11" ht="15.4">
      <c r="A197" s="2"/>
      <c r="B197" s="2"/>
      <c r="C197" s="2"/>
      <c r="D197" s="2"/>
      <c r="E197" s="2"/>
      <c r="F197" s="2"/>
      <c r="G197" s="32"/>
      <c r="H197" s="2"/>
      <c r="I197" s="32"/>
      <c r="J197" s="2"/>
      <c r="K197" s="32"/>
    </row>
    <row r="198" spans="1:11" ht="15.4">
      <c r="A198" s="2"/>
      <c r="B198" s="2"/>
      <c r="C198" s="2"/>
      <c r="D198" s="2"/>
      <c r="E198" s="2"/>
      <c r="F198" s="2"/>
      <c r="G198" s="32"/>
      <c r="H198" s="2"/>
      <c r="I198" s="32"/>
      <c r="J198" s="2"/>
      <c r="K198" s="32"/>
    </row>
    <row r="199" spans="1:11" ht="15.4">
      <c r="A199" s="2"/>
      <c r="B199" s="2"/>
      <c r="C199" s="2"/>
      <c r="D199" s="2"/>
      <c r="E199" s="2"/>
      <c r="F199" s="2"/>
      <c r="G199" s="32"/>
      <c r="H199" s="2"/>
      <c r="I199" s="32"/>
      <c r="J199" s="2"/>
      <c r="K199" s="32"/>
    </row>
    <row r="200" spans="1:11" ht="15.4">
      <c r="A200" s="2"/>
      <c r="B200" s="2"/>
      <c r="C200" s="2"/>
      <c r="D200" s="2"/>
      <c r="E200" s="2"/>
      <c r="F200" s="2"/>
      <c r="G200" s="32"/>
      <c r="H200" s="2"/>
      <c r="I200" s="32"/>
      <c r="J200" s="2"/>
      <c r="K200" s="32"/>
    </row>
    <row r="201" spans="1:11" ht="15.4">
      <c r="A201" s="2"/>
      <c r="B201" s="2"/>
      <c r="C201" s="2"/>
      <c r="D201" s="2"/>
      <c r="E201" s="2"/>
      <c r="F201" s="2"/>
      <c r="G201" s="32"/>
      <c r="H201" s="2"/>
      <c r="I201" s="32"/>
      <c r="J201" s="2"/>
      <c r="K201" s="32"/>
    </row>
    <row r="202" spans="1:11" ht="15.4">
      <c r="A202" s="2"/>
      <c r="B202" s="2"/>
      <c r="C202" s="2"/>
      <c r="D202" s="2"/>
      <c r="E202" s="2"/>
      <c r="F202" s="2"/>
      <c r="G202" s="32"/>
      <c r="H202" s="2"/>
      <c r="I202" s="32"/>
      <c r="J202" s="2"/>
      <c r="K202" s="32"/>
    </row>
    <row r="203" spans="1:11" ht="15.4">
      <c r="A203" s="2"/>
      <c r="B203" s="2"/>
      <c r="C203" s="2"/>
      <c r="D203" s="2"/>
      <c r="E203" s="2"/>
      <c r="F203" s="2"/>
      <c r="G203" s="32"/>
      <c r="H203" s="2"/>
      <c r="I203" s="32"/>
      <c r="J203" s="2"/>
      <c r="K203" s="32"/>
    </row>
    <row r="204" spans="1:11" ht="15.4">
      <c r="A204" s="2"/>
      <c r="B204" s="2"/>
      <c r="C204" s="2"/>
      <c r="D204" s="2"/>
      <c r="E204" s="2"/>
      <c r="F204" s="2"/>
      <c r="G204" s="32"/>
      <c r="H204" s="2"/>
      <c r="I204" s="32"/>
      <c r="J204" s="2"/>
      <c r="K204" s="32"/>
    </row>
    <row r="205" spans="1:11" ht="15.4">
      <c r="A205" s="2"/>
      <c r="B205" s="2"/>
      <c r="C205" s="2"/>
      <c r="D205" s="2"/>
      <c r="E205" s="2"/>
      <c r="F205" s="2"/>
      <c r="G205" s="32"/>
      <c r="H205" s="2"/>
      <c r="I205" s="32"/>
      <c r="J205" s="2"/>
      <c r="K205" s="32"/>
    </row>
    <row r="206" spans="1:11" ht="15.4">
      <c r="A206" s="2"/>
      <c r="B206" s="2"/>
      <c r="C206" s="2"/>
      <c r="D206" s="2"/>
      <c r="E206" s="2"/>
      <c r="F206" s="2"/>
      <c r="G206" s="32"/>
      <c r="H206" s="2"/>
      <c r="I206" s="32"/>
      <c r="J206" s="2"/>
      <c r="K206" s="32"/>
    </row>
    <row r="207" spans="1:11" ht="15.4">
      <c r="A207" s="2"/>
      <c r="B207" s="2"/>
      <c r="C207" s="2"/>
      <c r="D207" s="2"/>
      <c r="E207" s="2"/>
      <c r="F207" s="2"/>
      <c r="G207" s="32"/>
      <c r="H207" s="2"/>
      <c r="I207" s="32"/>
      <c r="J207" s="2"/>
      <c r="K207" s="32"/>
    </row>
    <row r="208" spans="1:11" ht="15.4">
      <c r="A208" s="2"/>
      <c r="B208" s="2"/>
      <c r="C208" s="2"/>
      <c r="D208" s="2"/>
      <c r="E208" s="2"/>
      <c r="F208" s="2"/>
      <c r="G208" s="32"/>
      <c r="H208" s="2"/>
      <c r="I208" s="32"/>
      <c r="J208" s="2"/>
      <c r="K208" s="32"/>
    </row>
    <row r="209" spans="1:11" ht="15.4">
      <c r="A209" s="2"/>
      <c r="B209" s="2"/>
      <c r="C209" s="2"/>
      <c r="D209" s="2"/>
      <c r="E209" s="2"/>
      <c r="F209" s="2"/>
      <c r="G209" s="32"/>
      <c r="H209" s="2"/>
      <c r="I209" s="32"/>
      <c r="J209" s="2"/>
      <c r="K209" s="32"/>
    </row>
    <row r="210" spans="1:11" ht="15.4">
      <c r="A210" s="2"/>
      <c r="B210" s="2"/>
      <c r="C210" s="2"/>
      <c r="D210" s="2"/>
      <c r="E210" s="2"/>
      <c r="F210" s="2"/>
      <c r="G210" s="32"/>
      <c r="H210" s="2"/>
      <c r="I210" s="32"/>
      <c r="J210" s="2"/>
      <c r="K210" s="32"/>
    </row>
    <row r="211" spans="1:11" ht="15.4">
      <c r="A211" s="2"/>
      <c r="B211" s="2"/>
      <c r="C211" s="2"/>
      <c r="D211" s="2"/>
      <c r="E211" s="2"/>
      <c r="F211" s="2"/>
      <c r="G211" s="32"/>
      <c r="H211" s="2"/>
      <c r="I211" s="32"/>
      <c r="J211" s="2"/>
      <c r="K211" s="32"/>
    </row>
    <row r="212" spans="1:11" ht="15.4">
      <c r="A212" s="2"/>
      <c r="B212" s="2"/>
      <c r="C212" s="2"/>
      <c r="D212" s="2"/>
      <c r="E212" s="2"/>
      <c r="F212" s="2"/>
      <c r="G212" s="32"/>
      <c r="H212" s="2"/>
      <c r="I212" s="32"/>
      <c r="J212" s="2"/>
      <c r="K212" s="32"/>
    </row>
    <row r="213" spans="1:11" ht="15.4">
      <c r="A213" s="2"/>
      <c r="B213" s="2"/>
      <c r="C213" s="2"/>
      <c r="D213" s="2"/>
      <c r="E213" s="2"/>
      <c r="F213" s="2"/>
      <c r="G213" s="32"/>
      <c r="H213" s="2"/>
      <c r="I213" s="32"/>
    </row>
    <row r="214" spans="1:11" ht="15.4">
      <c r="A214" s="2"/>
      <c r="B214" s="2"/>
      <c r="C214" s="2"/>
      <c r="D214" s="2"/>
      <c r="E214" s="2"/>
      <c r="F214" s="2"/>
      <c r="G214" s="32"/>
      <c r="H214" s="2"/>
      <c r="I214" s="32"/>
    </row>
    <row r="215" spans="1:11" ht="15.4">
      <c r="A215" s="2"/>
      <c r="B215" s="2"/>
      <c r="C215" s="2"/>
      <c r="D215" s="2"/>
      <c r="E215" s="2"/>
      <c r="F215" s="2"/>
      <c r="G215" s="32"/>
      <c r="H215" s="2"/>
      <c r="I215" s="32"/>
    </row>
    <row r="216" spans="1:11" ht="15.4">
      <c r="A216" s="2"/>
      <c r="B216" s="2"/>
      <c r="C216" s="2"/>
      <c r="D216" s="2"/>
      <c r="E216" s="2"/>
      <c r="F216" s="2"/>
      <c r="G216" s="32"/>
      <c r="H216" s="2"/>
      <c r="I216" s="32"/>
    </row>
    <row r="217" spans="1:11" ht="15.4">
      <c r="A217" s="2"/>
      <c r="B217" s="2"/>
      <c r="C217" s="2"/>
      <c r="D217" s="2"/>
      <c r="E217" s="2"/>
      <c r="F217" s="2"/>
      <c r="G217" s="32"/>
      <c r="H217" s="2"/>
      <c r="I217" s="32"/>
    </row>
    <row r="218" spans="1:11" ht="15.4">
      <c r="A218" s="2"/>
      <c r="B218" s="2"/>
      <c r="C218" s="2"/>
      <c r="D218" s="2"/>
      <c r="E218" s="2"/>
      <c r="F218" s="2"/>
      <c r="G218" s="32"/>
      <c r="H218" s="2"/>
      <c r="I218" s="32"/>
    </row>
    <row r="219" spans="1:11" ht="15.4">
      <c r="A219" s="2"/>
      <c r="B219" s="2"/>
      <c r="C219" s="2"/>
      <c r="D219" s="2"/>
      <c r="E219" s="2"/>
      <c r="F219" s="2"/>
      <c r="G219" s="32"/>
      <c r="H219" s="2"/>
      <c r="I219" s="32"/>
    </row>
    <row r="220" spans="1:11" ht="15.4">
      <c r="A220" s="2"/>
      <c r="B220" s="2"/>
      <c r="C220" s="2"/>
      <c r="D220" s="2"/>
      <c r="E220" s="2"/>
      <c r="F220" s="2"/>
      <c r="G220" s="32"/>
      <c r="H220" s="2"/>
      <c r="I220" s="32"/>
    </row>
    <row r="221" spans="1:11" ht="15.4">
      <c r="A221" s="2"/>
      <c r="B221" s="2"/>
      <c r="C221" s="2"/>
      <c r="D221" s="2"/>
      <c r="E221" s="2"/>
      <c r="F221" s="2"/>
      <c r="G221" s="32"/>
      <c r="H221" s="2"/>
      <c r="I221" s="32"/>
    </row>
    <row r="222" spans="1:11" ht="15.4">
      <c r="A222" s="2"/>
      <c r="B222" s="2"/>
      <c r="C222" s="2"/>
      <c r="D222" s="2"/>
      <c r="E222" s="2"/>
      <c r="F222" s="2"/>
      <c r="G222" s="32"/>
      <c r="H222" s="2"/>
      <c r="I222" s="32"/>
    </row>
    <row r="223" spans="1:11" ht="15.4">
      <c r="A223" s="2"/>
      <c r="B223" s="2"/>
      <c r="C223" s="2"/>
      <c r="D223" s="2"/>
      <c r="E223" s="2"/>
      <c r="F223" s="2"/>
      <c r="G223" s="32"/>
      <c r="H223" s="2"/>
      <c r="I223" s="32"/>
    </row>
    <row r="224" spans="1:11" ht="15.4">
      <c r="A224" s="2"/>
      <c r="B224" s="2"/>
      <c r="C224" s="2"/>
      <c r="D224" s="2"/>
      <c r="E224" s="2"/>
      <c r="F224" s="2"/>
      <c r="G224" s="32"/>
      <c r="H224" s="2"/>
      <c r="I224" s="32"/>
    </row>
    <row r="225" spans="1:9" ht="15.4">
      <c r="A225" s="2"/>
      <c r="B225" s="2"/>
      <c r="C225" s="2"/>
      <c r="D225" s="2"/>
      <c r="E225" s="2"/>
      <c r="F225" s="2"/>
      <c r="G225" s="32"/>
      <c r="H225" s="2"/>
      <c r="I225" s="32"/>
    </row>
    <row r="226" spans="1:9" ht="15.4">
      <c r="A226" s="2"/>
      <c r="B226" s="2"/>
      <c r="C226" s="2"/>
      <c r="D226" s="2"/>
      <c r="E226" s="2"/>
      <c r="F226" s="2"/>
      <c r="G226" s="32"/>
      <c r="H226" s="2"/>
      <c r="I226" s="32"/>
    </row>
    <row r="227" spans="1:9" ht="15.4">
      <c r="A227" s="2"/>
      <c r="B227" s="2"/>
      <c r="C227" s="2"/>
      <c r="D227" s="2"/>
      <c r="E227" s="2"/>
      <c r="F227" s="2"/>
      <c r="G227" s="32"/>
      <c r="H227" s="2"/>
      <c r="I227" s="32"/>
    </row>
    <row r="228" spans="1:9" ht="15.4">
      <c r="A228" s="2"/>
      <c r="B228" s="2"/>
      <c r="C228" s="2"/>
      <c r="D228" s="2"/>
      <c r="E228" s="2"/>
      <c r="F228" s="2"/>
      <c r="G228" s="32"/>
      <c r="H228" s="2"/>
      <c r="I228" s="32"/>
    </row>
    <row r="229" spans="1:9" ht="15.4">
      <c r="A229" s="2"/>
      <c r="B229" s="2"/>
      <c r="C229" s="2"/>
      <c r="D229" s="2"/>
      <c r="E229" s="2"/>
      <c r="F229" s="2"/>
      <c r="G229" s="32"/>
      <c r="H229" s="2"/>
      <c r="I229" s="32"/>
    </row>
    <row r="230" spans="1:9" ht="15.4">
      <c r="A230" s="2"/>
      <c r="B230" s="2"/>
      <c r="C230" s="2"/>
      <c r="D230" s="2"/>
      <c r="E230" s="2"/>
      <c r="F230" s="2"/>
      <c r="G230" s="32"/>
      <c r="H230" s="2"/>
      <c r="I230" s="32"/>
    </row>
    <row r="231" spans="1:9" ht="15.4">
      <c r="A231" s="2"/>
      <c r="B231" s="2"/>
      <c r="C231" s="2"/>
      <c r="D231" s="2"/>
      <c r="E231" s="2"/>
      <c r="F231" s="2"/>
      <c r="G231" s="32"/>
      <c r="H231" s="2"/>
      <c r="I231" s="32"/>
    </row>
    <row r="232" spans="1:9" ht="15.4">
      <c r="A232" s="2"/>
      <c r="B232" s="2"/>
      <c r="C232" s="2"/>
      <c r="D232" s="2"/>
      <c r="E232" s="2"/>
      <c r="F232" s="2"/>
      <c r="G232" s="32"/>
      <c r="H232" s="2"/>
      <c r="I232" s="32"/>
    </row>
    <row r="233" spans="1:9" ht="15.4">
      <c r="A233" s="2"/>
      <c r="B233" s="2"/>
      <c r="C233" s="2"/>
      <c r="D233" s="2"/>
      <c r="E233" s="2"/>
      <c r="F233" s="2"/>
      <c r="G233" s="32"/>
      <c r="H233" s="2"/>
      <c r="I233" s="32"/>
    </row>
    <row r="234" spans="1:9" ht="15.4">
      <c r="A234" s="2"/>
      <c r="B234" s="2"/>
      <c r="C234" s="2"/>
      <c r="D234" s="2"/>
      <c r="E234" s="2"/>
      <c r="F234" s="2"/>
      <c r="G234" s="32"/>
      <c r="H234" s="2"/>
      <c r="I234" s="32"/>
    </row>
    <row r="235" spans="1:9" ht="15.4">
      <c r="A235" s="2"/>
      <c r="B235" s="2"/>
      <c r="C235" s="2"/>
      <c r="D235" s="2"/>
      <c r="E235" s="2"/>
      <c r="F235" s="2"/>
      <c r="G235" s="32"/>
      <c r="H235" s="2"/>
      <c r="I235" s="32"/>
    </row>
    <row r="236" spans="1:9" ht="15.4">
      <c r="A236" s="2"/>
      <c r="B236" s="2"/>
      <c r="C236" s="2"/>
      <c r="D236" s="2"/>
      <c r="E236" s="2"/>
      <c r="F236" s="2"/>
      <c r="G236" s="32"/>
      <c r="H236" s="2"/>
      <c r="I236" s="32"/>
    </row>
    <row r="237" spans="1:9" ht="15.4">
      <c r="A237" s="2"/>
      <c r="B237" s="2"/>
      <c r="C237" s="2"/>
      <c r="D237" s="2"/>
      <c r="E237" s="2"/>
      <c r="F237" s="2"/>
      <c r="G237" s="32"/>
      <c r="H237" s="2"/>
      <c r="I237" s="32"/>
    </row>
    <row r="238" spans="1:9" ht="15.4">
      <c r="A238" s="2"/>
      <c r="B238" s="2"/>
      <c r="C238" s="2"/>
      <c r="D238" s="2"/>
      <c r="E238" s="2"/>
      <c r="F238" s="2"/>
      <c r="G238" s="32"/>
      <c r="H238" s="2"/>
      <c r="I238" s="32"/>
    </row>
    <row r="239" spans="1:9" ht="15.4">
      <c r="A239" s="2"/>
      <c r="B239" s="2"/>
      <c r="C239" s="2"/>
      <c r="D239" s="2"/>
      <c r="E239" s="2"/>
      <c r="F239" s="2"/>
      <c r="G239" s="32"/>
      <c r="H239" s="2"/>
      <c r="I239" s="32"/>
    </row>
    <row r="240" spans="1:9" ht="15.4">
      <c r="A240" s="2"/>
      <c r="B240" s="2"/>
      <c r="C240" s="2"/>
      <c r="D240" s="2"/>
      <c r="E240" s="2"/>
      <c r="F240" s="2"/>
      <c r="G240" s="32"/>
      <c r="H240" s="2"/>
      <c r="I240" s="32"/>
    </row>
  </sheetData>
  <sheetProtection algorithmName="SHA-512" hashValue="d7fAsb5pHfwIaFxZkCSs/CZLR98euZoUxhGqZGzkZ4Z1uyOLTQd9OOk7APuLmBaCPZ9qJ4sQCoq5Hs166GwPOw==" saltValue="gihayghhDmf0mdT1u906Iw==" spinCount="100000" sheet="1" objects="1" scenarios="1"/>
  <mergeCells count="68">
    <mergeCell ref="A8:C8"/>
    <mergeCell ref="A1:D1"/>
    <mergeCell ref="A2:D2"/>
    <mergeCell ref="A3:D3"/>
    <mergeCell ref="F73:K73"/>
    <mergeCell ref="C118:D118"/>
    <mergeCell ref="B72:D72"/>
    <mergeCell ref="F89:K89"/>
    <mergeCell ref="F90:K90"/>
    <mergeCell ref="F110:K110"/>
    <mergeCell ref="C91:D91"/>
    <mergeCell ref="C92:D92"/>
    <mergeCell ref="C93:D93"/>
    <mergeCell ref="C94:D94"/>
    <mergeCell ref="F86:K86"/>
    <mergeCell ref="C76:D76"/>
    <mergeCell ref="C77:D77"/>
    <mergeCell ref="C78:D78"/>
    <mergeCell ref="C79:D79"/>
    <mergeCell ref="C80:D80"/>
    <mergeCell ref="C81:D81"/>
    <mergeCell ref="C82:D82"/>
    <mergeCell ref="C83:D83"/>
    <mergeCell ref="C84:D84"/>
    <mergeCell ref="F11:K11"/>
    <mergeCell ref="F12:K12"/>
    <mergeCell ref="F41:K41"/>
    <mergeCell ref="F42:K42"/>
    <mergeCell ref="F48:K48"/>
    <mergeCell ref="F49:K49"/>
    <mergeCell ref="C69:D69"/>
    <mergeCell ref="A40:D40"/>
    <mergeCell ref="B45:D45"/>
    <mergeCell ref="B26:D26"/>
    <mergeCell ref="B38:D38"/>
    <mergeCell ref="B52:D52"/>
    <mergeCell ref="B55:D55"/>
    <mergeCell ref="F111:K111"/>
    <mergeCell ref="F74:K74"/>
    <mergeCell ref="F27:K27"/>
    <mergeCell ref="A28:C28"/>
    <mergeCell ref="C85:D85"/>
    <mergeCell ref="C75:K75"/>
    <mergeCell ref="F58:K58"/>
    <mergeCell ref="F59:K59"/>
    <mergeCell ref="F28:K28"/>
    <mergeCell ref="F39:K39"/>
    <mergeCell ref="C95:D95"/>
    <mergeCell ref="C96:D96"/>
    <mergeCell ref="C97:D97"/>
    <mergeCell ref="C98:D98"/>
    <mergeCell ref="C99:D99"/>
    <mergeCell ref="C100:D100"/>
    <mergeCell ref="C101:D101"/>
    <mergeCell ref="C102:D102"/>
    <mergeCell ref="C103:D103"/>
    <mergeCell ref="C104:D104"/>
    <mergeCell ref="C105:D105"/>
    <mergeCell ref="C106:D106"/>
    <mergeCell ref="C116:D116"/>
    <mergeCell ref="C117:D117"/>
    <mergeCell ref="C107:D107"/>
    <mergeCell ref="C108:D108"/>
    <mergeCell ref="C112:D112"/>
    <mergeCell ref="C113:D113"/>
    <mergeCell ref="C114:D114"/>
    <mergeCell ref="C115:D115"/>
    <mergeCell ref="C109:D109"/>
  </mergeCells>
  <conditionalFormatting sqref="A1:D3">
    <cfRule type="containsText" dxfId="268" priority="1" stopIfTrue="1" operator="containsText" text="Enter">
      <formula>NOT(ISERROR(SEARCH("Enter",A1)))</formula>
    </cfRule>
  </conditionalFormatting>
  <pageMargins left="0.7" right="0.7" top="0.75" bottom="0.75" header="0.3" footer="0.3"/>
  <pageSetup scale="58" fitToHeight="3" orientation="landscape" r:id="rId1"/>
  <headerFooter>
    <oddHeader>&amp;RPage &amp;P of &amp;N</oddHeader>
  </headerFooter>
  <rowBreaks count="2" manualBreakCount="2">
    <brk id="48" max="10" man="1"/>
    <brk id="73"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theme="6" tint="-0.249977111117893"/>
    <pageSetUpPr fitToPage="1"/>
  </sheetPr>
  <dimension ref="A1:L272"/>
  <sheetViews>
    <sheetView showGridLines="0" zoomScale="80" zoomScaleNormal="80" zoomScaleSheetLayoutView="100" workbookViewId="0">
      <selection sqref="A1:D1"/>
    </sheetView>
  </sheetViews>
  <sheetFormatPr defaultRowHeight="12.75"/>
  <cols>
    <col min="1" max="1" width="5.46484375" customWidth="1"/>
    <col min="2" max="2" width="4.46484375" customWidth="1"/>
    <col min="3" max="3" width="88.6640625" customWidth="1"/>
    <col min="4" max="4" width="10.1328125" customWidth="1"/>
    <col min="5" max="6" width="14.53125" customWidth="1"/>
    <col min="7" max="7" width="10.53125" customWidth="1"/>
    <col min="8" max="8" width="14.53125" customWidth="1"/>
    <col min="9" max="9" width="10.53125" customWidth="1"/>
    <col min="10" max="10" width="14.53125" customWidth="1"/>
    <col min="11" max="11" width="10.53125" customWidth="1"/>
    <col min="12" max="12" width="70.1328125" style="1177" customWidth="1"/>
    <col min="13" max="35" width="70.1328125" customWidth="1"/>
  </cols>
  <sheetData>
    <row r="1" spans="1:11" ht="15">
      <c r="A1" s="1664" t="str">
        <f>IF('BUDGET-CERTIFICATION'!$H$1="","CHARTER NAME: Enter Charter Name on BUDGET-CERTIFICATION Worksheet",(CONCATENATE("CHARTER NAME: ",'BUDGET-CERTIFICATION'!$H$1)))</f>
        <v>CHARTER NAME: Encor Jr./Sr. High School for the Performing and Visual Arts</v>
      </c>
      <c r="B1" s="1664"/>
      <c r="C1" s="1664"/>
      <c r="D1" s="1664"/>
      <c r="E1" s="12"/>
      <c r="F1" s="12"/>
      <c r="G1" s="156"/>
      <c r="H1" s="12"/>
      <c r="I1" s="155"/>
      <c r="J1" s="1"/>
      <c r="K1" s="157"/>
    </row>
    <row r="2" spans="1:11" ht="15">
      <c r="A2" s="1664" t="str">
        <f>IF('BUDGET-CERTIFICATION'!$H$2="","CDS #: Enter Charter CDS # on BUDGET-CERTIFICATION Worksheet",(_xlfn.CONCAT("CDS #: ",'BUDGET-CERTIFICATION'!$H$2)))</f>
        <v>CDS #: 35-75044-01166707</v>
      </c>
      <c r="B2" s="1664"/>
      <c r="C2" s="1664"/>
      <c r="D2" s="1664"/>
      <c r="E2" s="12"/>
      <c r="F2" s="80"/>
      <c r="G2" s="156"/>
      <c r="H2" s="80"/>
      <c r="I2" s="156"/>
      <c r="J2" s="1"/>
      <c r="K2" s="157"/>
    </row>
    <row r="3" spans="1:11" ht="15">
      <c r="A3" s="1664" t="str">
        <f>IF('BUDGET-CERTIFICATION'!$H$5="","CHARTER #: Enter Charter # on BUDGET-CERTIFICATION Worksheet",(_xlfn.CONCAT("CHARTER #: ",'BUDGET-CERTIFICATION'!$H$5)))</f>
        <v>CHARTER #: 0971</v>
      </c>
      <c r="B3" s="1664"/>
      <c r="C3" s="1664"/>
      <c r="D3" s="1664"/>
      <c r="E3" s="12"/>
      <c r="F3" s="12"/>
      <c r="G3" s="155"/>
      <c r="H3" s="12"/>
      <c r="I3" s="155"/>
      <c r="J3" s="1"/>
      <c r="K3" s="157"/>
    </row>
    <row r="4" spans="1:11" ht="15.4">
      <c r="A4" s="2"/>
      <c r="B4" s="52"/>
      <c r="C4" s="52"/>
      <c r="D4" s="158" t="str">
        <f>'Budget-ADA'!I4</f>
        <v>Fiscal Year 2024-25 Budget</v>
      </c>
      <c r="E4" s="52"/>
      <c r="F4" s="52"/>
      <c r="G4" s="52"/>
      <c r="H4" s="52"/>
      <c r="I4" s="52"/>
      <c r="J4" s="52"/>
      <c r="K4" s="52"/>
    </row>
    <row r="5" spans="1:11" ht="15">
      <c r="A5" s="12"/>
      <c r="B5" s="12"/>
      <c r="C5" s="52"/>
      <c r="D5" s="158" t="s">
        <v>206</v>
      </c>
      <c r="E5" s="52"/>
      <c r="F5" s="52"/>
      <c r="G5" s="159"/>
      <c r="H5" s="52"/>
      <c r="I5" s="159"/>
      <c r="J5" s="1"/>
      <c r="K5" s="160"/>
    </row>
    <row r="6" spans="1:11" ht="15.4" thickBot="1">
      <c r="A6" s="1551" t="str">
        <f>Instructions!H1</f>
        <v>Form Revised (revision date here if revised)</v>
      </c>
      <c r="B6" s="12"/>
      <c r="C6" s="12"/>
      <c r="D6" s="12"/>
      <c r="E6" s="12"/>
      <c r="F6" s="12"/>
      <c r="G6" s="155"/>
      <c r="H6" s="12"/>
      <c r="I6" s="155"/>
      <c r="J6" s="1"/>
      <c r="K6" s="157"/>
    </row>
    <row r="7" spans="1:11" ht="15">
      <c r="A7" s="238"/>
      <c r="B7" s="233"/>
      <c r="C7" s="233"/>
      <c r="D7" s="295"/>
      <c r="E7" s="296"/>
      <c r="F7" s="296"/>
      <c r="G7" s="297"/>
      <c r="H7" s="296" t="s">
        <v>2</v>
      </c>
      <c r="I7" s="297"/>
      <c r="J7" s="296" t="s">
        <v>2</v>
      </c>
      <c r="K7" s="298"/>
    </row>
    <row r="8" spans="1:11" ht="15">
      <c r="A8" s="1775" t="s">
        <v>21</v>
      </c>
      <c r="B8" s="1776"/>
      <c r="C8" s="1776"/>
      <c r="D8" s="53"/>
      <c r="E8" s="14" t="s">
        <v>93</v>
      </c>
      <c r="F8" s="14" t="s">
        <v>17</v>
      </c>
      <c r="G8" s="161" t="s">
        <v>18</v>
      </c>
      <c r="H8" s="14" t="s">
        <v>19</v>
      </c>
      <c r="I8" s="161" t="s">
        <v>18</v>
      </c>
      <c r="J8" s="14" t="s">
        <v>19</v>
      </c>
      <c r="K8" s="299" t="s">
        <v>18</v>
      </c>
    </row>
    <row r="9" spans="1:11" ht="15">
      <c r="A9" s="67"/>
      <c r="B9" s="1"/>
      <c r="C9" s="1"/>
      <c r="D9" s="53"/>
      <c r="E9" s="14" t="s">
        <v>20</v>
      </c>
      <c r="F9" s="14" t="s">
        <v>16</v>
      </c>
      <c r="G9" s="161" t="s">
        <v>22</v>
      </c>
      <c r="H9" s="14" t="s">
        <v>16</v>
      </c>
      <c r="I9" s="161" t="s">
        <v>22</v>
      </c>
      <c r="J9" s="14" t="s">
        <v>16</v>
      </c>
      <c r="K9" s="299" t="s">
        <v>22</v>
      </c>
    </row>
    <row r="10" spans="1:11" ht="15.4" thickBot="1">
      <c r="A10" s="300"/>
      <c r="B10" s="162"/>
      <c r="C10" s="162"/>
      <c r="D10" s="54"/>
      <c r="E10" s="15" t="str">
        <f>'Budget-Unrestricted MYP'!E10</f>
        <v>2023-24</v>
      </c>
      <c r="F10" s="204" t="str">
        <f>'Budget-Unrestricted MYP'!F10</f>
        <v>2024-25</v>
      </c>
      <c r="G10" s="163"/>
      <c r="H10" s="15" t="str">
        <f>'Budget-Unrestricted MYP'!H10</f>
        <v>2025-26</v>
      </c>
      <c r="I10" s="163"/>
      <c r="J10" s="15" t="str">
        <f>'Budget-Unrestricted MYP'!J10</f>
        <v>2026-27</v>
      </c>
      <c r="K10" s="301"/>
    </row>
    <row r="11" spans="1:11" ht="15.4" thickTop="1">
      <c r="A11" s="302" t="s">
        <v>1</v>
      </c>
      <c r="B11" s="1"/>
      <c r="C11" s="1"/>
      <c r="D11" s="333"/>
      <c r="E11" s="13"/>
      <c r="F11" s="1747"/>
      <c r="G11" s="1747"/>
      <c r="H11" s="1747"/>
      <c r="I11" s="1747"/>
      <c r="J11" s="1747"/>
      <c r="K11" s="1748"/>
    </row>
    <row r="12" spans="1:11" ht="15">
      <c r="A12" s="302"/>
      <c r="B12" s="274" t="s">
        <v>303</v>
      </c>
      <c r="C12" s="145"/>
      <c r="D12" s="139"/>
      <c r="E12" s="334"/>
      <c r="F12" s="1749"/>
      <c r="G12" s="1750"/>
      <c r="H12" s="1750"/>
      <c r="I12" s="1750"/>
      <c r="J12" s="1750"/>
      <c r="K12" s="1751"/>
    </row>
    <row r="13" spans="1:11" ht="15">
      <c r="A13" s="302"/>
      <c r="B13" s="462"/>
      <c r="C13" s="463" t="s">
        <v>152</v>
      </c>
      <c r="D13" s="464">
        <v>8011</v>
      </c>
      <c r="E13" s="1268"/>
      <c r="F13" s="1269"/>
      <c r="G13" s="1270" t="str">
        <f>IF(E13&lt;1," ",IF(F13&lt;1," ",(F13-E13)/E13))</f>
        <v xml:space="preserve"> </v>
      </c>
      <c r="H13" s="1268"/>
      <c r="I13" s="1270" t="str">
        <f>IF(F13&lt;1," ",IF(H13&lt;1," ",(H13-F13)/F13))</f>
        <v xml:space="preserve"> </v>
      </c>
      <c r="J13" s="1268"/>
      <c r="K13" s="1271" t="str">
        <f>IF(H13&lt;1," ",IF(J13&lt;1," ",(J13-H13)/H13))</f>
        <v xml:space="preserve"> </v>
      </c>
    </row>
    <row r="14" spans="1:11" ht="15">
      <c r="A14" s="302"/>
      <c r="B14" s="462"/>
      <c r="C14" s="463" t="s">
        <v>153</v>
      </c>
      <c r="D14" s="464">
        <v>8012</v>
      </c>
      <c r="E14" s="1268"/>
      <c r="F14" s="1269"/>
      <c r="G14" s="1270" t="str">
        <f>IF(E14&lt;1," ",IF(F14&lt;1," ",(F14-E14)/E14))</f>
        <v xml:space="preserve"> </v>
      </c>
      <c r="H14" s="1268"/>
      <c r="I14" s="1270" t="str">
        <f>IF(F14&lt;1," ",IF(H14&lt;1," ",(H14-F14)/F14))</f>
        <v xml:space="preserve"> </v>
      </c>
      <c r="J14" s="1268"/>
      <c r="K14" s="1271" t="str">
        <f>IF(H14&lt;1," ",IF(J14&lt;1," ",(J14-H14)/H14))</f>
        <v xml:space="preserve"> </v>
      </c>
    </row>
    <row r="15" spans="1:11" ht="15">
      <c r="A15" s="67"/>
      <c r="B15" s="462"/>
      <c r="C15" s="463" t="s">
        <v>301</v>
      </c>
      <c r="D15" s="464">
        <v>8019</v>
      </c>
      <c r="E15" s="1268"/>
      <c r="F15" s="1268"/>
      <c r="G15" s="1270" t="str">
        <f>IF(E15&lt;1," ",IF(F15&lt;1," ",(F15-E15)/E15))</f>
        <v xml:space="preserve"> </v>
      </c>
      <c r="H15" s="1268"/>
      <c r="I15" s="1270" t="str">
        <f>IF(F15&lt;1," ",IF(H15&lt;1," ",(H15-F15)/F15))</f>
        <v xml:space="preserve"> </v>
      </c>
      <c r="J15" s="1268"/>
      <c r="K15" s="1271" t="str">
        <f>IF(H15&lt;1," ",IF(J15&lt;1," ",(J15-H15)/H15))</f>
        <v xml:space="preserve"> </v>
      </c>
    </row>
    <row r="16" spans="1:11" ht="15">
      <c r="A16" s="67"/>
      <c r="B16" s="462"/>
      <c r="C16" s="463" t="s">
        <v>302</v>
      </c>
      <c r="D16" s="464">
        <v>8096</v>
      </c>
      <c r="E16" s="1268"/>
      <c r="F16" s="1269"/>
      <c r="G16" s="1270" t="str">
        <f>IF(E16&lt;1," ",IF(F16&lt;1," ",(F16-E16)/E16))</f>
        <v xml:space="preserve"> </v>
      </c>
      <c r="H16" s="1268"/>
      <c r="I16" s="1272" t="str">
        <f>IF(F16&lt;1," ",IF(H16&lt;1," ",(H16-F16)/F16))</f>
        <v xml:space="preserve"> </v>
      </c>
      <c r="J16" s="1268"/>
      <c r="K16" s="1273" t="str">
        <f>IF(H16&lt;1," ",IF(J16&lt;1," ",(J16-H16)/H16))</f>
        <v xml:space="preserve"> </v>
      </c>
    </row>
    <row r="17" spans="1:11" ht="15">
      <c r="A17" s="67"/>
      <c r="B17" s="274" t="s">
        <v>304</v>
      </c>
      <c r="C17" s="274"/>
      <c r="D17" s="342" t="s">
        <v>99</v>
      </c>
      <c r="E17" s="1152">
        <f>E114</f>
        <v>1978396.4283</v>
      </c>
      <c r="F17" s="1274">
        <f>F114</f>
        <v>534301.255</v>
      </c>
      <c r="G17" s="1275">
        <f>IF(E17&lt;1," ",IF(F17&lt;1," ",(F17-E17)/E17))</f>
        <v>-0.72993215750034712</v>
      </c>
      <c r="H17" s="1152">
        <f>H114</f>
        <v>408180</v>
      </c>
      <c r="I17" s="1276">
        <f>IF(F17&lt;1," ",IF(H17&lt;1," ",(H17-F17)/F17))</f>
        <v>-0.23604895893422523</v>
      </c>
      <c r="J17" s="1152">
        <f>J114</f>
        <v>408180</v>
      </c>
      <c r="K17" s="1277">
        <f>IF(H17&lt;1," ",IF(J17&lt;1," ",(J17-H17)/H17))</f>
        <v>0</v>
      </c>
    </row>
    <row r="18" spans="1:11" ht="15">
      <c r="A18" s="67"/>
      <c r="B18" s="145" t="s">
        <v>305</v>
      </c>
      <c r="C18" s="139"/>
      <c r="D18" s="139"/>
      <c r="E18" s="1278"/>
      <c r="F18" s="1279"/>
      <c r="G18" s="1280"/>
      <c r="H18" s="1278"/>
      <c r="I18" s="1280"/>
      <c r="J18" s="1278"/>
      <c r="K18" s="1281"/>
    </row>
    <row r="19" spans="1:11" ht="15">
      <c r="A19" s="67"/>
      <c r="B19" s="462"/>
      <c r="C19" s="463" t="s">
        <v>306</v>
      </c>
      <c r="D19" s="464">
        <v>8560</v>
      </c>
      <c r="E19" s="1282"/>
      <c r="F19" s="1283"/>
      <c r="G19" s="1284" t="str">
        <f>IF(E19&lt;1," ",IF(F19&lt;1," ",(F19-E19)/E19))</f>
        <v xml:space="preserve"> </v>
      </c>
      <c r="H19" s="1282"/>
      <c r="I19" s="1284" t="str">
        <f>IF(F19&lt;1," ",IF(H19&lt;1," ",(H19-F19)/F19))</f>
        <v xml:space="preserve"> </v>
      </c>
      <c r="J19" s="1285"/>
      <c r="K19" s="1286" t="str">
        <f>IF(H19&lt;1," ",IF(J19&lt;1," ",(J19-H19)/H19))</f>
        <v xml:space="preserve"> </v>
      </c>
    </row>
    <row r="20" spans="1:11" ht="15">
      <c r="A20" s="67"/>
      <c r="B20" s="145"/>
      <c r="C20" s="276" t="s">
        <v>307</v>
      </c>
      <c r="D20" s="342">
        <v>8560</v>
      </c>
      <c r="E20" s="688">
        <v>37926</v>
      </c>
      <c r="F20" s="685">
        <f>F117</f>
        <v>37638.160559999997</v>
      </c>
      <c r="G20" s="268" t="s">
        <v>2</v>
      </c>
      <c r="H20" s="744">
        <f>H117</f>
        <v>37638.160559999997</v>
      </c>
      <c r="I20" s="268" t="s">
        <v>2</v>
      </c>
      <c r="J20" s="684">
        <f>J117</f>
        <v>37638.160559999997</v>
      </c>
      <c r="K20" s="304">
        <f>IF(H20&lt;1," ",IF(J20&lt;1," ",(J20-H20)/H20))</f>
        <v>0</v>
      </c>
    </row>
    <row r="21" spans="1:11" ht="15">
      <c r="A21" s="67"/>
      <c r="B21" s="145"/>
      <c r="C21" s="276" t="s">
        <v>308</v>
      </c>
      <c r="D21" s="342" t="s">
        <v>100</v>
      </c>
      <c r="E21" s="684">
        <f>E138</f>
        <v>1517777</v>
      </c>
      <c r="F21" s="685">
        <f>F138</f>
        <v>1493612</v>
      </c>
      <c r="G21" s="266">
        <f>IF(E21&lt;1," ",IF(F21&lt;1," ",(F21-E21)/E21))</f>
        <v>-1.5921311233468422E-2</v>
      </c>
      <c r="H21" s="684">
        <f>H138</f>
        <v>1476317.9100000001</v>
      </c>
      <c r="I21" s="268">
        <f>IF(F21&lt;1," ",IF(H21&lt;1," ",(H21-F21)/F21))</f>
        <v>-1.1578703170568964E-2</v>
      </c>
      <c r="J21" s="684">
        <f>J138</f>
        <v>1476317.9100000001</v>
      </c>
      <c r="K21" s="304">
        <f>IF(H21&lt;1," ",IF(J21&lt;1," ",(J21-H21)/H21))</f>
        <v>0</v>
      </c>
    </row>
    <row r="22" spans="1:11" ht="15">
      <c r="A22" s="67"/>
      <c r="B22" s="145" t="s">
        <v>309</v>
      </c>
      <c r="C22" s="139"/>
      <c r="D22" s="139"/>
      <c r="E22" s="335"/>
      <c r="F22" s="336"/>
      <c r="G22" s="337"/>
      <c r="H22" s="335"/>
      <c r="I22" s="337"/>
      <c r="J22" s="335"/>
      <c r="K22" s="338"/>
    </row>
    <row r="23" spans="1:11" ht="15">
      <c r="A23" s="67"/>
      <c r="B23" s="145"/>
      <c r="C23" s="276" t="s">
        <v>236</v>
      </c>
      <c r="D23" s="342">
        <v>8660</v>
      </c>
      <c r="E23" s="688">
        <v>0</v>
      </c>
      <c r="F23" s="683">
        <v>0</v>
      </c>
      <c r="G23" s="266" t="str">
        <f>IF(E23&lt;1," ",IF(F23&lt;1," ",(F23-E23)/E23))</f>
        <v xml:space="preserve"> </v>
      </c>
      <c r="H23" s="688">
        <v>0</v>
      </c>
      <c r="I23" s="268" t="str">
        <f>IF(F23&lt;1," ",IF(H23&lt;1," ",(H23-F23)/F23))</f>
        <v xml:space="preserve"> </v>
      </c>
      <c r="J23" s="688">
        <v>0</v>
      </c>
      <c r="K23" s="304" t="str">
        <f>IF(H23&lt;1," ",IF(J23&lt;1," ",(J23-H23)/H23))</f>
        <v xml:space="preserve"> </v>
      </c>
    </row>
    <row r="24" spans="1:11" ht="15">
      <c r="A24" s="67"/>
      <c r="B24" s="145"/>
      <c r="C24" s="276" t="s">
        <v>310</v>
      </c>
      <c r="D24" s="342">
        <v>8792</v>
      </c>
      <c r="E24" s="688">
        <v>0</v>
      </c>
      <c r="F24" s="683">
        <v>0</v>
      </c>
      <c r="G24" s="268" t="str">
        <f>IF(E24&lt;1," ",IF(F24&lt;1," ",(F24-E24)/E24))</f>
        <v xml:space="preserve"> </v>
      </c>
      <c r="H24" s="688">
        <v>0</v>
      </c>
      <c r="I24" s="268" t="str">
        <f>IF(F24&lt;1," ",IF(H24&lt;1," ",(H24-F24)/F24))</f>
        <v xml:space="preserve"> </v>
      </c>
      <c r="J24" s="688">
        <v>0</v>
      </c>
      <c r="K24" s="304" t="str">
        <f>IF(H24&lt;1," ",IF(J24&lt;1," ",(J24-H24)/H24))</f>
        <v xml:space="preserve"> </v>
      </c>
    </row>
    <row r="25" spans="1:11" ht="15.4" thickBot="1">
      <c r="A25" s="67"/>
      <c r="B25" s="883"/>
      <c r="C25" s="916" t="s">
        <v>311</v>
      </c>
      <c r="D25" s="917" t="s">
        <v>101</v>
      </c>
      <c r="E25" s="691">
        <f>E147</f>
        <v>0</v>
      </c>
      <c r="F25" s="690">
        <f>F147</f>
        <v>0</v>
      </c>
      <c r="G25" s="293" t="str">
        <f>IF(E25&lt;1," ",IF(F25&lt;1," ",(F25-E25)/E25))</f>
        <v xml:space="preserve"> </v>
      </c>
      <c r="H25" s="691">
        <f>H147</f>
        <v>0</v>
      </c>
      <c r="I25" s="294" t="str">
        <f>IF(F25&lt;1," ",IF(H25&lt;1," ",(H25-F25)/F25))</f>
        <v xml:space="preserve"> </v>
      </c>
      <c r="J25" s="691">
        <f>J147</f>
        <v>0</v>
      </c>
      <c r="K25" s="910" t="str">
        <f>IF(H25&lt;1," ",IF(J25&lt;1," ",(J25-H25)/H25))</f>
        <v xml:space="preserve"> </v>
      </c>
    </row>
    <row r="26" spans="1:11" ht="15.75" thickTop="1" thickBot="1">
      <c r="A26" s="67"/>
      <c r="B26" s="1761" t="s">
        <v>312</v>
      </c>
      <c r="C26" s="1762"/>
      <c r="D26" s="1763"/>
      <c r="E26" s="884">
        <f>SUM(E13:E25)</f>
        <v>3534099.4282999998</v>
      </c>
      <c r="F26" s="884">
        <f>SUM(F13:F25)</f>
        <v>2065551.4155600001</v>
      </c>
      <c r="G26" s="885">
        <f>IF(E26&lt;1," ",IF(F26&lt;1," ",(F26-E26)/E26))</f>
        <v>-0.41553669966959933</v>
      </c>
      <c r="H26" s="884">
        <f>SUM(H13:H25)</f>
        <v>1922136.0705600001</v>
      </c>
      <c r="I26" s="885">
        <f>IF(F26&lt;1," ",IF(H26&lt;1," ",(H26-F26)/F26))</f>
        <v>-6.94319898888201E-2</v>
      </c>
      <c r="J26" s="884">
        <f>SUM(J13:J25)</f>
        <v>1922136.0705600001</v>
      </c>
      <c r="K26" s="886">
        <f>IF(H26&lt;1," ",IF(J26&lt;1," ",(J26-H26)/H26))</f>
        <v>0</v>
      </c>
    </row>
    <row r="27" spans="1:11" ht="15.4" thickTop="1">
      <c r="A27" s="67"/>
      <c r="B27" s="1"/>
      <c r="C27" s="1"/>
      <c r="D27" s="1"/>
      <c r="E27" s="265"/>
      <c r="F27" s="1734"/>
      <c r="G27" s="1734"/>
      <c r="H27" s="1734"/>
      <c r="I27" s="1734"/>
      <c r="J27" s="1734"/>
      <c r="K27" s="1735"/>
    </row>
    <row r="28" spans="1:11" ht="15">
      <c r="A28" s="1736" t="s">
        <v>3</v>
      </c>
      <c r="B28" s="1737"/>
      <c r="C28" s="1737"/>
      <c r="D28" s="153"/>
      <c r="E28" s="265"/>
      <c r="F28" s="1734"/>
      <c r="G28" s="1734"/>
      <c r="H28" s="1734"/>
      <c r="I28" s="1734"/>
      <c r="J28" s="1734"/>
      <c r="K28" s="1735"/>
    </row>
    <row r="29" spans="1:11" ht="15">
      <c r="A29" s="67"/>
      <c r="B29" s="274" t="s">
        <v>4</v>
      </c>
      <c r="C29" s="274"/>
      <c r="D29" s="275" t="s">
        <v>102</v>
      </c>
      <c r="E29" s="688">
        <v>1772225</v>
      </c>
      <c r="F29" s="745">
        <v>523222</v>
      </c>
      <c r="G29" s="268">
        <f t="shared" ref="G29:G38" si="0">IF(E29&lt;1," ",IF(F29&lt;1," ",(F29-E29)/E29))</f>
        <v>-0.70476547842401505</v>
      </c>
      <c r="H29" s="693">
        <v>308518</v>
      </c>
      <c r="I29" s="268">
        <f t="shared" ref="I29:I38" si="1">IF(F29&lt;1," ",IF(H29&lt;1," ",(H29-F29)/F29))</f>
        <v>-0.41034971771064671</v>
      </c>
      <c r="J29" s="693">
        <v>317774</v>
      </c>
      <c r="K29" s="304">
        <f t="shared" ref="K29:K38" si="2">IF(H29&lt;1," ",IF(J29&lt;1," ",(J29-H29)/H29))</f>
        <v>3.0001490998904441E-2</v>
      </c>
    </row>
    <row r="30" spans="1:11" ht="15">
      <c r="A30" s="67"/>
      <c r="B30" s="274" t="s">
        <v>23</v>
      </c>
      <c r="C30" s="274"/>
      <c r="D30" s="275" t="s">
        <v>103</v>
      </c>
      <c r="E30" s="688">
        <v>198435</v>
      </c>
      <c r="F30" s="745">
        <v>136232</v>
      </c>
      <c r="G30" s="268">
        <f t="shared" si="0"/>
        <v>-0.31346788620959004</v>
      </c>
      <c r="H30" s="693">
        <v>136232</v>
      </c>
      <c r="I30" s="268">
        <f t="shared" si="1"/>
        <v>0</v>
      </c>
      <c r="J30" s="693">
        <v>141800</v>
      </c>
      <c r="K30" s="304">
        <f t="shared" si="2"/>
        <v>4.0871454577485464E-2</v>
      </c>
    </row>
    <row r="31" spans="1:11" ht="15">
      <c r="A31" s="67"/>
      <c r="B31" s="274" t="s">
        <v>24</v>
      </c>
      <c r="C31" s="274"/>
      <c r="D31" s="275" t="s">
        <v>104</v>
      </c>
      <c r="E31" s="688">
        <v>109209</v>
      </c>
      <c r="F31" s="745">
        <v>117111</v>
      </c>
      <c r="G31" s="268">
        <f t="shared" si="0"/>
        <v>7.235667390050271E-2</v>
      </c>
      <c r="H31" s="693">
        <v>121889</v>
      </c>
      <c r="I31" s="268">
        <f t="shared" si="1"/>
        <v>4.0798900188709859E-2</v>
      </c>
      <c r="J31" s="693">
        <v>128865</v>
      </c>
      <c r="K31" s="304">
        <f t="shared" si="2"/>
        <v>5.7232399970464934E-2</v>
      </c>
    </row>
    <row r="32" spans="1:11" ht="15">
      <c r="A32" s="67"/>
      <c r="B32" s="274" t="s">
        <v>25</v>
      </c>
      <c r="C32" s="274"/>
      <c r="D32" s="275" t="s">
        <v>105</v>
      </c>
      <c r="E32" s="688">
        <v>357561</v>
      </c>
      <c r="F32" s="745">
        <v>328859</v>
      </c>
      <c r="G32" s="268">
        <f t="shared" si="0"/>
        <v>-8.0271617989657706E-2</v>
      </c>
      <c r="H32" s="693">
        <v>338725</v>
      </c>
      <c r="I32" s="268">
        <f t="shared" si="1"/>
        <v>3.0000699387883561E-2</v>
      </c>
      <c r="J32" s="693">
        <v>348887</v>
      </c>
      <c r="K32" s="304">
        <f t="shared" si="2"/>
        <v>3.0000738061849583E-2</v>
      </c>
    </row>
    <row r="33" spans="1:12" ht="15">
      <c r="A33" s="67"/>
      <c r="B33" s="274" t="s">
        <v>26</v>
      </c>
      <c r="C33" s="274"/>
      <c r="D33" s="275" t="s">
        <v>106</v>
      </c>
      <c r="E33" s="688">
        <v>761796</v>
      </c>
      <c r="F33" s="745">
        <v>769017</v>
      </c>
      <c r="G33" s="268">
        <f t="shared" si="0"/>
        <v>9.4789156152040709E-3</v>
      </c>
      <c r="H33" s="693">
        <v>784398</v>
      </c>
      <c r="I33" s="268">
        <f t="shared" si="1"/>
        <v>2.000085823850448E-2</v>
      </c>
      <c r="J33" s="693">
        <v>800085</v>
      </c>
      <c r="K33" s="304">
        <f t="shared" si="2"/>
        <v>1.9998776131504671E-2</v>
      </c>
    </row>
    <row r="34" spans="1:12" ht="15">
      <c r="A34" s="67"/>
      <c r="B34" s="274" t="s">
        <v>508</v>
      </c>
      <c r="C34" s="274"/>
      <c r="D34" s="275" t="s">
        <v>107</v>
      </c>
      <c r="E34" s="688">
        <v>0</v>
      </c>
      <c r="F34" s="745">
        <v>0</v>
      </c>
      <c r="G34" s="268" t="str">
        <f t="shared" si="0"/>
        <v xml:space="preserve"> </v>
      </c>
      <c r="H34" s="693">
        <v>0</v>
      </c>
      <c r="I34" s="268" t="str">
        <f t="shared" si="1"/>
        <v xml:space="preserve"> </v>
      </c>
      <c r="J34" s="693">
        <v>0</v>
      </c>
      <c r="K34" s="304" t="str">
        <f t="shared" si="2"/>
        <v xml:space="preserve"> </v>
      </c>
    </row>
    <row r="35" spans="1:12" ht="15">
      <c r="A35" s="67"/>
      <c r="B35" s="274" t="s">
        <v>507</v>
      </c>
      <c r="C35" s="274"/>
      <c r="D35" s="275">
        <v>6900</v>
      </c>
      <c r="E35" s="688">
        <v>0</v>
      </c>
      <c r="F35" s="745">
        <v>0</v>
      </c>
      <c r="G35" s="268" t="str">
        <f t="shared" ref="G35" si="3">IF(E35&lt;1," ",IF(F35&lt;1," ",(F35-E35)/E35))</f>
        <v xml:space="preserve"> </v>
      </c>
      <c r="H35" s="693">
        <v>0</v>
      </c>
      <c r="I35" s="268" t="str">
        <f t="shared" ref="I35" si="4">IF(F35&lt;1," ",IF(H35&lt;1," ",(H35-F35)/F35))</f>
        <v xml:space="preserve"> </v>
      </c>
      <c r="J35" s="693">
        <v>0</v>
      </c>
      <c r="K35" s="304" t="str">
        <f t="shared" ref="K35" si="5">IF(H35&lt;1," ",IF(J35&lt;1," ",(J35-H35)/H35))</f>
        <v xml:space="preserve"> </v>
      </c>
    </row>
    <row r="36" spans="1:12" ht="15">
      <c r="A36" s="67"/>
      <c r="B36" s="274" t="s">
        <v>27</v>
      </c>
      <c r="C36" s="274"/>
      <c r="D36" s="275" t="s">
        <v>108</v>
      </c>
      <c r="E36" s="688">
        <v>0</v>
      </c>
      <c r="F36" s="745">
        <v>0</v>
      </c>
      <c r="G36" s="268" t="str">
        <f t="shared" si="0"/>
        <v xml:space="preserve"> </v>
      </c>
      <c r="H36" s="693">
        <v>0</v>
      </c>
      <c r="I36" s="268" t="str">
        <f t="shared" si="1"/>
        <v xml:space="preserve"> </v>
      </c>
      <c r="J36" s="693">
        <v>0</v>
      </c>
      <c r="K36" s="304" t="str">
        <f t="shared" si="2"/>
        <v xml:space="preserve"> </v>
      </c>
    </row>
    <row r="37" spans="1:12" ht="15.4" thickBot="1">
      <c r="A37" s="67"/>
      <c r="B37" s="906" t="s">
        <v>146</v>
      </c>
      <c r="C37" s="906"/>
      <c r="D37" s="617" t="s">
        <v>111</v>
      </c>
      <c r="E37" s="918">
        <v>0</v>
      </c>
      <c r="F37" s="919">
        <v>0</v>
      </c>
      <c r="G37" s="294" t="str">
        <f t="shared" si="0"/>
        <v xml:space="preserve"> </v>
      </c>
      <c r="H37" s="918">
        <v>0</v>
      </c>
      <c r="I37" s="294" t="str">
        <f t="shared" si="1"/>
        <v xml:space="preserve"> </v>
      </c>
      <c r="J37" s="918">
        <v>0</v>
      </c>
      <c r="K37" s="910" t="str">
        <f t="shared" si="2"/>
        <v xml:space="preserve"> </v>
      </c>
    </row>
    <row r="38" spans="1:12" ht="15.75" thickTop="1" thickBot="1">
      <c r="A38" s="67"/>
      <c r="B38" s="1783" t="s">
        <v>28</v>
      </c>
      <c r="C38" s="1784"/>
      <c r="D38" s="1784"/>
      <c r="E38" s="884">
        <f>SUM(E29:E37)</f>
        <v>3199226</v>
      </c>
      <c r="F38" s="884">
        <f>SUM(F29:F37)</f>
        <v>1874441</v>
      </c>
      <c r="G38" s="885">
        <f t="shared" si="0"/>
        <v>-0.41409547184225187</v>
      </c>
      <c r="H38" s="884">
        <f>SUM(H29:H37)</f>
        <v>1689762</v>
      </c>
      <c r="I38" s="885">
        <f t="shared" si="1"/>
        <v>-9.8524840205693326E-2</v>
      </c>
      <c r="J38" s="884">
        <f>SUM(J29:J37)</f>
        <v>1737411</v>
      </c>
      <c r="K38" s="886">
        <f t="shared" si="2"/>
        <v>2.819864572643958E-2</v>
      </c>
    </row>
    <row r="39" spans="1:12" ht="15.75" thickTop="1" thickBot="1">
      <c r="A39" s="67"/>
      <c r="B39" s="1"/>
      <c r="C39" s="911"/>
      <c r="D39" s="166"/>
      <c r="E39" s="273"/>
      <c r="F39" s="1745"/>
      <c r="G39" s="1745"/>
      <c r="H39" s="1745"/>
      <c r="I39" s="1745"/>
      <c r="J39" s="1745"/>
      <c r="K39" s="1746"/>
    </row>
    <row r="40" spans="1:12" ht="15.75" thickTop="1" thickBot="1">
      <c r="A40" s="1785" t="s">
        <v>205</v>
      </c>
      <c r="B40" s="1786"/>
      <c r="C40" s="1786"/>
      <c r="D40" s="1786"/>
      <c r="E40" s="901">
        <f>SUM(E26-E38)</f>
        <v>334873.4282999998</v>
      </c>
      <c r="F40" s="901">
        <f>SUM(F26-F38)</f>
        <v>191110.41556000011</v>
      </c>
      <c r="G40" s="902">
        <f>IF(E40&lt;1," ",IF(F40&lt;1," ",(F40-E40)/E40))</f>
        <v>-0.42930552438818204</v>
      </c>
      <c r="H40" s="901">
        <f>SUM(H26-H38)</f>
        <v>232374.07056000014</v>
      </c>
      <c r="I40" s="902">
        <f>IF(F40&lt;1," ",IF(H40&lt;1," ",(H40-F40)/F40))</f>
        <v>0.21591525966330752</v>
      </c>
      <c r="J40" s="901">
        <f>SUM(J26-J38)</f>
        <v>184725.07056000014</v>
      </c>
      <c r="K40" s="903">
        <f>IF(H40&lt;1," ",IF(J40&lt;1," ",(J40-H40)/H40))</f>
        <v>-0.20505299874968963</v>
      </c>
    </row>
    <row r="41" spans="1:12" ht="15.4" thickTop="1">
      <c r="A41" s="67"/>
      <c r="B41" s="1"/>
      <c r="C41" s="339"/>
      <c r="D41" s="340"/>
      <c r="E41" s="82"/>
      <c r="F41" s="1752"/>
      <c r="G41" s="1752"/>
      <c r="H41" s="1752"/>
      <c r="I41" s="1752"/>
      <c r="J41" s="1752"/>
      <c r="K41" s="1753"/>
    </row>
    <row r="42" spans="1:12" ht="15">
      <c r="A42" s="302" t="s">
        <v>29</v>
      </c>
      <c r="B42" s="1"/>
      <c r="C42" s="153"/>
      <c r="D42" s="341"/>
      <c r="E42" s="81"/>
      <c r="F42" s="1754"/>
      <c r="G42" s="1754"/>
      <c r="H42" s="1754"/>
      <c r="I42" s="1754"/>
      <c r="J42" s="1754"/>
      <c r="K42" s="1755"/>
    </row>
    <row r="43" spans="1:12" ht="15">
      <c r="A43" s="67"/>
      <c r="B43" s="145" t="s">
        <v>124</v>
      </c>
      <c r="C43" s="139"/>
      <c r="D43" s="306">
        <v>8900</v>
      </c>
      <c r="E43" s="746">
        <v>254319.95</v>
      </c>
      <c r="F43" s="746">
        <v>134189</v>
      </c>
      <c r="G43" s="31">
        <f>IF(E43&lt;1," ",IF(F43&lt;1," ",(F43-E43)/E43))</f>
        <v>-0.47236148796034289</v>
      </c>
      <c r="H43" s="746">
        <v>0</v>
      </c>
      <c r="I43" s="31" t="str">
        <f>IF(F43&lt;1," ",IF(H43&lt;1," ",(H43-F43)/F43))</f>
        <v xml:space="preserve"> </v>
      </c>
      <c r="J43" s="746">
        <v>0</v>
      </c>
      <c r="K43" s="307" t="str">
        <f>IF(H43&lt;1," ",IF(J43&lt;1," ",(J43-H43)/H43))</f>
        <v xml:space="preserve"> </v>
      </c>
      <c r="L43" s="1197"/>
    </row>
    <row r="44" spans="1:12" ht="15.4" thickBot="1">
      <c r="A44" s="67"/>
      <c r="B44" s="883" t="s">
        <v>30</v>
      </c>
      <c r="C44" s="151"/>
      <c r="D44" s="912">
        <v>7600</v>
      </c>
      <c r="E44" s="747">
        <v>0</v>
      </c>
      <c r="F44" s="747">
        <v>0</v>
      </c>
      <c r="G44" s="94" t="str">
        <f>IF(E44&lt;1," ",IF(F44&lt;1," ",(F44-E44)/E44))</f>
        <v xml:space="preserve"> </v>
      </c>
      <c r="H44" s="747">
        <v>0</v>
      </c>
      <c r="I44" s="94" t="str">
        <f>IF(F44&lt;1," ",IF(H44&lt;1," ",(H44-F44)/F44))</f>
        <v xml:space="preserve"> </v>
      </c>
      <c r="J44" s="747">
        <v>0</v>
      </c>
      <c r="K44" s="308" t="str">
        <f>IF(H44&lt;1," ",IF(J44&lt;1," ",(J44-H44)/H44))</f>
        <v xml:space="preserve"> </v>
      </c>
    </row>
    <row r="45" spans="1:12" ht="15.75" thickTop="1" thickBot="1">
      <c r="A45" s="67"/>
      <c r="B45" s="1783" t="s">
        <v>31</v>
      </c>
      <c r="C45" s="1784"/>
      <c r="D45" s="1784"/>
      <c r="E45" s="884">
        <f>E43-E44</f>
        <v>254319.95</v>
      </c>
      <c r="F45" s="884">
        <f>F43-F44</f>
        <v>134189</v>
      </c>
      <c r="G45" s="885">
        <f>IF(E45&lt;1," ",IF(F45&lt;1," ",(F45-E45)/E45))</f>
        <v>-0.47236148796034289</v>
      </c>
      <c r="H45" s="884">
        <f>H43-H44</f>
        <v>0</v>
      </c>
      <c r="I45" s="885" t="str">
        <f>IF(F45&lt;1," ",IF(H45&lt;1," ",(H45-F45)/F45))</f>
        <v xml:space="preserve"> </v>
      </c>
      <c r="J45" s="884">
        <f>J43-J44</f>
        <v>0</v>
      </c>
      <c r="K45" s="886" t="str">
        <f>IF(H45&lt;1," ",IF(J45&lt;1," ",(J45-H45)/H45))</f>
        <v xml:space="preserve"> </v>
      </c>
    </row>
    <row r="46" spans="1:12" ht="15.75" thickTop="1" thickBot="1">
      <c r="A46" s="67"/>
      <c r="B46" s="1"/>
      <c r="C46" s="1"/>
      <c r="D46" s="544"/>
      <c r="E46" s="265"/>
      <c r="F46" s="265"/>
      <c r="G46" s="51"/>
      <c r="H46" s="265"/>
      <c r="I46" s="51"/>
      <c r="J46" s="265"/>
      <c r="K46" s="309"/>
    </row>
    <row r="47" spans="1:12" ht="15.75" thickTop="1" thickBot="1">
      <c r="A47" s="1785" t="s">
        <v>32</v>
      </c>
      <c r="B47" s="1786"/>
      <c r="C47" s="1786"/>
      <c r="D47" s="1786"/>
      <c r="E47" s="901">
        <f>E40+E45</f>
        <v>589193.37829999975</v>
      </c>
      <c r="F47" s="901">
        <f>F40+F45</f>
        <v>325299.41556000011</v>
      </c>
      <c r="G47" s="902">
        <f>IF(E47&lt;1," ",IF(F47&lt;1," ",(F47-E47)/E47))</f>
        <v>-0.44789023851797716</v>
      </c>
      <c r="H47" s="901">
        <f>H40+H45</f>
        <v>232374.07056000014</v>
      </c>
      <c r="I47" s="902">
        <f>IF(F47&lt;1," ",IF(H47&lt;1," ",(H47-F47)/F47))</f>
        <v>-0.28566096511433875</v>
      </c>
      <c r="J47" s="901">
        <f>J40+J45</f>
        <v>184725.07056000014</v>
      </c>
      <c r="K47" s="903">
        <f>IF(H47&lt;1," ",IF(J47&lt;1," ",(J47-H47)/H47))</f>
        <v>-0.20505299874968963</v>
      </c>
    </row>
    <row r="48" spans="1:12" ht="15.4" thickTop="1">
      <c r="A48" s="302"/>
      <c r="B48" s="1"/>
      <c r="C48" s="339"/>
      <c r="D48" s="340"/>
      <c r="E48" s="265"/>
      <c r="F48" s="1734"/>
      <c r="G48" s="1734"/>
      <c r="H48" s="1734"/>
      <c r="I48" s="1734"/>
      <c r="J48" s="1734"/>
      <c r="K48" s="1735"/>
    </row>
    <row r="49" spans="1:11" ht="15">
      <c r="A49" s="302" t="s">
        <v>6</v>
      </c>
      <c r="B49" s="1"/>
      <c r="C49" s="153"/>
      <c r="D49" s="341"/>
      <c r="E49" s="265"/>
      <c r="F49" s="1734"/>
      <c r="G49" s="1734"/>
      <c r="H49" s="1734"/>
      <c r="I49" s="1734"/>
      <c r="J49" s="1734"/>
      <c r="K49" s="1735"/>
    </row>
    <row r="50" spans="1:11" ht="15">
      <c r="A50" s="67"/>
      <c r="B50" s="289" t="s">
        <v>159</v>
      </c>
      <c r="C50" s="290"/>
      <c r="D50" s="291">
        <v>9791</v>
      </c>
      <c r="E50" s="1615">
        <f>1489457</f>
        <v>1489457</v>
      </c>
      <c r="F50" s="701">
        <f>E56</f>
        <v>2078650</v>
      </c>
      <c r="G50" s="272">
        <f>IF(E50&lt;1," ",IF(F50&lt;1," ",(F50-E50)/E50))</f>
        <v>0.3955757030917979</v>
      </c>
      <c r="H50" s="702">
        <f>F56</f>
        <v>2403949</v>
      </c>
      <c r="I50" s="272">
        <f>IF(F50&lt;1," ",IF(H50&lt;1," ",(H50-F50)/F50))</f>
        <v>0.1564953214826931</v>
      </c>
      <c r="J50" s="702">
        <f>H56</f>
        <v>2636323</v>
      </c>
      <c r="K50" s="310">
        <f>IF(H50&lt;1," ",IF(J50&lt;1," ",(J50-H50)/H50))</f>
        <v>9.6663448351025749E-2</v>
      </c>
    </row>
    <row r="51" spans="1:11" ht="15">
      <c r="A51" s="67"/>
      <c r="B51" s="311" t="s">
        <v>133</v>
      </c>
      <c r="C51" s="312"/>
      <c r="D51" s="313">
        <v>9792</v>
      </c>
      <c r="E51" s="1616"/>
      <c r="F51" s="873"/>
      <c r="G51" s="490"/>
      <c r="H51" s="873"/>
      <c r="I51" s="315"/>
      <c r="J51" s="873"/>
      <c r="K51" s="316"/>
    </row>
    <row r="52" spans="1:11" ht="15">
      <c r="A52" s="67"/>
      <c r="B52" s="1764" t="s">
        <v>233</v>
      </c>
      <c r="C52" s="1765"/>
      <c r="D52" s="1765"/>
      <c r="E52" s="1616"/>
      <c r="F52" s="873"/>
      <c r="G52" s="490"/>
      <c r="H52" s="873"/>
      <c r="I52" s="315"/>
      <c r="J52" s="873"/>
      <c r="K52" s="316"/>
    </row>
    <row r="53" spans="1:11" ht="15">
      <c r="A53" s="67"/>
      <c r="B53" s="311" t="s">
        <v>299</v>
      </c>
      <c r="C53" s="312"/>
      <c r="D53" s="313">
        <v>9793</v>
      </c>
      <c r="E53" s="1616"/>
      <c r="F53" s="873"/>
      <c r="G53" s="490"/>
      <c r="H53" s="873"/>
      <c r="I53" s="315"/>
      <c r="J53" s="873"/>
      <c r="K53" s="316"/>
    </row>
    <row r="54" spans="1:11" ht="15">
      <c r="A54" s="67"/>
      <c r="B54" s="311" t="s">
        <v>298</v>
      </c>
      <c r="C54" s="312"/>
      <c r="D54" s="313">
        <v>9795</v>
      </c>
      <c r="E54" s="1617">
        <v>0</v>
      </c>
      <c r="F54" s="874"/>
      <c r="G54" s="317"/>
      <c r="H54" s="874"/>
      <c r="I54" s="318"/>
      <c r="J54" s="874"/>
      <c r="K54" s="319"/>
    </row>
    <row r="55" spans="1:11" ht="15.4" thickBot="1">
      <c r="A55" s="67"/>
      <c r="B55" s="1777" t="s">
        <v>281</v>
      </c>
      <c r="C55" s="1778"/>
      <c r="D55" s="1778"/>
      <c r="E55" s="700">
        <f>E50+E54</f>
        <v>1489457</v>
      </c>
      <c r="F55" s="874"/>
      <c r="G55" s="317"/>
      <c r="H55" s="874"/>
      <c r="I55" s="318"/>
      <c r="J55" s="874"/>
      <c r="K55" s="319"/>
    </row>
    <row r="56" spans="1:11" ht="15.75" thickTop="1" thickBot="1">
      <c r="A56" s="67"/>
      <c r="B56" s="896" t="s">
        <v>33</v>
      </c>
      <c r="C56" s="897"/>
      <c r="D56" s="1614"/>
      <c r="E56" s="884">
        <f>ROUND(E55+E47,0)</f>
        <v>2078650</v>
      </c>
      <c r="F56" s="884">
        <f>ROUND(F50+F47,0)</f>
        <v>2403949</v>
      </c>
      <c r="G56" s="885">
        <f>IF(E56&lt;1," ",IF(F56&lt;1," ",(F56-E56)/E56))</f>
        <v>0.1564953214826931</v>
      </c>
      <c r="H56" s="884">
        <f>ROUND(H50+H47,0)</f>
        <v>2636323</v>
      </c>
      <c r="I56" s="885">
        <f>IF(F56&lt;1," ",IF(H56&lt;1," ",(H56-F56)/F56))</f>
        <v>9.6663448351025749E-2</v>
      </c>
      <c r="J56" s="884">
        <f>ROUND(J50+J47,0)</f>
        <v>2821048</v>
      </c>
      <c r="K56" s="886">
        <f>IF(H56&lt;1," ",IF(J56&lt;1," ",(J56-H56)/H56))</f>
        <v>7.006918348017295E-2</v>
      </c>
    </row>
    <row r="57" spans="1:11" ht="15.4" thickTop="1">
      <c r="A57" s="67"/>
      <c r="B57" s="1"/>
      <c r="C57" s="1"/>
      <c r="D57" s="166"/>
      <c r="E57" s="167"/>
      <c r="F57" s="292"/>
      <c r="G57" s="51"/>
      <c r="H57" s="167"/>
      <c r="I57" s="51"/>
      <c r="J57" s="167"/>
      <c r="K57" s="309"/>
    </row>
    <row r="58" spans="1:11" ht="15">
      <c r="A58" s="320" t="s">
        <v>139</v>
      </c>
      <c r="C58" s="97"/>
      <c r="D58" s="545" t="s">
        <v>2</v>
      </c>
      <c r="E58" s="476"/>
      <c r="F58" s="292"/>
      <c r="G58" s="51"/>
      <c r="H58" s="167"/>
      <c r="I58" s="51"/>
      <c r="J58" s="167"/>
      <c r="K58" s="309"/>
    </row>
    <row r="59" spans="1:11" ht="15">
      <c r="A59" s="320"/>
      <c r="B59" s="344" t="s">
        <v>7</v>
      </c>
      <c r="C59" s="350" t="s">
        <v>140</v>
      </c>
      <c r="D59" s="351"/>
      <c r="E59" s="352"/>
      <c r="F59" s="1795"/>
      <c r="G59" s="1795"/>
      <c r="H59" s="1795"/>
      <c r="I59" s="1795"/>
      <c r="J59" s="1795"/>
      <c r="K59" s="1796"/>
    </row>
    <row r="60" spans="1:11" ht="15">
      <c r="A60" s="67"/>
      <c r="B60" s="494"/>
      <c r="C60" s="495" t="s">
        <v>34</v>
      </c>
      <c r="D60" s="473">
        <v>9711</v>
      </c>
      <c r="E60" s="354"/>
      <c r="F60" s="570"/>
      <c r="G60" s="465"/>
      <c r="H60" s="570"/>
      <c r="I60" s="465"/>
      <c r="J60" s="465"/>
      <c r="K60" s="501"/>
    </row>
    <row r="61" spans="1:11" ht="15">
      <c r="A61" s="67"/>
      <c r="B61" s="471"/>
      <c r="C61" s="495" t="s">
        <v>10</v>
      </c>
      <c r="D61" s="473">
        <v>9712</v>
      </c>
      <c r="E61" s="868"/>
      <c r="F61" s="869"/>
      <c r="G61" s="93"/>
      <c r="H61" s="869"/>
      <c r="I61" s="93"/>
      <c r="J61" s="870"/>
      <c r="K61" s="355"/>
    </row>
    <row r="62" spans="1:11" ht="15">
      <c r="A62" s="67"/>
      <c r="B62" s="471"/>
      <c r="C62" s="495" t="s">
        <v>11</v>
      </c>
      <c r="D62" s="473">
        <v>9713</v>
      </c>
      <c r="E62" s="314"/>
      <c r="F62" s="618"/>
      <c r="G62" s="490"/>
      <c r="H62" s="618"/>
      <c r="I62" s="490"/>
      <c r="J62" s="325"/>
      <c r="K62" s="501"/>
    </row>
    <row r="63" spans="1:11" ht="15">
      <c r="A63" s="67"/>
      <c r="B63" s="471"/>
      <c r="C63" s="495" t="s">
        <v>141</v>
      </c>
      <c r="D63" s="473">
        <v>9719</v>
      </c>
      <c r="E63" s="314"/>
      <c r="F63" s="618"/>
      <c r="G63" s="490"/>
      <c r="H63" s="618"/>
      <c r="I63" s="490"/>
      <c r="J63" s="325"/>
      <c r="K63" s="501"/>
    </row>
    <row r="64" spans="1:11" ht="14.25" customHeight="1">
      <c r="A64" s="67"/>
      <c r="B64" s="344" t="s">
        <v>8</v>
      </c>
      <c r="C64" s="346" t="s">
        <v>142</v>
      </c>
      <c r="D64" s="285">
        <v>9740</v>
      </c>
      <c r="E64" s="751">
        <f>ROUND(IF(E56&lt;0,0,E56),0)</f>
        <v>2078650</v>
      </c>
      <c r="F64" s="751">
        <f>ROUND(IF(F56&lt;0,0,F56),0)</f>
        <v>2403949</v>
      </c>
      <c r="G64" s="31">
        <f>IF(E64&lt;1," ",IF(F64&lt;1," ",(F64-E64)/E64))</f>
        <v>0.1564953214826931</v>
      </c>
      <c r="H64" s="751">
        <f>ROUND(IF(H56&lt;0,0,H56),0)</f>
        <v>2636323</v>
      </c>
      <c r="I64" s="31">
        <f>IF(F64&lt;1," ",IF(H64&lt;1," ",(H64-F64)/F64))</f>
        <v>9.6663448351025749E-2</v>
      </c>
      <c r="J64" s="751">
        <f>ROUND(IF(J56&lt;0,0,J56),0)</f>
        <v>2821048</v>
      </c>
      <c r="K64" s="307">
        <f>IF(H64&lt;1," ",IF(J64&lt;1," ",(J64-H64)/H64))</f>
        <v>7.006918348017295E-2</v>
      </c>
    </row>
    <row r="65" spans="1:11" ht="14.25" customHeight="1">
      <c r="A65" s="322"/>
      <c r="B65" s="471" t="s">
        <v>9</v>
      </c>
      <c r="C65" s="950" t="s">
        <v>344</v>
      </c>
      <c r="D65" s="973"/>
      <c r="E65" s="323"/>
      <c r="F65" s="618"/>
      <c r="G65" s="490"/>
      <c r="H65" s="618"/>
      <c r="I65" s="490"/>
      <c r="J65" s="325"/>
      <c r="K65" s="501"/>
    </row>
    <row r="66" spans="1:11" ht="15">
      <c r="A66" s="67"/>
      <c r="B66" s="471"/>
      <c r="C66" s="495" t="s">
        <v>143</v>
      </c>
      <c r="D66" s="498">
        <v>9750</v>
      </c>
      <c r="E66" s="314"/>
      <c r="F66" s="618"/>
      <c r="G66" s="490"/>
      <c r="H66" s="618"/>
      <c r="I66" s="490"/>
      <c r="J66" s="325"/>
      <c r="K66" s="501"/>
    </row>
    <row r="67" spans="1:11" ht="15">
      <c r="A67" s="67"/>
      <c r="B67" s="471"/>
      <c r="C67" s="495" t="s">
        <v>144</v>
      </c>
      <c r="D67" s="498">
        <v>9760</v>
      </c>
      <c r="E67" s="314"/>
      <c r="F67" s="618"/>
      <c r="G67" s="490"/>
      <c r="H67" s="618"/>
      <c r="I67" s="490"/>
      <c r="J67" s="325"/>
      <c r="K67" s="501"/>
    </row>
    <row r="68" spans="1:11" ht="15">
      <c r="A68" s="67"/>
      <c r="B68" s="471" t="s">
        <v>38</v>
      </c>
      <c r="C68" s="472" t="s">
        <v>145</v>
      </c>
      <c r="D68" s="473">
        <v>9780</v>
      </c>
      <c r="E68" s="314"/>
      <c r="F68" s="618"/>
      <c r="G68" s="490"/>
      <c r="H68" s="618"/>
      <c r="I68" s="490"/>
      <c r="J68" s="325"/>
      <c r="K68" s="501"/>
    </row>
    <row r="69" spans="1:11" ht="15">
      <c r="A69" s="67"/>
      <c r="B69" s="471" t="s">
        <v>40</v>
      </c>
      <c r="C69" s="950" t="s">
        <v>347</v>
      </c>
      <c r="D69" s="951"/>
      <c r="E69" s="314"/>
      <c r="F69" s="618"/>
      <c r="G69" s="490"/>
      <c r="H69" s="618"/>
      <c r="I69" s="490"/>
      <c r="J69" s="325"/>
      <c r="K69" s="501"/>
    </row>
    <row r="70" spans="1:11" ht="15">
      <c r="A70" s="67"/>
      <c r="B70" s="471"/>
      <c r="C70" s="495" t="s">
        <v>345</v>
      </c>
      <c r="D70" s="498">
        <v>9789</v>
      </c>
      <c r="E70" s="356"/>
      <c r="F70" s="606"/>
      <c r="G70" s="612"/>
      <c r="H70" s="606"/>
      <c r="I70" s="612"/>
      <c r="J70" s="468"/>
      <c r="K70" s="357"/>
    </row>
    <row r="71" spans="1:11" ht="15.4" thickBot="1">
      <c r="A71" s="67"/>
      <c r="B71" s="1069"/>
      <c r="C71" s="1070" t="s">
        <v>346</v>
      </c>
      <c r="D71" s="1071">
        <v>9790</v>
      </c>
      <c r="E71" s="815"/>
      <c r="F71" s="815"/>
      <c r="G71" s="490"/>
      <c r="H71" s="815"/>
      <c r="I71" s="490"/>
      <c r="J71" s="815"/>
      <c r="K71" s="501"/>
    </row>
    <row r="72" spans="1:11" ht="15.75" thickTop="1" thickBot="1">
      <c r="A72" s="67"/>
      <c r="B72" s="1072"/>
      <c r="C72" s="1073"/>
      <c r="D72" s="920"/>
      <c r="E72" s="892"/>
      <c r="F72" s="921"/>
      <c r="G72" s="892"/>
      <c r="H72" s="921"/>
      <c r="I72" s="892"/>
      <c r="J72" s="892"/>
      <c r="K72" s="893"/>
    </row>
    <row r="73" spans="1:11" ht="15.4" thickTop="1">
      <c r="A73" s="67"/>
      <c r="B73" s="1222"/>
      <c r="C73" s="1222"/>
      <c r="D73" s="871"/>
      <c r="E73" s="1196"/>
      <c r="F73" s="1223"/>
      <c r="G73" s="1196"/>
      <c r="H73" s="1223"/>
      <c r="I73" s="1196"/>
      <c r="J73" s="1196"/>
      <c r="K73" s="1224"/>
    </row>
    <row r="74" spans="1:11" ht="15">
      <c r="A74" s="67"/>
      <c r="B74" s="1222" t="s">
        <v>463</v>
      </c>
      <c r="C74" s="1222"/>
      <c r="D74" s="871"/>
      <c r="E74" s="1196"/>
      <c r="F74" s="1223"/>
      <c r="G74" s="1196"/>
      <c r="H74" s="1223"/>
      <c r="I74" s="1196"/>
      <c r="J74" s="1196"/>
      <c r="K74" s="1224"/>
    </row>
    <row r="75" spans="1:11" ht="15">
      <c r="A75" s="67"/>
      <c r="B75" s="287">
        <v>1</v>
      </c>
      <c r="C75" s="1774" t="s">
        <v>538</v>
      </c>
      <c r="D75" s="1792"/>
      <c r="E75" s="746">
        <v>2078650</v>
      </c>
      <c r="F75" s="746">
        <v>2403949</v>
      </c>
      <c r="G75" s="31">
        <f>IF(E75&lt;1," ",IF(F75&lt;1," ",(F75-E75)/E75))</f>
        <v>0.1564953214826931</v>
      </c>
      <c r="H75" s="746">
        <v>2636323</v>
      </c>
      <c r="I75" s="31">
        <f>IF(F75&lt;1," ",IF(H75&lt;1," ",(H75-F75)/F75))</f>
        <v>9.6663448351025749E-2</v>
      </c>
      <c r="J75" s="746">
        <v>2821048</v>
      </c>
      <c r="K75" s="307">
        <f>IF(H75&lt;1," ",IF(J75&lt;1," ",(J75-H75)/H75))</f>
        <v>7.006918348017295E-2</v>
      </c>
    </row>
    <row r="76" spans="1:11" ht="15">
      <c r="A76" s="67"/>
      <c r="B76" s="287">
        <v>2</v>
      </c>
      <c r="C76" s="1774"/>
      <c r="D76" s="1792"/>
      <c r="E76" s="746"/>
      <c r="F76" s="746"/>
      <c r="G76" s="31"/>
      <c r="H76" s="746"/>
      <c r="I76" s="31"/>
      <c r="J76" s="746"/>
      <c r="K76" s="307"/>
    </row>
    <row r="77" spans="1:11" ht="15">
      <c r="A77" s="67"/>
      <c r="B77" s="287">
        <v>3</v>
      </c>
      <c r="C77" s="1774"/>
      <c r="D77" s="1792"/>
      <c r="E77" s="746"/>
      <c r="F77" s="746"/>
      <c r="G77" s="31"/>
      <c r="H77" s="746"/>
      <c r="I77" s="31"/>
      <c r="J77" s="746"/>
      <c r="K77" s="307"/>
    </row>
    <row r="78" spans="1:11" ht="15">
      <c r="A78" s="67"/>
      <c r="B78" s="287">
        <v>4</v>
      </c>
      <c r="C78" s="1774"/>
      <c r="D78" s="1792"/>
      <c r="E78" s="746"/>
      <c r="F78" s="746"/>
      <c r="G78" s="31"/>
      <c r="H78" s="746"/>
      <c r="I78" s="31"/>
      <c r="J78" s="746"/>
      <c r="K78" s="307"/>
    </row>
    <row r="79" spans="1:11" ht="15">
      <c r="A79" s="67"/>
      <c r="B79" s="287">
        <v>5</v>
      </c>
      <c r="C79" s="1724"/>
      <c r="D79" s="1793"/>
      <c r="E79" s="746"/>
      <c r="F79" s="746"/>
      <c r="G79" s="31" t="str">
        <f>IF(E79&lt;1," ",IF(F79&lt;1," ",(F79-E79)/E79))</f>
        <v xml:space="preserve"> </v>
      </c>
      <c r="H79" s="746"/>
      <c r="I79" s="31" t="str">
        <f>IF(F79&lt;1," ",IF(H79&lt;1," ",(H79-F79)/F79))</f>
        <v xml:space="preserve"> </v>
      </c>
      <c r="J79" s="746"/>
      <c r="K79" s="307" t="str">
        <f>IF(H79&lt;1," ",IF(J79&lt;1," ",(J79-H79)/H79))</f>
        <v xml:space="preserve"> </v>
      </c>
    </row>
    <row r="80" spans="1:11" ht="15">
      <c r="A80" s="67"/>
      <c r="B80" s="287">
        <v>6</v>
      </c>
      <c r="C80" s="1566"/>
      <c r="D80" s="1568"/>
      <c r="E80" s="746"/>
      <c r="F80" s="746"/>
      <c r="G80" s="31"/>
      <c r="H80" s="746"/>
      <c r="I80" s="31"/>
      <c r="J80" s="746"/>
      <c r="K80" s="307"/>
    </row>
    <row r="81" spans="1:11" ht="15">
      <c r="A81" s="67"/>
      <c r="B81" s="287">
        <v>7</v>
      </c>
      <c r="C81" s="1566"/>
      <c r="D81" s="1568"/>
      <c r="E81" s="746"/>
      <c r="F81" s="746"/>
      <c r="G81" s="31"/>
      <c r="H81" s="746"/>
      <c r="I81" s="31"/>
      <c r="J81" s="746"/>
      <c r="K81" s="307"/>
    </row>
    <row r="82" spans="1:11" ht="15">
      <c r="A82" s="67"/>
      <c r="B82" s="287">
        <v>8</v>
      </c>
      <c r="C82" s="1566"/>
      <c r="D82" s="1568"/>
      <c r="E82" s="746"/>
      <c r="F82" s="746"/>
      <c r="G82" s="31"/>
      <c r="H82" s="746"/>
      <c r="I82" s="31"/>
      <c r="J82" s="746"/>
      <c r="K82" s="307"/>
    </row>
    <row r="83" spans="1:11" ht="15">
      <c r="A83" s="67"/>
      <c r="B83" s="287">
        <v>9</v>
      </c>
      <c r="C83" s="1566"/>
      <c r="D83" s="1568"/>
      <c r="E83" s="746"/>
      <c r="F83" s="746"/>
      <c r="G83" s="31"/>
      <c r="H83" s="746"/>
      <c r="I83" s="31"/>
      <c r="J83" s="746"/>
      <c r="K83" s="307"/>
    </row>
    <row r="84" spans="1:11" ht="15">
      <c r="A84" s="67"/>
      <c r="B84" s="287">
        <v>10</v>
      </c>
      <c r="C84" s="1566"/>
      <c r="D84" s="1568"/>
      <c r="E84" s="746"/>
      <c r="F84" s="746"/>
      <c r="G84" s="31"/>
      <c r="H84" s="746"/>
      <c r="I84" s="31"/>
      <c r="J84" s="746"/>
      <c r="K84" s="307"/>
    </row>
    <row r="85" spans="1:11" ht="15">
      <c r="A85" s="67"/>
      <c r="B85" s="287">
        <v>11</v>
      </c>
      <c r="C85" s="1724"/>
      <c r="D85" s="1793"/>
      <c r="E85" s="746"/>
      <c r="F85" s="746"/>
      <c r="G85" s="31" t="str">
        <f>IF(E85&lt;1," ",IF(F85&lt;1," ",(F85-E85)/E85))</f>
        <v xml:space="preserve"> </v>
      </c>
      <c r="H85" s="746"/>
      <c r="I85" s="31" t="str">
        <f>IF(F85&lt;1," ",IF(H85&lt;1," ",(H85-F85)/F85))</f>
        <v xml:space="preserve"> </v>
      </c>
      <c r="J85" s="746"/>
      <c r="K85" s="307" t="str">
        <f>IF(H85&lt;1," ",IF(J85&lt;1," ",(J85-H85)/H85))</f>
        <v xml:space="preserve"> </v>
      </c>
    </row>
    <row r="86" spans="1:11" ht="15">
      <c r="A86" s="67"/>
      <c r="B86" s="287">
        <v>12</v>
      </c>
      <c r="C86" s="1724"/>
      <c r="D86" s="1793"/>
      <c r="E86" s="746"/>
      <c r="F86" s="746"/>
      <c r="G86" s="31" t="str">
        <f>IF(E86&lt;1," ",IF(F86&lt;1," ",(F86-E86)/E86))</f>
        <v xml:space="preserve"> </v>
      </c>
      <c r="H86" s="746"/>
      <c r="I86" s="31" t="str">
        <f>IF(F86&lt;1," ",IF(H86&lt;1," ",(H86-F86)/F86))</f>
        <v xml:space="preserve"> </v>
      </c>
      <c r="J86" s="746"/>
      <c r="K86" s="307" t="str">
        <f>IF(H86&lt;1," ",IF(J86&lt;1," ",(J86-H86)/H86))</f>
        <v xml:space="preserve"> </v>
      </c>
    </row>
    <row r="87" spans="1:11" ht="15">
      <c r="A87" s="67"/>
      <c r="B87" s="287">
        <v>13</v>
      </c>
      <c r="C87" s="1724"/>
      <c r="D87" s="1793"/>
      <c r="E87" s="746"/>
      <c r="F87" s="746"/>
      <c r="G87" s="31"/>
      <c r="H87" s="746"/>
      <c r="I87" s="31"/>
      <c r="J87" s="746"/>
      <c r="K87" s="307"/>
    </row>
    <row r="88" spans="1:11" ht="15">
      <c r="A88" s="67"/>
      <c r="B88" s="287">
        <v>14</v>
      </c>
      <c r="C88" s="1724"/>
      <c r="D88" s="1793"/>
      <c r="E88" s="746"/>
      <c r="F88" s="746"/>
      <c r="G88" s="31" t="str">
        <f>IF(E88&lt;1," ",IF(F88&lt;1," ",(F88-E88)/E88))</f>
        <v xml:space="preserve"> </v>
      </c>
      <c r="H88" s="746"/>
      <c r="I88" s="31" t="str">
        <f>IF(F88&lt;1," ",IF(H88&lt;1," ",(H88-F88)/F88))</f>
        <v xml:space="preserve"> </v>
      </c>
      <c r="J88" s="746"/>
      <c r="K88" s="307" t="str">
        <f>IF(H88&lt;1," ",IF(J88&lt;1," ",(J88-H88)/H88))</f>
        <v xml:space="preserve"> </v>
      </c>
    </row>
    <row r="89" spans="1:11" ht="15">
      <c r="A89" s="67"/>
      <c r="B89" s="287">
        <v>15</v>
      </c>
      <c r="C89" s="1722"/>
      <c r="D89" s="1794"/>
      <c r="E89" s="746"/>
      <c r="F89" s="746"/>
      <c r="G89" s="31" t="str">
        <f>IF(E89&lt;1," ",IF(F89&lt;1," ",(F89-E89)/E89))</f>
        <v xml:space="preserve"> </v>
      </c>
      <c r="H89" s="746"/>
      <c r="I89" s="31" t="str">
        <f>IF(F89&lt;1," ",IF(H89&lt;1," ",(H89-F89)/F89))</f>
        <v xml:space="preserve"> </v>
      </c>
      <c r="J89" s="746"/>
      <c r="K89" s="307" t="str">
        <f>IF(H89&lt;1," ",IF(J89&lt;1," ",(J89-H89)/H89))</f>
        <v xml:space="preserve"> </v>
      </c>
    </row>
    <row r="90" spans="1:11" ht="51" customHeight="1" thickBot="1">
      <c r="A90" s="67"/>
      <c r="E90" s="1288">
        <f>IF(SUM(E75:E89)=E64,SUM(E75:E89),"Total must equal amount in Cell E64 above")</f>
        <v>2078650</v>
      </c>
      <c r="F90" s="1288">
        <f>IF(SUM(F75:F89)=F64,SUM(F75:F89),"Total must equal amount in Cell F64 above")</f>
        <v>2403949</v>
      </c>
      <c r="G90" s="1289"/>
      <c r="H90" s="1288">
        <f>IF(SUM(H75:H89)=H64,SUM(H75:H89),"Total must equal amount in Cell H64 above")</f>
        <v>2636323</v>
      </c>
      <c r="I90" s="1289"/>
      <c r="J90" s="1288">
        <f>IF(SUM(J75:J89)=J64,SUM(J75:J89),"Total must equal amount in Cell J64 above")</f>
        <v>2821048</v>
      </c>
      <c r="K90" s="1290"/>
    </row>
    <row r="91" spans="1:11" ht="7.5" customHeight="1" thickTop="1">
      <c r="A91" s="67"/>
      <c r="B91" s="1291"/>
      <c r="C91" s="1291"/>
      <c r="D91" s="871"/>
      <c r="E91" s="871"/>
      <c r="F91" s="1292"/>
      <c r="G91" s="1292"/>
      <c r="H91" s="1292"/>
      <c r="I91" s="1292"/>
      <c r="J91" s="1292"/>
      <c r="K91" s="1293"/>
    </row>
    <row r="92" spans="1:11" ht="15">
      <c r="A92" s="328" t="s">
        <v>332</v>
      </c>
      <c r="B92" s="221"/>
      <c r="C92" s="221"/>
      <c r="D92" s="221"/>
      <c r="E92" s="221"/>
      <c r="F92" s="1732"/>
      <c r="G92" s="1732"/>
      <c r="H92" s="1732"/>
      <c r="I92" s="1732"/>
      <c r="J92" s="1732"/>
      <c r="K92" s="1733"/>
    </row>
    <row r="93" spans="1:11" ht="15">
      <c r="A93" s="328"/>
      <c r="B93" s="221"/>
      <c r="C93" s="1" t="s">
        <v>320</v>
      </c>
      <c r="D93" s="221"/>
      <c r="E93" s="221"/>
      <c r="F93" s="1732"/>
      <c r="G93" s="1732"/>
      <c r="H93" s="1732"/>
      <c r="I93" s="1732"/>
      <c r="J93" s="1732"/>
      <c r="K93" s="1733"/>
    </row>
    <row r="94" spans="1:11" ht="15">
      <c r="A94" s="280"/>
      <c r="B94" s="287">
        <v>1</v>
      </c>
      <c r="C94" s="1774" t="s">
        <v>539</v>
      </c>
      <c r="D94" s="1782"/>
      <c r="E94" s="703">
        <v>47911</v>
      </c>
      <c r="F94" s="704">
        <v>47548</v>
      </c>
      <c r="G94" s="31">
        <f t="shared" ref="G94:G114" si="6">IF(E94&lt;1," ",IF(F94&lt;1," ",(F94-E94)/E94))</f>
        <v>-7.5765481830894783E-3</v>
      </c>
      <c r="H94" s="708">
        <v>48499</v>
      </c>
      <c r="I94" s="31">
        <f t="shared" ref="I94:I114" si="7">IF(F94&lt;1," ",IF(H94&lt;1," ",(H94-F94)/F94))</f>
        <v>2.0000841255152689E-2</v>
      </c>
      <c r="J94" s="711">
        <v>48499</v>
      </c>
      <c r="K94" s="307">
        <f t="shared" ref="K94:K114" si="8">IF(H94&lt;1," ",IF(J94&lt;1," ",(J94-H94)/H94))</f>
        <v>0</v>
      </c>
    </row>
    <row r="95" spans="1:11" ht="15">
      <c r="A95" s="280"/>
      <c r="B95" s="287">
        <v>2</v>
      </c>
      <c r="C95" s="1724" t="s">
        <v>540</v>
      </c>
      <c r="D95" s="1725"/>
      <c r="E95" s="698">
        <v>200732</v>
      </c>
      <c r="F95" s="704">
        <v>202325</v>
      </c>
      <c r="G95" s="31">
        <f t="shared" si="6"/>
        <v>7.9359544068708533E-3</v>
      </c>
      <c r="H95" s="708">
        <v>175252</v>
      </c>
      <c r="I95" s="31">
        <f t="shared" si="7"/>
        <v>-0.13380946496972693</v>
      </c>
      <c r="J95" s="711">
        <v>175252</v>
      </c>
      <c r="K95" s="307">
        <f t="shared" si="8"/>
        <v>0</v>
      </c>
    </row>
    <row r="96" spans="1:11" ht="15">
      <c r="A96" s="280"/>
      <c r="B96" s="287">
        <v>3</v>
      </c>
      <c r="C96" s="1724" t="s">
        <v>541</v>
      </c>
      <c r="D96" s="1725" t="s">
        <v>541</v>
      </c>
      <c r="E96" s="698">
        <v>154447</v>
      </c>
      <c r="F96" s="704">
        <v>153274</v>
      </c>
      <c r="G96" s="31">
        <f t="shared" si="6"/>
        <v>-7.5948383587897466E-3</v>
      </c>
      <c r="H96" s="708">
        <v>153274</v>
      </c>
      <c r="I96" s="31">
        <f t="shared" si="7"/>
        <v>0</v>
      </c>
      <c r="J96" s="711">
        <v>153274</v>
      </c>
      <c r="K96" s="307">
        <f t="shared" si="8"/>
        <v>0</v>
      </c>
    </row>
    <row r="97" spans="1:11" ht="15">
      <c r="A97" s="280"/>
      <c r="B97" s="287">
        <v>4</v>
      </c>
      <c r="C97" s="1724" t="s">
        <v>542</v>
      </c>
      <c r="D97" s="1725" t="s">
        <v>542</v>
      </c>
      <c r="E97" s="698">
        <v>17404.4283</v>
      </c>
      <c r="F97" s="704">
        <v>17272.254999999997</v>
      </c>
      <c r="G97" s="31"/>
      <c r="H97" s="708">
        <v>17273</v>
      </c>
      <c r="I97" s="31"/>
      <c r="J97" s="711">
        <v>17273</v>
      </c>
      <c r="K97" s="307"/>
    </row>
    <row r="98" spans="1:11" ht="15">
      <c r="A98" s="280"/>
      <c r="B98" s="287">
        <v>5</v>
      </c>
      <c r="C98" s="1724" t="s">
        <v>543</v>
      </c>
      <c r="D98" s="1725" t="s">
        <v>543</v>
      </c>
      <c r="E98" s="698">
        <v>13989</v>
      </c>
      <c r="F98" s="704">
        <v>13882</v>
      </c>
      <c r="G98" s="31"/>
      <c r="H98" s="708">
        <v>13882</v>
      </c>
      <c r="I98" s="31"/>
      <c r="J98" s="711">
        <v>13882</v>
      </c>
      <c r="K98" s="307"/>
    </row>
    <row r="99" spans="1:11" ht="15">
      <c r="A99" s="280"/>
      <c r="B99" s="287">
        <v>6</v>
      </c>
      <c r="C99" s="1724" t="s">
        <v>545</v>
      </c>
      <c r="D99" s="1725" t="s">
        <v>544</v>
      </c>
      <c r="E99" s="698">
        <v>266480</v>
      </c>
      <c r="F99" s="704">
        <v>0</v>
      </c>
      <c r="G99" s="31"/>
      <c r="H99" s="708">
        <v>0</v>
      </c>
      <c r="I99" s="31"/>
      <c r="J99" s="711">
        <v>0</v>
      </c>
      <c r="K99" s="307"/>
    </row>
    <row r="100" spans="1:11" ht="15">
      <c r="A100" s="280"/>
      <c r="B100" s="287">
        <v>7</v>
      </c>
      <c r="C100" s="1724" t="s">
        <v>546</v>
      </c>
      <c r="D100" s="1725" t="s">
        <v>544</v>
      </c>
      <c r="E100" s="698">
        <v>12700</v>
      </c>
      <c r="F100" s="704">
        <v>0</v>
      </c>
      <c r="G100" s="31"/>
      <c r="H100" s="708">
        <v>0</v>
      </c>
      <c r="I100" s="31"/>
      <c r="J100" s="711">
        <v>0</v>
      </c>
      <c r="K100" s="307"/>
    </row>
    <row r="101" spans="1:11" ht="15">
      <c r="A101" s="280"/>
      <c r="B101" s="287">
        <v>8</v>
      </c>
      <c r="C101" s="1724" t="s">
        <v>548</v>
      </c>
      <c r="D101" s="1725" t="s">
        <v>547</v>
      </c>
      <c r="E101" s="698">
        <v>15881</v>
      </c>
      <c r="F101" s="704">
        <v>0</v>
      </c>
      <c r="G101" s="31"/>
      <c r="H101" s="708">
        <v>0</v>
      </c>
      <c r="I101" s="31"/>
      <c r="J101" s="711">
        <v>0</v>
      </c>
      <c r="K101" s="307"/>
    </row>
    <row r="102" spans="1:11" ht="15">
      <c r="A102" s="280"/>
      <c r="B102" s="287">
        <v>9</v>
      </c>
      <c r="C102" s="1724" t="s">
        <v>549</v>
      </c>
      <c r="D102" s="1725"/>
      <c r="E102" s="698">
        <v>2935</v>
      </c>
      <c r="F102" s="704">
        <v>0</v>
      </c>
      <c r="G102" s="31"/>
      <c r="H102" s="708">
        <v>0</v>
      </c>
      <c r="I102" s="31"/>
      <c r="J102" s="711">
        <v>0</v>
      </c>
      <c r="K102" s="307"/>
    </row>
    <row r="103" spans="1:11" ht="15">
      <c r="A103" s="280"/>
      <c r="B103" s="287">
        <v>10</v>
      </c>
      <c r="C103" s="1724" t="s">
        <v>550</v>
      </c>
      <c r="D103" s="1725"/>
      <c r="E103" s="698">
        <v>1245917</v>
      </c>
      <c r="F103" s="704">
        <v>100000</v>
      </c>
      <c r="G103" s="31"/>
      <c r="H103" s="708">
        <v>0</v>
      </c>
      <c r="I103" s="31"/>
      <c r="J103" s="711">
        <v>0</v>
      </c>
      <c r="K103" s="307"/>
    </row>
    <row r="104" spans="1:11" ht="15">
      <c r="A104" s="280"/>
      <c r="B104" s="287">
        <v>11</v>
      </c>
      <c r="C104" s="1724"/>
      <c r="D104" s="1725"/>
      <c r="E104" s="698"/>
      <c r="F104" s="704"/>
      <c r="G104" s="31"/>
      <c r="H104" s="708"/>
      <c r="I104" s="31"/>
      <c r="J104" s="711"/>
      <c r="K104" s="307"/>
    </row>
    <row r="105" spans="1:11" ht="15">
      <c r="A105" s="280"/>
      <c r="B105" s="287">
        <v>12</v>
      </c>
      <c r="C105" s="1724"/>
      <c r="D105" s="1725"/>
      <c r="E105" s="698"/>
      <c r="F105" s="704"/>
      <c r="G105" s="31"/>
      <c r="H105" s="708"/>
      <c r="I105" s="31"/>
      <c r="J105" s="711"/>
      <c r="K105" s="307"/>
    </row>
    <row r="106" spans="1:11" ht="15">
      <c r="A106" s="280"/>
      <c r="B106" s="287">
        <v>13</v>
      </c>
      <c r="C106" s="1724"/>
      <c r="D106" s="1725"/>
      <c r="E106" s="698"/>
      <c r="F106" s="704"/>
      <c r="G106" s="31"/>
      <c r="H106" s="708"/>
      <c r="I106" s="31"/>
      <c r="J106" s="711"/>
      <c r="K106" s="307"/>
    </row>
    <row r="107" spans="1:11" ht="15">
      <c r="A107" s="280"/>
      <c r="B107" s="287">
        <v>14</v>
      </c>
      <c r="C107" s="1724"/>
      <c r="D107" s="1725"/>
      <c r="E107" s="698"/>
      <c r="F107" s="704"/>
      <c r="G107" s="31"/>
      <c r="H107" s="708"/>
      <c r="I107" s="31"/>
      <c r="J107" s="711"/>
      <c r="K107" s="307"/>
    </row>
    <row r="108" spans="1:11" ht="15">
      <c r="A108" s="280"/>
      <c r="B108" s="287">
        <v>15</v>
      </c>
      <c r="C108" s="1724"/>
      <c r="D108" s="1725"/>
      <c r="E108" s="698"/>
      <c r="F108" s="704"/>
      <c r="G108" s="31" t="str">
        <f t="shared" si="6"/>
        <v xml:space="preserve"> </v>
      </c>
      <c r="H108" s="708"/>
      <c r="I108" s="31" t="str">
        <f t="shared" si="7"/>
        <v xml:space="preserve"> </v>
      </c>
      <c r="J108" s="711"/>
      <c r="K108" s="307" t="str">
        <f t="shared" si="8"/>
        <v xml:space="preserve"> </v>
      </c>
    </row>
    <row r="109" spans="1:11" ht="15">
      <c r="A109" s="280"/>
      <c r="B109" s="287">
        <v>16</v>
      </c>
      <c r="C109" s="1724"/>
      <c r="D109" s="1725"/>
      <c r="E109" s="698"/>
      <c r="F109" s="704"/>
      <c r="G109" s="31" t="str">
        <f t="shared" si="6"/>
        <v xml:space="preserve"> </v>
      </c>
      <c r="H109" s="708"/>
      <c r="I109" s="31" t="str">
        <f t="shared" si="7"/>
        <v xml:space="preserve"> </v>
      </c>
      <c r="J109" s="711"/>
      <c r="K109" s="307" t="str">
        <f t="shared" si="8"/>
        <v xml:space="preserve"> </v>
      </c>
    </row>
    <row r="110" spans="1:11" ht="15">
      <c r="A110" s="280"/>
      <c r="B110" s="287">
        <v>17</v>
      </c>
      <c r="C110" s="1722"/>
      <c r="D110" s="1723"/>
      <c r="E110" s="698"/>
      <c r="F110" s="704"/>
      <c r="G110" s="31" t="str">
        <f t="shared" si="6"/>
        <v xml:space="preserve"> </v>
      </c>
      <c r="H110" s="708"/>
      <c r="I110" s="31" t="str">
        <f t="shared" si="7"/>
        <v xml:space="preserve"> </v>
      </c>
      <c r="J110" s="711"/>
      <c r="K110" s="307" t="str">
        <f t="shared" si="8"/>
        <v xml:space="preserve"> </v>
      </c>
    </row>
    <row r="111" spans="1:11" ht="15">
      <c r="A111" s="67"/>
      <c r="B111" s="287">
        <v>18</v>
      </c>
      <c r="C111" s="1722"/>
      <c r="D111" s="1723"/>
      <c r="E111" s="698"/>
      <c r="F111" s="704"/>
      <c r="G111" s="31" t="str">
        <f t="shared" si="6"/>
        <v xml:space="preserve"> </v>
      </c>
      <c r="H111" s="708"/>
      <c r="I111" s="31" t="str">
        <f t="shared" si="7"/>
        <v xml:space="preserve"> </v>
      </c>
      <c r="J111" s="711"/>
      <c r="K111" s="307" t="str">
        <f t="shared" si="8"/>
        <v xml:space="preserve"> </v>
      </c>
    </row>
    <row r="112" spans="1:11" ht="15">
      <c r="A112" s="67"/>
      <c r="B112" s="287">
        <v>19</v>
      </c>
      <c r="C112" s="1722"/>
      <c r="D112" s="1723"/>
      <c r="E112" s="705"/>
      <c r="F112" s="706"/>
      <c r="G112" s="31" t="str">
        <f t="shared" si="6"/>
        <v xml:space="preserve"> </v>
      </c>
      <c r="H112" s="709"/>
      <c r="I112" s="31" t="str">
        <f t="shared" si="7"/>
        <v xml:space="preserve"> </v>
      </c>
      <c r="J112" s="712"/>
      <c r="K112" s="307" t="str">
        <f t="shared" si="8"/>
        <v xml:space="preserve"> </v>
      </c>
    </row>
    <row r="113" spans="1:11" ht="15.4" thickBot="1">
      <c r="A113" s="67"/>
      <c r="B113" s="287">
        <v>20</v>
      </c>
      <c r="C113" s="1780"/>
      <c r="D113" s="1781"/>
      <c r="E113" s="699"/>
      <c r="F113" s="707"/>
      <c r="G113" s="94" t="str">
        <f t="shared" si="6"/>
        <v xml:space="preserve"> </v>
      </c>
      <c r="H113" s="710"/>
      <c r="I113" s="94" t="str">
        <f t="shared" si="7"/>
        <v xml:space="preserve"> </v>
      </c>
      <c r="J113" s="713"/>
      <c r="K113" s="308" t="str">
        <f t="shared" si="8"/>
        <v xml:space="preserve"> </v>
      </c>
    </row>
    <row r="114" spans="1:11" ht="15.75" thickTop="1" thickBot="1">
      <c r="A114" s="67"/>
      <c r="B114" s="923" t="s">
        <v>2</v>
      </c>
      <c r="C114" s="1729" t="s">
        <v>318</v>
      </c>
      <c r="D114" s="1779"/>
      <c r="E114" s="884">
        <f>SUM(E94:E113)</f>
        <v>1978396.4283</v>
      </c>
      <c r="F114" s="884">
        <f>SUM(F94:F113)</f>
        <v>534301.255</v>
      </c>
      <c r="G114" s="885">
        <f t="shared" si="6"/>
        <v>-0.72993215750034712</v>
      </c>
      <c r="H114" s="884">
        <f>SUM(H94:H113)</f>
        <v>408180</v>
      </c>
      <c r="I114" s="885">
        <f t="shared" si="7"/>
        <v>-0.23604895893422523</v>
      </c>
      <c r="J114" s="884">
        <f>SUM(J94:J113)</f>
        <v>408180</v>
      </c>
      <c r="K114" s="886">
        <f t="shared" si="8"/>
        <v>0</v>
      </c>
    </row>
    <row r="115" spans="1:11" ht="15.4" thickTop="1">
      <c r="A115" s="67"/>
      <c r="B115" s="1"/>
      <c r="C115" s="1"/>
      <c r="D115" s="1"/>
      <c r="E115" s="1"/>
      <c r="F115" s="1730"/>
      <c r="G115" s="1730"/>
      <c r="H115" s="1730"/>
      <c r="I115" s="1730"/>
      <c r="J115" s="1730"/>
      <c r="K115" s="1731"/>
    </row>
    <row r="116" spans="1:11" ht="15">
      <c r="A116" s="67"/>
      <c r="B116" s="145" t="s">
        <v>207</v>
      </c>
      <c r="C116" s="151"/>
      <c r="D116" s="151"/>
      <c r="E116" s="924"/>
      <c r="F116" s="1000">
        <f>'Budget-Assumptions'!G17</f>
        <v>72</v>
      </c>
      <c r="G116" s="465"/>
      <c r="H116" s="1000">
        <f>'Budget-Assumptions'!H17</f>
        <v>72</v>
      </c>
      <c r="I116" s="465"/>
      <c r="J116" s="1000">
        <f>'Budget-Assumptions'!J17</f>
        <v>72</v>
      </c>
      <c r="K116" s="678"/>
    </row>
    <row r="117" spans="1:11" ht="15">
      <c r="A117" s="67"/>
      <c r="B117" s="348" t="s">
        <v>208</v>
      </c>
      <c r="C117" s="165"/>
      <c r="D117" s="165"/>
      <c r="E117" s="925"/>
      <c r="F117" s="940">
        <f>(1.04446*'Budget-ADA'!L76)*F116</f>
        <v>37638.160559999997</v>
      </c>
      <c r="G117" s="268" t="str">
        <f>IF(E117&lt;1," ",IF(F117&lt;1," ",(F117-E117)/E117))</f>
        <v xml:space="preserve"> </v>
      </c>
      <c r="H117" s="940">
        <f>(1.04446*'Budget-ADA'!O76)*H116</f>
        <v>37638.160559999997</v>
      </c>
      <c r="I117" s="268">
        <f>IF(F117&lt;1," ",IF(H117&lt;1," ",(H117-F117)/F117))</f>
        <v>0</v>
      </c>
      <c r="J117" s="940">
        <f>(1.04446*'Budget-ADA'!R76)*J116</f>
        <v>37638.160559999997</v>
      </c>
      <c r="K117" s="304">
        <f>IF(H117&lt;1," ",IF(J117&lt;1," ",(J117-H117)/H117))</f>
        <v>0</v>
      </c>
    </row>
    <row r="118" spans="1:11" ht="15">
      <c r="A118" s="280"/>
      <c r="B118" s="358"/>
      <c r="C118" s="358"/>
      <c r="D118" s="358"/>
      <c r="E118" s="492"/>
      <c r="F118" s="493"/>
      <c r="G118" s="51"/>
      <c r="H118" s="493"/>
      <c r="I118" s="51"/>
      <c r="J118" s="493"/>
      <c r="K118" s="309"/>
    </row>
    <row r="119" spans="1:11" ht="15">
      <c r="A119" s="280"/>
      <c r="B119" s="164"/>
      <c r="C119" s="164" t="s">
        <v>319</v>
      </c>
      <c r="D119" s="164"/>
      <c r="E119" s="164"/>
      <c r="F119" s="1770"/>
      <c r="G119" s="1770"/>
      <c r="H119" s="1770"/>
      <c r="I119" s="1770"/>
      <c r="J119" s="1770"/>
      <c r="K119" s="1771"/>
    </row>
    <row r="120" spans="1:11" ht="15">
      <c r="A120" s="280"/>
      <c r="B120" s="287">
        <v>1</v>
      </c>
      <c r="C120" s="1724" t="s">
        <v>551</v>
      </c>
      <c r="D120" s="1725" t="s">
        <v>551</v>
      </c>
      <c r="E120" s="703">
        <v>447542</v>
      </c>
      <c r="F120" s="714">
        <v>444144</v>
      </c>
      <c r="G120" s="94">
        <f t="shared" ref="G120:G138" si="9">IF(E120&lt;1," ",IF(F120&lt;1," ",(F120-E120)/E120))</f>
        <v>-7.5925834893708303E-3</v>
      </c>
      <c r="H120" s="708">
        <v>453027</v>
      </c>
      <c r="I120" s="94">
        <f t="shared" ref="I120:I138" si="10">IF(F120&lt;1," ",IF(H120&lt;1," ",(H120-F120)/F120))</f>
        <v>2.0000270182643467E-2</v>
      </c>
      <c r="J120" s="711">
        <v>453027</v>
      </c>
      <c r="K120" s="308">
        <f t="shared" ref="K120:K138" si="11">IF(H120&lt;1," ",IF(J120&lt;1," ",(J120-H120)/H120))</f>
        <v>0</v>
      </c>
    </row>
    <row r="121" spans="1:11" ht="15">
      <c r="A121" s="280"/>
      <c r="B121" s="287">
        <v>2</v>
      </c>
      <c r="C121" s="1724" t="s">
        <v>552</v>
      </c>
      <c r="D121" s="1725"/>
      <c r="E121" s="698">
        <v>254197</v>
      </c>
      <c r="F121" s="716">
        <v>243577</v>
      </c>
      <c r="G121" s="94">
        <f t="shared" si="9"/>
        <v>-4.1778620518731532E-2</v>
      </c>
      <c r="H121" s="709">
        <v>184800</v>
      </c>
      <c r="I121" s="94">
        <f t="shared" si="10"/>
        <v>-0.24130767683319854</v>
      </c>
      <c r="J121" s="712">
        <v>184800</v>
      </c>
      <c r="K121" s="308">
        <f t="shared" si="11"/>
        <v>0</v>
      </c>
    </row>
    <row r="122" spans="1:11" ht="15">
      <c r="A122" s="280"/>
      <c r="B122" s="287">
        <v>3</v>
      </c>
      <c r="C122" s="1724" t="s">
        <v>553</v>
      </c>
      <c r="D122" s="1725" t="s">
        <v>553</v>
      </c>
      <c r="E122" s="698">
        <v>716149</v>
      </c>
      <c r="F122" s="706">
        <v>710710</v>
      </c>
      <c r="G122" s="94">
        <f t="shared" si="9"/>
        <v>-7.5947882354091114E-3</v>
      </c>
      <c r="H122" s="709">
        <v>743309.91</v>
      </c>
      <c r="I122" s="94">
        <f t="shared" si="10"/>
        <v>4.5869496700482661E-2</v>
      </c>
      <c r="J122" s="712">
        <v>743309.91</v>
      </c>
      <c r="K122" s="308">
        <f t="shared" si="11"/>
        <v>0</v>
      </c>
    </row>
    <row r="123" spans="1:11" ht="15">
      <c r="A123" s="280"/>
      <c r="B123" s="287">
        <v>4</v>
      </c>
      <c r="C123" s="1724" t="s">
        <v>554</v>
      </c>
      <c r="D123" s="1725"/>
      <c r="E123" s="698">
        <v>95181</v>
      </c>
      <c r="F123" s="714">
        <v>95181</v>
      </c>
      <c r="G123" s="94">
        <f t="shared" si="9"/>
        <v>0</v>
      </c>
      <c r="H123" s="708">
        <v>95181</v>
      </c>
      <c r="I123" s="94">
        <f t="shared" si="10"/>
        <v>0</v>
      </c>
      <c r="J123" s="711">
        <v>95181</v>
      </c>
      <c r="K123" s="308">
        <f t="shared" si="11"/>
        <v>0</v>
      </c>
    </row>
    <row r="124" spans="1:11" ht="15">
      <c r="A124" s="280"/>
      <c r="B124" s="287">
        <v>5</v>
      </c>
      <c r="C124" s="1724" t="s">
        <v>555</v>
      </c>
      <c r="D124" s="1725"/>
      <c r="E124" s="698">
        <v>4708</v>
      </c>
      <c r="F124" s="717">
        <v>0</v>
      </c>
      <c r="G124" s="94" t="str">
        <f t="shared" si="9"/>
        <v xml:space="preserve"> </v>
      </c>
      <c r="H124" s="726">
        <v>0</v>
      </c>
      <c r="I124" s="94" t="str">
        <f t="shared" si="10"/>
        <v xml:space="preserve"> </v>
      </c>
      <c r="J124" s="732">
        <v>0</v>
      </c>
      <c r="K124" s="308" t="str">
        <f t="shared" si="11"/>
        <v xml:space="preserve"> </v>
      </c>
    </row>
    <row r="125" spans="1:11" ht="15">
      <c r="A125" s="67"/>
      <c r="B125" s="288">
        <v>6</v>
      </c>
      <c r="C125" s="1722"/>
      <c r="D125" s="1723"/>
      <c r="E125" s="698"/>
      <c r="F125" s="718"/>
      <c r="G125" s="31" t="str">
        <f t="shared" si="9"/>
        <v xml:space="preserve"> </v>
      </c>
      <c r="H125" s="727"/>
      <c r="I125" s="31" t="str">
        <f t="shared" si="10"/>
        <v xml:space="preserve"> </v>
      </c>
      <c r="J125" s="733"/>
      <c r="K125" s="307" t="str">
        <f t="shared" si="11"/>
        <v xml:space="preserve"> </v>
      </c>
    </row>
    <row r="126" spans="1:11" ht="15">
      <c r="A126" s="281"/>
      <c r="B126" s="288">
        <v>7</v>
      </c>
      <c r="C126" s="1722"/>
      <c r="D126" s="1723"/>
      <c r="E126" s="698"/>
      <c r="F126" s="706"/>
      <c r="G126" s="31" t="str">
        <f t="shared" si="9"/>
        <v xml:space="preserve"> </v>
      </c>
      <c r="H126" s="709"/>
      <c r="I126" s="31" t="str">
        <f t="shared" si="10"/>
        <v xml:space="preserve"> </v>
      </c>
      <c r="J126" s="712"/>
      <c r="K126" s="307" t="str">
        <f t="shared" si="11"/>
        <v xml:space="preserve"> </v>
      </c>
    </row>
    <row r="127" spans="1:11" ht="15">
      <c r="A127" s="281"/>
      <c r="B127" s="288">
        <v>8</v>
      </c>
      <c r="C127" s="1722"/>
      <c r="D127" s="1723"/>
      <c r="E127" s="705"/>
      <c r="F127" s="706"/>
      <c r="G127" s="31" t="str">
        <f t="shared" si="9"/>
        <v xml:space="preserve"> </v>
      </c>
      <c r="H127" s="709"/>
      <c r="I127" s="31" t="str">
        <f t="shared" si="10"/>
        <v xml:space="preserve"> </v>
      </c>
      <c r="J127" s="712"/>
      <c r="K127" s="307" t="str">
        <f t="shared" si="11"/>
        <v xml:space="preserve"> </v>
      </c>
    </row>
    <row r="128" spans="1:11" ht="15">
      <c r="A128" s="281"/>
      <c r="B128" s="288">
        <v>9</v>
      </c>
      <c r="C128" s="1724"/>
      <c r="D128" s="1725"/>
      <c r="E128" s="699"/>
      <c r="F128" s="706"/>
      <c r="G128" s="31" t="str">
        <f t="shared" si="9"/>
        <v xml:space="preserve"> </v>
      </c>
      <c r="H128" s="709"/>
      <c r="I128" s="31" t="str">
        <f t="shared" si="10"/>
        <v xml:space="preserve"> </v>
      </c>
      <c r="J128" s="712"/>
      <c r="K128" s="307" t="str">
        <f t="shared" si="11"/>
        <v xml:space="preserve"> </v>
      </c>
    </row>
    <row r="129" spans="1:11" ht="15">
      <c r="A129" s="281"/>
      <c r="B129" s="145">
        <v>10</v>
      </c>
      <c r="C129" s="1722"/>
      <c r="D129" s="1723"/>
      <c r="E129" s="703"/>
      <c r="F129" s="706"/>
      <c r="G129" s="31" t="str">
        <f t="shared" si="9"/>
        <v xml:space="preserve"> </v>
      </c>
      <c r="H129" s="709"/>
      <c r="I129" s="31" t="str">
        <f t="shared" si="10"/>
        <v xml:space="preserve"> </v>
      </c>
      <c r="J129" s="712"/>
      <c r="K129" s="307" t="str">
        <f t="shared" si="11"/>
        <v xml:space="preserve"> </v>
      </c>
    </row>
    <row r="130" spans="1:11" ht="15">
      <c r="A130" s="281"/>
      <c r="B130" s="145">
        <v>11</v>
      </c>
      <c r="C130" s="1722"/>
      <c r="D130" s="1723"/>
      <c r="E130" s="698"/>
      <c r="F130" s="719"/>
      <c r="G130" s="31" t="str">
        <f t="shared" si="9"/>
        <v xml:space="preserve"> </v>
      </c>
      <c r="H130" s="719"/>
      <c r="I130" s="31" t="str">
        <f t="shared" si="10"/>
        <v xml:space="preserve"> </v>
      </c>
      <c r="J130" s="719"/>
      <c r="K130" s="307" t="str">
        <f t="shared" si="11"/>
        <v xml:space="preserve"> </v>
      </c>
    </row>
    <row r="131" spans="1:11" ht="15">
      <c r="A131" s="67"/>
      <c r="B131" s="145">
        <v>12</v>
      </c>
      <c r="C131" s="1722"/>
      <c r="D131" s="1723"/>
      <c r="E131" s="698"/>
      <c r="F131" s="720"/>
      <c r="G131" s="31" t="str">
        <f t="shared" si="9"/>
        <v xml:space="preserve"> </v>
      </c>
      <c r="H131" s="720"/>
      <c r="I131" s="31" t="str">
        <f t="shared" si="10"/>
        <v xml:space="preserve"> </v>
      </c>
      <c r="J131" s="720"/>
      <c r="K131" s="307" t="str">
        <f t="shared" si="11"/>
        <v xml:space="preserve"> </v>
      </c>
    </row>
    <row r="132" spans="1:11" ht="15">
      <c r="A132" s="67"/>
      <c r="B132" s="145">
        <v>13</v>
      </c>
      <c r="C132" s="1722"/>
      <c r="D132" s="1723"/>
      <c r="E132" s="698"/>
      <c r="F132" s="721"/>
      <c r="G132" s="31" t="str">
        <f t="shared" si="9"/>
        <v xml:space="preserve"> </v>
      </c>
      <c r="H132" s="728"/>
      <c r="I132" s="31" t="str">
        <f t="shared" si="10"/>
        <v xml:space="preserve"> </v>
      </c>
      <c r="J132" s="734"/>
      <c r="K132" s="307" t="str">
        <f t="shared" si="11"/>
        <v xml:space="preserve"> </v>
      </c>
    </row>
    <row r="133" spans="1:11" ht="15">
      <c r="A133" s="67"/>
      <c r="B133" s="145">
        <v>14</v>
      </c>
      <c r="C133" s="1722"/>
      <c r="D133" s="1723"/>
      <c r="E133" s="698"/>
      <c r="F133" s="722"/>
      <c r="G133" s="31" t="str">
        <f t="shared" si="9"/>
        <v xml:space="preserve"> </v>
      </c>
      <c r="H133" s="729"/>
      <c r="I133" s="31" t="str">
        <f t="shared" si="10"/>
        <v xml:space="preserve"> </v>
      </c>
      <c r="J133" s="735"/>
      <c r="K133" s="307" t="str">
        <f t="shared" si="11"/>
        <v xml:space="preserve"> </v>
      </c>
    </row>
    <row r="134" spans="1:11" ht="15">
      <c r="A134" s="67"/>
      <c r="B134" s="145">
        <v>15</v>
      </c>
      <c r="C134" s="1722"/>
      <c r="D134" s="1723"/>
      <c r="E134" s="698"/>
      <c r="F134" s="721"/>
      <c r="G134" s="31" t="str">
        <f t="shared" si="9"/>
        <v xml:space="preserve"> </v>
      </c>
      <c r="H134" s="728"/>
      <c r="I134" s="31" t="str">
        <f t="shared" si="10"/>
        <v xml:space="preserve"> </v>
      </c>
      <c r="J134" s="734"/>
      <c r="K134" s="307" t="str">
        <f t="shared" si="11"/>
        <v xml:space="preserve"> </v>
      </c>
    </row>
    <row r="135" spans="1:11" ht="15">
      <c r="A135" s="67"/>
      <c r="B135" s="145">
        <v>16</v>
      </c>
      <c r="C135" s="1722"/>
      <c r="D135" s="1723"/>
      <c r="E135" s="698"/>
      <c r="F135" s="723"/>
      <c r="G135" s="31" t="str">
        <f t="shared" si="9"/>
        <v xml:space="preserve"> </v>
      </c>
      <c r="H135" s="730"/>
      <c r="I135" s="31" t="str">
        <f t="shared" si="10"/>
        <v xml:space="preserve"> </v>
      </c>
      <c r="J135" s="736"/>
      <c r="K135" s="307" t="str">
        <f t="shared" si="11"/>
        <v xml:space="preserve"> </v>
      </c>
    </row>
    <row r="136" spans="1:11" ht="15">
      <c r="A136" s="67"/>
      <c r="B136" s="145">
        <v>17</v>
      </c>
      <c r="C136" s="1722"/>
      <c r="D136" s="1723"/>
      <c r="E136" s="705"/>
      <c r="F136" s="724"/>
      <c r="G136" s="31" t="str">
        <f t="shared" si="9"/>
        <v xml:space="preserve"> </v>
      </c>
      <c r="H136" s="731"/>
      <c r="I136" s="31" t="str">
        <f t="shared" si="10"/>
        <v xml:space="preserve"> </v>
      </c>
      <c r="J136" s="737"/>
      <c r="K136" s="307" t="str">
        <f t="shared" si="11"/>
        <v xml:space="preserve"> </v>
      </c>
    </row>
    <row r="137" spans="1:11" ht="15.4" thickBot="1">
      <c r="A137" s="67"/>
      <c r="B137" s="883">
        <v>18</v>
      </c>
      <c r="C137" s="1726"/>
      <c r="D137" s="1727"/>
      <c r="E137" s="699"/>
      <c r="F137" s="725"/>
      <c r="G137" s="330" t="str">
        <f t="shared" si="9"/>
        <v xml:space="preserve"> </v>
      </c>
      <c r="H137" s="725"/>
      <c r="I137" s="330" t="str">
        <f t="shared" si="10"/>
        <v xml:space="preserve"> </v>
      </c>
      <c r="J137" s="725"/>
      <c r="K137" s="331" t="str">
        <f t="shared" si="11"/>
        <v xml:space="preserve"> </v>
      </c>
    </row>
    <row r="138" spans="1:11" ht="15.75" thickTop="1" thickBot="1">
      <c r="A138" s="67"/>
      <c r="B138" s="887"/>
      <c r="C138" s="1729" t="s">
        <v>317</v>
      </c>
      <c r="D138" s="1779"/>
      <c r="E138" s="884">
        <f>SUM(E120:E137)</f>
        <v>1517777</v>
      </c>
      <c r="F138" s="884">
        <f>SUM(F120:F137)</f>
        <v>1493612</v>
      </c>
      <c r="G138" s="885">
        <f t="shared" si="9"/>
        <v>-1.5921311233468422E-2</v>
      </c>
      <c r="H138" s="884">
        <f>SUM(H120:H137)</f>
        <v>1476317.9100000001</v>
      </c>
      <c r="I138" s="885">
        <f t="shared" si="10"/>
        <v>-1.1578703170568964E-2</v>
      </c>
      <c r="J138" s="884">
        <f>SUM(J120:J137)</f>
        <v>1476317.9100000001</v>
      </c>
      <c r="K138" s="886">
        <f t="shared" si="11"/>
        <v>0</v>
      </c>
    </row>
    <row r="139" spans="1:11" ht="15.4" thickTop="1">
      <c r="A139" s="67"/>
      <c r="B139" s="359"/>
      <c r="C139" s="1791"/>
      <c r="D139" s="1791"/>
      <c r="E139" s="360"/>
      <c r="F139" s="360"/>
      <c r="G139" s="223"/>
      <c r="H139" s="360"/>
      <c r="I139" s="223"/>
      <c r="J139" s="360"/>
      <c r="K139" s="1190"/>
    </row>
    <row r="140" spans="1:11" ht="15">
      <c r="A140" s="67"/>
      <c r="B140" s="164"/>
      <c r="C140" s="164" t="s">
        <v>331</v>
      </c>
      <c r="D140" s="164"/>
      <c r="E140" s="164"/>
      <c r="F140" s="1730"/>
      <c r="G140" s="1730"/>
      <c r="H140" s="1730"/>
      <c r="I140" s="1730"/>
      <c r="J140" s="1730"/>
      <c r="K140" s="1731"/>
    </row>
    <row r="141" spans="1:11" ht="15">
      <c r="A141" s="67"/>
      <c r="B141" s="287">
        <v>1</v>
      </c>
      <c r="C141" s="1724" t="s">
        <v>533</v>
      </c>
      <c r="D141" s="1725"/>
      <c r="E141" s="738"/>
      <c r="F141" s="722"/>
      <c r="G141" s="31" t="str">
        <f t="shared" ref="G141:G147" si="12">IF(E141&lt;1," ",IF(F141&lt;1," ",(F141-E141)/E141))</f>
        <v xml:space="preserve"> </v>
      </c>
      <c r="H141" s="722"/>
      <c r="I141" s="31" t="str">
        <f t="shared" ref="I141:I147" si="13">IF(F141&lt;1," ",IF(H141&lt;1," ",(H141-F141)/F141))</f>
        <v xml:space="preserve"> </v>
      </c>
      <c r="J141" s="742"/>
      <c r="K141" s="307" t="str">
        <f t="shared" ref="K141:K147" si="14">IF(H141&lt;1," ",IF(J141&lt;1," ",(J141-H141)/H141))</f>
        <v xml:space="preserve"> </v>
      </c>
    </row>
    <row r="142" spans="1:11" ht="15">
      <c r="A142" s="67"/>
      <c r="B142" s="287">
        <v>2</v>
      </c>
      <c r="C142" s="1724"/>
      <c r="D142" s="1725"/>
      <c r="E142" s="739"/>
      <c r="F142" s="740"/>
      <c r="G142" s="78" t="str">
        <f t="shared" si="12"/>
        <v xml:space="preserve"> </v>
      </c>
      <c r="H142" s="740"/>
      <c r="I142" s="78" t="str">
        <f t="shared" si="13"/>
        <v xml:space="preserve"> </v>
      </c>
      <c r="J142" s="740"/>
      <c r="K142" s="332" t="str">
        <f t="shared" si="14"/>
        <v xml:space="preserve"> </v>
      </c>
    </row>
    <row r="143" spans="1:11" ht="15">
      <c r="A143" s="67"/>
      <c r="B143" s="287">
        <v>3</v>
      </c>
      <c r="C143" s="1724"/>
      <c r="D143" s="1725"/>
      <c r="E143" s="741"/>
      <c r="F143" s="725"/>
      <c r="G143" s="330" t="str">
        <f t="shared" si="12"/>
        <v xml:space="preserve"> </v>
      </c>
      <c r="H143" s="725"/>
      <c r="I143" s="330" t="str">
        <f t="shared" si="13"/>
        <v xml:space="preserve"> </v>
      </c>
      <c r="J143" s="743"/>
      <c r="K143" s="331" t="str">
        <f t="shared" si="14"/>
        <v xml:space="preserve"> </v>
      </c>
    </row>
    <row r="144" spans="1:11" ht="15">
      <c r="A144" s="67"/>
      <c r="B144" s="287">
        <v>4</v>
      </c>
      <c r="C144" s="1724"/>
      <c r="D144" s="1725"/>
      <c r="E144" s="741"/>
      <c r="F144" s="722"/>
      <c r="G144" s="31" t="str">
        <f t="shared" si="12"/>
        <v xml:space="preserve"> </v>
      </c>
      <c r="H144" s="722"/>
      <c r="I144" s="31" t="str">
        <f t="shared" si="13"/>
        <v xml:space="preserve"> </v>
      </c>
      <c r="J144" s="742"/>
      <c r="K144" s="307" t="str">
        <f t="shared" si="14"/>
        <v xml:space="preserve"> </v>
      </c>
    </row>
    <row r="145" spans="1:11" ht="15">
      <c r="A145" s="67"/>
      <c r="B145" s="287">
        <v>5</v>
      </c>
      <c r="C145" s="1724"/>
      <c r="D145" s="1725"/>
      <c r="E145" s="741"/>
      <c r="F145" s="722"/>
      <c r="G145" s="31" t="str">
        <f t="shared" si="12"/>
        <v xml:space="preserve"> </v>
      </c>
      <c r="H145" s="722"/>
      <c r="I145" s="31" t="str">
        <f t="shared" si="13"/>
        <v xml:space="preserve"> </v>
      </c>
      <c r="J145" s="742"/>
      <c r="K145" s="307" t="str">
        <f t="shared" si="14"/>
        <v xml:space="preserve"> </v>
      </c>
    </row>
    <row r="146" spans="1:11" ht="15.4" thickBot="1">
      <c r="A146" s="67"/>
      <c r="B146" s="288">
        <v>6</v>
      </c>
      <c r="C146" s="1722"/>
      <c r="D146" s="1723"/>
      <c r="E146" s="741"/>
      <c r="F146" s="725"/>
      <c r="G146" s="94" t="str">
        <f t="shared" si="12"/>
        <v xml:space="preserve"> </v>
      </c>
      <c r="H146" s="725"/>
      <c r="I146" s="94" t="str">
        <f t="shared" si="13"/>
        <v xml:space="preserve"> </v>
      </c>
      <c r="J146" s="743"/>
      <c r="K146" s="308" t="str">
        <f t="shared" si="14"/>
        <v xml:space="preserve"> </v>
      </c>
    </row>
    <row r="147" spans="1:11" ht="15.75" thickTop="1" thickBot="1">
      <c r="A147" s="67"/>
      <c r="B147" s="887"/>
      <c r="C147" s="1729" t="s">
        <v>316</v>
      </c>
      <c r="D147" s="1779"/>
      <c r="E147" s="884">
        <f>SUM(E141:E146)</f>
        <v>0</v>
      </c>
      <c r="F147" s="884">
        <f>SUM(F141:F146)</f>
        <v>0</v>
      </c>
      <c r="G147" s="885" t="str">
        <f t="shared" si="12"/>
        <v xml:space="preserve"> </v>
      </c>
      <c r="H147" s="884">
        <f>SUM(H141:H146)</f>
        <v>0</v>
      </c>
      <c r="I147" s="885" t="str">
        <f t="shared" si="13"/>
        <v xml:space="preserve"> </v>
      </c>
      <c r="J147" s="884">
        <f>SUM(J141:J146)</f>
        <v>0</v>
      </c>
      <c r="K147" s="886" t="str">
        <f t="shared" si="14"/>
        <v xml:space="preserve"> </v>
      </c>
    </row>
    <row r="148" spans="1:11" ht="15.75" thickTop="1">
      <c r="A148" s="283"/>
      <c r="B148" s="1"/>
      <c r="C148" s="1"/>
      <c r="D148" s="1294"/>
      <c r="F148" s="1295"/>
      <c r="G148" s="157"/>
      <c r="H148" s="1295"/>
      <c r="I148" s="157"/>
      <c r="J148" s="1295"/>
      <c r="K148" s="1296"/>
    </row>
    <row r="149" spans="1:11" ht="15">
      <c r="A149" s="328" t="s">
        <v>438</v>
      </c>
      <c r="B149" s="1"/>
      <c r="C149" s="1"/>
      <c r="D149" s="1294"/>
      <c r="F149" s="1295"/>
      <c r="G149" s="157"/>
      <c r="H149" s="1295"/>
      <c r="I149" s="157"/>
      <c r="J149" s="1295"/>
      <c r="K149" s="1267"/>
    </row>
    <row r="150" spans="1:11" ht="15.4">
      <c r="A150" s="283"/>
      <c r="B150" s="1787" t="s">
        <v>431</v>
      </c>
      <c r="C150" s="1787"/>
      <c r="D150" s="1787"/>
      <c r="E150" s="1306"/>
      <c r="F150" s="1306"/>
      <c r="G150" s="1297">
        <f>F150-E150</f>
        <v>0</v>
      </c>
      <c r="H150" s="1306"/>
      <c r="I150" s="1297">
        <f>H150-F150</f>
        <v>0</v>
      </c>
      <c r="J150" s="1306"/>
      <c r="K150" s="1298">
        <f>J150-H150</f>
        <v>0</v>
      </c>
    </row>
    <row r="151" spans="1:11" ht="15.4">
      <c r="A151" s="283"/>
      <c r="B151" s="1787" t="s">
        <v>457</v>
      </c>
      <c r="C151" s="1787"/>
      <c r="D151" s="1787"/>
      <c r="E151" s="1797"/>
      <c r="F151" s="1722"/>
      <c r="G151" s="1722"/>
      <c r="H151" s="1722"/>
      <c r="I151" s="1722"/>
      <c r="J151" s="1722"/>
      <c r="K151" s="1798"/>
    </row>
    <row r="152" spans="1:11" ht="15.4">
      <c r="A152" s="283"/>
      <c r="B152" s="1789" t="s">
        <v>433</v>
      </c>
      <c r="C152" s="1685"/>
      <c r="D152" s="1790"/>
      <c r="E152" s="1300">
        <f>E24</f>
        <v>0</v>
      </c>
      <c r="F152" s="1300">
        <f>F24</f>
        <v>0</v>
      </c>
      <c r="G152" s="1301" t="str">
        <f>IF(E152&lt;1," ",IF(F152&lt;1," ",(F152-E152)/E152))</f>
        <v xml:space="preserve"> </v>
      </c>
      <c r="H152" s="1300">
        <f>H24</f>
        <v>0</v>
      </c>
      <c r="I152" s="1301" t="str">
        <f>IF(F152&lt;1," ",IF(H152&lt;1," ",(H152-F152)/F152))</f>
        <v xml:space="preserve"> </v>
      </c>
      <c r="J152" s="1300">
        <f>J24</f>
        <v>0</v>
      </c>
      <c r="K152" s="1299" t="str">
        <f>IF(H152&lt;1," ",IF(J152&lt;1," ",(J152-H152)/H152))</f>
        <v xml:space="preserve"> </v>
      </c>
    </row>
    <row r="153" spans="1:11" ht="15.4">
      <c r="A153" s="283"/>
      <c r="B153" s="1787" t="s">
        <v>434</v>
      </c>
      <c r="C153" s="1787"/>
      <c r="D153" s="1787"/>
      <c r="E153" s="1247"/>
      <c r="F153" s="1216"/>
      <c r="G153" s="50" t="str">
        <f>IF(E153&lt;1," ",IF(F153&lt;1," ",(F153-E153)/E153))</f>
        <v xml:space="preserve"> </v>
      </c>
      <c r="H153" s="1216"/>
      <c r="I153" s="50" t="str">
        <f>IF(F153&lt;1," ",IF(H153&lt;1," ",(H153-F153)/F153))</f>
        <v xml:space="preserve"> </v>
      </c>
      <c r="J153" s="1217"/>
      <c r="K153" s="321" t="str">
        <f>IF(H153&lt;1," ",IF(J153&lt;1," ",(J153-H153)/H153))</f>
        <v xml:space="preserve"> </v>
      </c>
    </row>
    <row r="154" spans="1:11" ht="15.4">
      <c r="A154" s="283"/>
      <c r="B154" s="1787" t="s">
        <v>462</v>
      </c>
      <c r="C154" s="1787"/>
      <c r="D154" s="1787"/>
      <c r="E154" s="1248"/>
      <c r="F154" s="722"/>
      <c r="G154" s="1289" t="str">
        <f>IF(E154&lt;1," ",IF(F154&lt;1," ",(F154-E154)/E154))</f>
        <v xml:space="preserve"> </v>
      </c>
      <c r="H154" s="722"/>
      <c r="I154" s="1289" t="str">
        <f>IF(F154&lt;1," ",IF(H154&lt;1," ",(H154-F154)/F154))</f>
        <v xml:space="preserve"> </v>
      </c>
      <c r="J154" s="742"/>
      <c r="K154" s="1290" t="str">
        <f>IF(H154&lt;1," ",IF(J154&lt;1," ",(J154-H154)/H154))</f>
        <v xml:space="preserve"> </v>
      </c>
    </row>
    <row r="155" spans="1:11" ht="15.75" thickBot="1">
      <c r="A155" s="283"/>
      <c r="B155" s="145"/>
      <c r="C155" s="1685" t="s">
        <v>435</v>
      </c>
      <c r="D155" s="1790"/>
      <c r="E155" s="1304">
        <f>SUM(E152:E154)</f>
        <v>0</v>
      </c>
      <c r="F155" s="1304">
        <f>SUM(F152:F154)</f>
        <v>0</v>
      </c>
      <c r="G155" s="1349"/>
      <c r="H155" s="1304">
        <f>SUM(H152:H154)</f>
        <v>0</v>
      </c>
      <c r="I155" s="1349"/>
      <c r="J155" s="1304">
        <f>SUM(J152:J154)</f>
        <v>0</v>
      </c>
      <c r="K155" s="1350"/>
    </row>
    <row r="156" spans="1:11" ht="16.149999999999999" thickTop="1" thickBot="1">
      <c r="A156" s="284"/>
      <c r="B156" s="1788" t="s">
        <v>436</v>
      </c>
      <c r="C156" s="1788"/>
      <c r="D156" s="1788"/>
      <c r="E156" s="1249"/>
      <c r="F156" s="1218"/>
      <c r="G156" s="1347" t="str">
        <f>IF(E156&lt;1," ",IF(F156&lt;1," ",(F156-E156)/E156))</f>
        <v xml:space="preserve"> </v>
      </c>
      <c r="H156" s="1218"/>
      <c r="I156" s="1347" t="str">
        <f>IF(F156&lt;1," ",IF(H156&lt;1," ",(H156-F156)/F156))</f>
        <v xml:space="preserve"> </v>
      </c>
      <c r="J156" s="1219"/>
      <c r="K156" s="1348" t="str">
        <f>IF(H156&lt;1," ",IF(J156&lt;1," ",(J156-H156)/H156))</f>
        <v xml:space="preserve"> </v>
      </c>
    </row>
    <row r="157" spans="1:11" ht="15.4">
      <c r="A157" s="2"/>
      <c r="B157" s="2"/>
      <c r="C157" s="2"/>
      <c r="D157" s="2"/>
      <c r="E157" s="2"/>
      <c r="F157" s="2"/>
      <c r="G157" s="32"/>
      <c r="H157" s="2"/>
      <c r="I157" s="32"/>
      <c r="J157" s="2"/>
      <c r="K157" s="32"/>
    </row>
    <row r="158" spans="1:11" ht="15.4">
      <c r="A158" s="2"/>
      <c r="B158" s="2"/>
      <c r="C158" s="2"/>
      <c r="D158" s="2"/>
      <c r="E158" s="2"/>
      <c r="F158" s="2"/>
      <c r="G158" s="32"/>
      <c r="H158" s="2"/>
      <c r="I158" s="32"/>
      <c r="J158" s="2"/>
      <c r="K158" s="32"/>
    </row>
    <row r="159" spans="1:11" ht="15.4">
      <c r="A159" s="2"/>
      <c r="B159" s="2"/>
      <c r="C159" s="2"/>
      <c r="D159" s="2"/>
      <c r="E159" s="2"/>
      <c r="F159" s="2"/>
      <c r="G159" s="32"/>
      <c r="H159" s="2"/>
      <c r="I159" s="32"/>
      <c r="J159" s="2"/>
      <c r="K159" s="32"/>
    </row>
    <row r="160" spans="1:11" ht="15.4">
      <c r="A160" s="2"/>
      <c r="B160" s="2"/>
      <c r="C160" s="2"/>
      <c r="D160" s="2"/>
      <c r="E160" s="2"/>
      <c r="F160" s="2"/>
      <c r="G160" s="32"/>
      <c r="H160" s="2"/>
      <c r="I160" s="32"/>
      <c r="J160" s="2"/>
      <c r="K160" s="32"/>
    </row>
    <row r="161" spans="1:11" ht="15.4">
      <c r="A161" s="2"/>
      <c r="B161" s="2"/>
      <c r="C161" s="2"/>
      <c r="D161" s="2"/>
      <c r="E161" s="2"/>
      <c r="F161" s="2"/>
      <c r="G161" s="32"/>
      <c r="H161" s="2"/>
      <c r="I161" s="32"/>
      <c r="J161" s="2"/>
      <c r="K161" s="32"/>
    </row>
    <row r="162" spans="1:11" ht="15.4">
      <c r="A162" s="2"/>
      <c r="B162" s="2"/>
      <c r="C162" s="2"/>
      <c r="D162" s="2"/>
      <c r="E162" s="2"/>
      <c r="F162" s="2"/>
      <c r="G162" s="32"/>
      <c r="H162" s="2"/>
      <c r="I162" s="32"/>
      <c r="J162" s="2"/>
      <c r="K162" s="32"/>
    </row>
    <row r="163" spans="1:11" ht="15.4">
      <c r="A163" s="2"/>
      <c r="B163" s="2"/>
      <c r="C163" s="2"/>
      <c r="D163" s="2"/>
      <c r="E163" s="2"/>
      <c r="F163" s="2"/>
      <c r="G163" s="32"/>
      <c r="H163" s="2"/>
      <c r="I163" s="32"/>
      <c r="J163" s="2"/>
      <c r="K163" s="32"/>
    </row>
    <row r="164" spans="1:11" ht="15.4">
      <c r="A164" s="2"/>
      <c r="B164" s="2"/>
      <c r="C164" s="2"/>
      <c r="D164" s="2"/>
      <c r="E164" s="2"/>
      <c r="F164" s="2"/>
      <c r="G164" s="32"/>
      <c r="H164" s="2"/>
      <c r="I164" s="32"/>
      <c r="J164" s="2"/>
      <c r="K164" s="32"/>
    </row>
    <row r="165" spans="1:11" ht="15.4">
      <c r="A165" s="2"/>
      <c r="B165" s="2"/>
      <c r="C165" s="2"/>
      <c r="D165" s="2"/>
      <c r="E165" s="2"/>
      <c r="F165" s="2"/>
      <c r="G165" s="32"/>
      <c r="H165" s="2"/>
      <c r="I165" s="32"/>
      <c r="J165" s="2"/>
      <c r="K165" s="32"/>
    </row>
    <row r="166" spans="1:11" ht="15.4">
      <c r="A166" s="2"/>
      <c r="B166" s="2"/>
      <c r="C166" s="2"/>
      <c r="D166" s="2"/>
      <c r="E166" s="2"/>
      <c r="F166" s="2"/>
      <c r="G166" s="32"/>
      <c r="H166" s="2"/>
      <c r="I166" s="32"/>
      <c r="J166" s="2"/>
      <c r="K166" s="32"/>
    </row>
    <row r="167" spans="1:11" ht="15.4">
      <c r="A167" s="2"/>
      <c r="B167" s="2"/>
      <c r="C167" s="2"/>
      <c r="D167" s="2"/>
      <c r="E167" s="2"/>
      <c r="F167" s="2"/>
      <c r="G167" s="32"/>
      <c r="H167" s="2"/>
      <c r="I167" s="32"/>
      <c r="J167" s="2"/>
      <c r="K167" s="32"/>
    </row>
    <row r="168" spans="1:11" ht="15.4">
      <c r="A168" s="2"/>
      <c r="B168" s="2"/>
      <c r="C168" s="2"/>
      <c r="D168" s="2"/>
      <c r="E168" s="2"/>
      <c r="F168" s="2"/>
      <c r="G168" s="32"/>
      <c r="H168" s="2"/>
      <c r="I168" s="32"/>
      <c r="J168" s="2"/>
      <c r="K168" s="32"/>
    </row>
    <row r="169" spans="1:11" ht="15.4">
      <c r="A169" s="2"/>
      <c r="B169" s="2"/>
      <c r="C169" s="2"/>
      <c r="D169" s="2"/>
      <c r="E169" s="2"/>
      <c r="F169" s="2"/>
      <c r="G169" s="32"/>
      <c r="H169" s="2"/>
      <c r="I169" s="32"/>
      <c r="J169" s="2"/>
      <c r="K169" s="32"/>
    </row>
    <row r="170" spans="1:11" ht="15.4">
      <c r="A170" s="2"/>
      <c r="B170" s="2"/>
      <c r="C170" s="2"/>
      <c r="D170" s="2"/>
      <c r="E170" s="2"/>
      <c r="F170" s="2"/>
      <c r="G170" s="32"/>
      <c r="H170" s="2"/>
      <c r="I170" s="32"/>
      <c r="J170" s="2"/>
      <c r="K170" s="32"/>
    </row>
    <row r="171" spans="1:11" ht="15.4">
      <c r="A171" s="2"/>
      <c r="B171" s="2"/>
      <c r="C171" s="2"/>
      <c r="D171" s="2"/>
      <c r="E171" s="2"/>
      <c r="F171" s="2"/>
      <c r="G171" s="32"/>
      <c r="H171" s="2"/>
      <c r="I171" s="32"/>
      <c r="J171" s="2"/>
      <c r="K171" s="32"/>
    </row>
    <row r="172" spans="1:11" ht="15.4">
      <c r="A172" s="2"/>
      <c r="B172" s="2"/>
      <c r="C172" s="2"/>
      <c r="D172" s="2"/>
      <c r="E172" s="2"/>
      <c r="F172" s="2"/>
      <c r="G172" s="32"/>
      <c r="H172" s="2"/>
      <c r="I172" s="32"/>
      <c r="J172" s="2"/>
      <c r="K172" s="32"/>
    </row>
    <row r="173" spans="1:11" ht="15.4">
      <c r="A173" s="2"/>
      <c r="B173" s="2"/>
      <c r="C173" s="2"/>
      <c r="D173" s="2"/>
      <c r="E173" s="2"/>
      <c r="F173" s="2"/>
      <c r="G173" s="32"/>
      <c r="H173" s="2"/>
      <c r="I173" s="32"/>
      <c r="J173" s="2"/>
      <c r="K173" s="32"/>
    </row>
    <row r="174" spans="1:11" ht="15.4">
      <c r="A174" s="2"/>
      <c r="B174" s="2"/>
      <c r="C174" s="2"/>
      <c r="D174" s="2"/>
      <c r="E174" s="2"/>
      <c r="F174" s="2"/>
      <c r="G174" s="32"/>
      <c r="H174" s="2"/>
      <c r="I174" s="32"/>
      <c r="J174" s="2"/>
      <c r="K174" s="32"/>
    </row>
    <row r="175" spans="1:11" ht="15.4">
      <c r="A175" s="2"/>
      <c r="B175" s="2"/>
      <c r="C175" s="2"/>
      <c r="D175" s="2"/>
      <c r="E175" s="2"/>
      <c r="F175" s="2"/>
      <c r="G175" s="32"/>
      <c r="H175" s="2"/>
      <c r="I175" s="32"/>
      <c r="J175" s="2"/>
      <c r="K175" s="32"/>
    </row>
    <row r="176" spans="1:11" ht="15.4">
      <c r="A176" s="2"/>
      <c r="B176" s="2"/>
      <c r="C176" s="2"/>
      <c r="D176" s="2"/>
      <c r="E176" s="2"/>
      <c r="F176" s="2"/>
      <c r="G176" s="32"/>
      <c r="H176" s="2"/>
      <c r="I176" s="32"/>
      <c r="J176" s="2"/>
      <c r="K176" s="32"/>
    </row>
    <row r="177" spans="1:11" ht="15.4">
      <c r="A177" s="2"/>
      <c r="B177" s="2"/>
      <c r="C177" s="2"/>
      <c r="D177" s="2"/>
      <c r="E177" s="2"/>
      <c r="F177" s="2"/>
      <c r="G177" s="32"/>
      <c r="H177" s="2"/>
      <c r="I177" s="32"/>
      <c r="J177" s="2"/>
      <c r="K177" s="32"/>
    </row>
    <row r="178" spans="1:11" ht="15.4">
      <c r="A178" s="2"/>
      <c r="B178" s="2"/>
      <c r="C178" s="2"/>
      <c r="D178" s="2"/>
      <c r="E178" s="2"/>
      <c r="F178" s="2"/>
      <c r="G178" s="32"/>
      <c r="H178" s="2"/>
      <c r="I178" s="32"/>
      <c r="J178" s="2"/>
      <c r="K178" s="32"/>
    </row>
    <row r="179" spans="1:11" ht="15.4">
      <c r="A179" s="2"/>
      <c r="B179" s="2"/>
      <c r="C179" s="2"/>
      <c r="D179" s="2"/>
      <c r="E179" s="2"/>
      <c r="F179" s="2"/>
      <c r="G179" s="32"/>
      <c r="H179" s="2"/>
      <c r="I179" s="32"/>
      <c r="J179" s="2"/>
      <c r="K179" s="32"/>
    </row>
    <row r="180" spans="1:11" ht="15.4">
      <c r="A180" s="2"/>
      <c r="B180" s="2"/>
      <c r="C180" s="2"/>
      <c r="D180" s="2"/>
      <c r="E180" s="2"/>
      <c r="F180" s="2"/>
      <c r="G180" s="32"/>
      <c r="H180" s="2"/>
      <c r="I180" s="32"/>
      <c r="J180" s="2"/>
      <c r="K180" s="32"/>
    </row>
    <row r="181" spans="1:11" ht="15.4">
      <c r="A181" s="2"/>
      <c r="B181" s="2"/>
      <c r="C181" s="2"/>
      <c r="D181" s="2"/>
      <c r="E181" s="2"/>
      <c r="F181" s="2"/>
      <c r="G181" s="32"/>
      <c r="H181" s="2"/>
      <c r="I181" s="32"/>
      <c r="J181" s="2"/>
      <c r="K181" s="32"/>
    </row>
    <row r="182" spans="1:11" ht="15.4">
      <c r="A182" s="2"/>
      <c r="B182" s="2"/>
      <c r="C182" s="2"/>
      <c r="D182" s="2"/>
      <c r="E182" s="2"/>
      <c r="F182" s="2"/>
      <c r="G182" s="32"/>
      <c r="H182" s="2"/>
      <c r="I182" s="32"/>
      <c r="J182" s="2"/>
      <c r="K182" s="32"/>
    </row>
    <row r="183" spans="1:11" ht="15.4">
      <c r="A183" s="2"/>
      <c r="B183" s="2"/>
      <c r="C183" s="2"/>
      <c r="D183" s="2"/>
      <c r="E183" s="2"/>
      <c r="F183" s="2"/>
      <c r="G183" s="32"/>
      <c r="H183" s="2"/>
      <c r="I183" s="32"/>
      <c r="J183" s="2"/>
      <c r="K183" s="32"/>
    </row>
    <row r="184" spans="1:11" ht="15.4">
      <c r="A184" s="2"/>
      <c r="B184" s="2"/>
      <c r="C184" s="2"/>
      <c r="D184" s="2"/>
      <c r="E184" s="2"/>
      <c r="F184" s="2"/>
      <c r="G184" s="32"/>
      <c r="H184" s="2"/>
      <c r="I184" s="32"/>
      <c r="J184" s="2"/>
      <c r="K184" s="32"/>
    </row>
    <row r="185" spans="1:11" ht="15.4">
      <c r="A185" s="2"/>
      <c r="B185" s="2"/>
      <c r="C185" s="2"/>
      <c r="D185" s="2"/>
      <c r="E185" s="2"/>
      <c r="F185" s="2"/>
      <c r="G185" s="32"/>
      <c r="H185" s="2"/>
      <c r="I185" s="32"/>
      <c r="J185" s="2"/>
      <c r="K185" s="32"/>
    </row>
    <row r="186" spans="1:11" ht="15.4">
      <c r="A186" s="2"/>
      <c r="B186" s="2"/>
      <c r="C186" s="2"/>
      <c r="D186" s="2"/>
      <c r="E186" s="2"/>
      <c r="F186" s="2"/>
      <c r="G186" s="32"/>
      <c r="H186" s="2"/>
      <c r="I186" s="32"/>
      <c r="J186" s="2"/>
      <c r="K186" s="32"/>
    </row>
    <row r="187" spans="1:11" ht="15.4">
      <c r="A187" s="2"/>
      <c r="B187" s="2"/>
      <c r="C187" s="2"/>
      <c r="D187" s="2"/>
      <c r="E187" s="2"/>
      <c r="F187" s="2"/>
      <c r="G187" s="32"/>
      <c r="H187" s="2"/>
      <c r="I187" s="32"/>
      <c r="J187" s="2"/>
      <c r="K187" s="32"/>
    </row>
    <row r="188" spans="1:11" ht="15.4">
      <c r="A188" s="2"/>
      <c r="B188" s="2"/>
      <c r="C188" s="2"/>
      <c r="D188" s="2"/>
      <c r="E188" s="2"/>
      <c r="F188" s="2"/>
      <c r="G188" s="32"/>
      <c r="H188" s="2"/>
      <c r="I188" s="32"/>
      <c r="J188" s="2"/>
      <c r="K188" s="32"/>
    </row>
    <row r="189" spans="1:11" ht="15.4">
      <c r="A189" s="2"/>
      <c r="B189" s="2"/>
      <c r="C189" s="2"/>
      <c r="D189" s="2"/>
      <c r="E189" s="2"/>
      <c r="F189" s="2"/>
      <c r="G189" s="32"/>
      <c r="H189" s="2"/>
      <c r="I189" s="32"/>
      <c r="J189" s="2"/>
      <c r="K189" s="32"/>
    </row>
    <row r="190" spans="1:11" ht="15.4">
      <c r="A190" s="2"/>
      <c r="B190" s="2"/>
      <c r="C190" s="2"/>
      <c r="D190" s="2"/>
      <c r="E190" s="2"/>
      <c r="F190" s="2"/>
      <c r="G190" s="32"/>
      <c r="H190" s="2"/>
      <c r="I190" s="32"/>
      <c r="J190" s="2"/>
      <c r="K190" s="32"/>
    </row>
    <row r="191" spans="1:11" ht="15.4">
      <c r="A191" s="2"/>
      <c r="B191" s="2"/>
      <c r="C191" s="2"/>
      <c r="D191" s="2"/>
      <c r="E191" s="2"/>
      <c r="F191" s="2"/>
      <c r="G191" s="32"/>
      <c r="H191" s="2"/>
      <c r="I191" s="32"/>
      <c r="J191" s="2"/>
      <c r="K191" s="32"/>
    </row>
    <row r="192" spans="1:11" ht="15.4">
      <c r="A192" s="2"/>
      <c r="B192" s="2"/>
      <c r="C192" s="2"/>
      <c r="D192" s="2"/>
      <c r="E192" s="2"/>
      <c r="F192" s="2"/>
      <c r="G192" s="32"/>
      <c r="H192" s="2"/>
      <c r="I192" s="32"/>
      <c r="J192" s="2"/>
      <c r="K192" s="32"/>
    </row>
    <row r="193" spans="1:11" ht="15.4">
      <c r="A193" s="2"/>
      <c r="B193" s="2"/>
      <c r="C193" s="2"/>
      <c r="D193" s="2"/>
      <c r="E193" s="2"/>
      <c r="F193" s="2"/>
      <c r="G193" s="32"/>
      <c r="H193" s="2"/>
      <c r="I193" s="32"/>
      <c r="J193" s="2"/>
      <c r="K193" s="32"/>
    </row>
    <row r="194" spans="1:11" ht="15.4">
      <c r="A194" s="2"/>
      <c r="B194" s="2"/>
      <c r="C194" s="2"/>
      <c r="D194" s="2"/>
      <c r="E194" s="2"/>
      <c r="F194" s="2"/>
      <c r="G194" s="32"/>
      <c r="H194" s="2"/>
      <c r="I194" s="32"/>
      <c r="J194" s="2"/>
      <c r="K194" s="32"/>
    </row>
    <row r="195" spans="1:11" ht="15.4">
      <c r="A195" s="2"/>
      <c r="B195" s="2"/>
      <c r="C195" s="2"/>
      <c r="D195" s="2"/>
      <c r="E195" s="2"/>
      <c r="F195" s="2"/>
      <c r="G195" s="32"/>
      <c r="H195" s="2"/>
      <c r="I195" s="32"/>
      <c r="J195" s="2"/>
      <c r="K195" s="32"/>
    </row>
    <row r="196" spans="1:11" ht="15.4">
      <c r="A196" s="2"/>
      <c r="B196" s="2"/>
      <c r="C196" s="2"/>
      <c r="D196" s="2"/>
      <c r="E196" s="2"/>
      <c r="F196" s="2"/>
      <c r="G196" s="32"/>
      <c r="H196" s="2"/>
      <c r="I196" s="32"/>
      <c r="J196" s="2"/>
      <c r="K196" s="32"/>
    </row>
    <row r="197" spans="1:11" ht="15.4">
      <c r="A197" s="2"/>
      <c r="B197" s="2"/>
      <c r="C197" s="2"/>
      <c r="D197" s="2"/>
      <c r="E197" s="2"/>
      <c r="F197" s="2"/>
      <c r="G197" s="32"/>
      <c r="H197" s="2"/>
      <c r="I197" s="32"/>
      <c r="J197" s="2"/>
      <c r="K197" s="32"/>
    </row>
    <row r="198" spans="1:11" ht="15.4">
      <c r="A198" s="2"/>
      <c r="B198" s="2"/>
      <c r="C198" s="2"/>
      <c r="D198" s="2"/>
      <c r="E198" s="2"/>
      <c r="F198" s="2"/>
      <c r="G198" s="32"/>
      <c r="H198" s="2"/>
      <c r="I198" s="32"/>
      <c r="J198" s="2"/>
      <c r="K198" s="32"/>
    </row>
    <row r="199" spans="1:11" ht="15.4">
      <c r="A199" s="2"/>
      <c r="B199" s="2"/>
      <c r="C199" s="2"/>
      <c r="D199" s="2"/>
      <c r="E199" s="2"/>
      <c r="F199" s="2"/>
      <c r="G199" s="32"/>
      <c r="H199" s="2"/>
      <c r="I199" s="32"/>
      <c r="J199" s="2"/>
      <c r="K199" s="32"/>
    </row>
    <row r="200" spans="1:11" ht="15.4">
      <c r="A200" s="2"/>
      <c r="B200" s="2"/>
      <c r="C200" s="2"/>
      <c r="D200" s="2"/>
      <c r="E200" s="2"/>
      <c r="F200" s="2"/>
      <c r="G200" s="32"/>
      <c r="H200" s="2"/>
      <c r="I200" s="32"/>
      <c r="J200" s="2"/>
      <c r="K200" s="32"/>
    </row>
    <row r="201" spans="1:11" ht="15.4">
      <c r="A201" s="2"/>
      <c r="B201" s="2"/>
      <c r="C201" s="2"/>
      <c r="D201" s="2"/>
      <c r="E201" s="2"/>
      <c r="F201" s="2"/>
      <c r="G201" s="32"/>
      <c r="H201" s="2"/>
      <c r="I201" s="32"/>
      <c r="J201" s="2"/>
      <c r="K201" s="32"/>
    </row>
    <row r="202" spans="1:11" ht="15.4">
      <c r="A202" s="2"/>
      <c r="B202" s="2"/>
      <c r="C202" s="2"/>
      <c r="D202" s="2"/>
      <c r="E202" s="2"/>
      <c r="F202" s="2"/>
      <c r="G202" s="32"/>
      <c r="H202" s="2"/>
      <c r="I202" s="32"/>
      <c r="J202" s="2"/>
      <c r="K202" s="32"/>
    </row>
    <row r="203" spans="1:11" ht="15.4">
      <c r="A203" s="2"/>
      <c r="B203" s="2"/>
      <c r="C203" s="2"/>
      <c r="D203" s="2"/>
      <c r="E203" s="2"/>
      <c r="F203" s="2"/>
      <c r="G203" s="32"/>
      <c r="H203" s="2"/>
      <c r="I203" s="32"/>
      <c r="J203" s="2"/>
      <c r="K203" s="32"/>
    </row>
    <row r="204" spans="1:11" ht="15.4">
      <c r="A204" s="2"/>
      <c r="B204" s="2"/>
      <c r="C204" s="2"/>
      <c r="D204" s="2"/>
      <c r="E204" s="2"/>
      <c r="F204" s="2"/>
      <c r="G204" s="32"/>
      <c r="H204" s="2"/>
      <c r="I204" s="32"/>
      <c r="J204" s="2"/>
      <c r="K204" s="32"/>
    </row>
    <row r="205" spans="1:11" ht="15.4">
      <c r="A205" s="2"/>
      <c r="B205" s="2"/>
      <c r="C205" s="2"/>
      <c r="D205" s="2"/>
      <c r="E205" s="2"/>
      <c r="F205" s="2"/>
      <c r="G205" s="32"/>
      <c r="H205" s="2"/>
      <c r="I205" s="32"/>
      <c r="J205" s="2"/>
      <c r="K205" s="32"/>
    </row>
    <row r="206" spans="1:11" ht="15.4">
      <c r="A206" s="2"/>
      <c r="B206" s="2"/>
      <c r="C206" s="2"/>
      <c r="D206" s="2"/>
      <c r="E206" s="2"/>
      <c r="F206" s="2"/>
      <c r="G206" s="32"/>
      <c r="H206" s="2"/>
      <c r="I206" s="32"/>
      <c r="J206" s="2"/>
      <c r="K206" s="32"/>
    </row>
    <row r="207" spans="1:11" ht="15.4">
      <c r="A207" s="2"/>
      <c r="B207" s="2"/>
      <c r="C207" s="2"/>
      <c r="D207" s="2"/>
      <c r="E207" s="2"/>
      <c r="F207" s="2"/>
      <c r="G207" s="32"/>
      <c r="H207" s="2"/>
      <c r="I207" s="32"/>
      <c r="J207" s="2"/>
      <c r="K207" s="32"/>
    </row>
    <row r="208" spans="1:11" ht="15.4">
      <c r="A208" s="2"/>
      <c r="B208" s="2"/>
      <c r="C208" s="2"/>
      <c r="D208" s="2"/>
      <c r="E208" s="2"/>
      <c r="F208" s="2"/>
      <c r="G208" s="32"/>
      <c r="H208" s="2"/>
      <c r="I208" s="32"/>
      <c r="J208" s="2"/>
      <c r="K208" s="32"/>
    </row>
    <row r="209" spans="1:11" ht="15.4">
      <c r="A209" s="2"/>
      <c r="B209" s="2"/>
      <c r="C209" s="2"/>
      <c r="D209" s="2"/>
      <c r="E209" s="2"/>
      <c r="F209" s="2"/>
      <c r="G209" s="32"/>
      <c r="H209" s="2"/>
      <c r="I209" s="32"/>
      <c r="J209" s="2"/>
      <c r="K209" s="32"/>
    </row>
    <row r="210" spans="1:11" ht="15.4">
      <c r="A210" s="2"/>
      <c r="B210" s="2"/>
      <c r="C210" s="2"/>
      <c r="D210" s="2"/>
      <c r="E210" s="2"/>
      <c r="F210" s="2"/>
      <c r="G210" s="32"/>
      <c r="H210" s="2"/>
      <c r="I210" s="32"/>
      <c r="J210" s="2"/>
      <c r="K210" s="32"/>
    </row>
    <row r="211" spans="1:11" ht="15.4">
      <c r="A211" s="2"/>
      <c r="B211" s="2"/>
      <c r="C211" s="2"/>
      <c r="D211" s="2"/>
      <c r="E211" s="2"/>
      <c r="F211" s="2"/>
      <c r="G211" s="32"/>
      <c r="H211" s="2"/>
      <c r="I211" s="32"/>
      <c r="J211" s="2"/>
      <c r="K211" s="32"/>
    </row>
    <row r="212" spans="1:11" ht="15.4">
      <c r="A212" s="2"/>
      <c r="B212" s="2"/>
      <c r="C212" s="2"/>
      <c r="D212" s="2"/>
      <c r="E212" s="2"/>
      <c r="F212" s="2"/>
      <c r="G212" s="32"/>
      <c r="H212" s="2"/>
      <c r="I212" s="32"/>
      <c r="J212" s="2"/>
      <c r="K212" s="32"/>
    </row>
    <row r="213" spans="1:11" ht="15.4">
      <c r="A213" s="2"/>
      <c r="B213" s="2"/>
      <c r="C213" s="2"/>
      <c r="D213" s="2"/>
      <c r="E213" s="2"/>
      <c r="F213" s="2"/>
      <c r="G213" s="32"/>
      <c r="H213" s="2"/>
      <c r="I213" s="32"/>
      <c r="J213" s="2"/>
      <c r="K213" s="32"/>
    </row>
    <row r="214" spans="1:11" ht="15.4">
      <c r="A214" s="2"/>
      <c r="B214" s="2"/>
      <c r="C214" s="2"/>
      <c r="D214" s="2"/>
      <c r="E214" s="2"/>
      <c r="F214" s="2"/>
      <c r="G214" s="32"/>
      <c r="H214" s="2"/>
      <c r="I214" s="32"/>
      <c r="J214" s="2"/>
      <c r="K214" s="32"/>
    </row>
    <row r="215" spans="1:11" ht="15.4">
      <c r="A215" s="2"/>
      <c r="B215" s="2"/>
      <c r="C215" s="2"/>
      <c r="D215" s="2"/>
      <c r="E215" s="2"/>
      <c r="F215" s="2"/>
      <c r="G215" s="32"/>
      <c r="H215" s="2"/>
      <c r="I215" s="32"/>
      <c r="J215" s="2"/>
      <c r="K215" s="32"/>
    </row>
    <row r="216" spans="1:11" ht="15.4">
      <c r="A216" s="2"/>
      <c r="B216" s="2"/>
      <c r="C216" s="2"/>
      <c r="D216" s="2"/>
      <c r="E216" s="2"/>
      <c r="F216" s="2"/>
      <c r="G216" s="32"/>
      <c r="H216" s="2"/>
      <c r="I216" s="32"/>
      <c r="J216" s="2"/>
      <c r="K216" s="32"/>
    </row>
    <row r="217" spans="1:11" ht="15.4">
      <c r="A217" s="2"/>
      <c r="B217" s="2"/>
      <c r="C217" s="2"/>
      <c r="D217" s="2"/>
      <c r="E217" s="2"/>
      <c r="F217" s="2"/>
      <c r="G217" s="32"/>
      <c r="H217" s="2"/>
      <c r="I217" s="32"/>
      <c r="J217" s="2"/>
      <c r="K217" s="32"/>
    </row>
    <row r="218" spans="1:11" ht="15.4">
      <c r="A218" s="2"/>
      <c r="B218" s="2"/>
      <c r="C218" s="2"/>
      <c r="D218" s="2"/>
      <c r="E218" s="2"/>
      <c r="F218" s="2"/>
      <c r="G218" s="32"/>
      <c r="H218" s="2"/>
      <c r="I218" s="32"/>
      <c r="J218" s="2"/>
      <c r="K218" s="32"/>
    </row>
    <row r="219" spans="1:11" ht="15.4">
      <c r="A219" s="2"/>
      <c r="B219" s="2"/>
      <c r="C219" s="2"/>
      <c r="D219" s="2"/>
      <c r="E219" s="2"/>
      <c r="F219" s="2"/>
      <c r="G219" s="32"/>
      <c r="H219" s="2"/>
      <c r="I219" s="32"/>
      <c r="J219" s="2"/>
      <c r="K219" s="32"/>
    </row>
    <row r="220" spans="1:11" ht="15.4">
      <c r="A220" s="2"/>
      <c r="B220" s="2"/>
      <c r="C220" s="2"/>
      <c r="D220" s="2"/>
      <c r="E220" s="2"/>
      <c r="F220" s="2"/>
      <c r="G220" s="32"/>
      <c r="H220" s="2"/>
      <c r="I220" s="32"/>
      <c r="J220" s="2"/>
      <c r="K220" s="32"/>
    </row>
    <row r="221" spans="1:11" ht="15.4">
      <c r="A221" s="2"/>
      <c r="B221" s="2"/>
      <c r="C221" s="2"/>
      <c r="D221" s="2"/>
      <c r="E221" s="2"/>
      <c r="F221" s="2"/>
      <c r="G221" s="32"/>
      <c r="H221" s="2"/>
      <c r="I221" s="32"/>
      <c r="J221" s="2"/>
      <c r="K221" s="32"/>
    </row>
    <row r="222" spans="1:11" ht="15.4">
      <c r="A222" s="2"/>
      <c r="B222" s="2"/>
      <c r="C222" s="2"/>
      <c r="D222" s="2"/>
      <c r="E222" s="2"/>
      <c r="F222" s="2"/>
      <c r="G222" s="32"/>
      <c r="H222" s="2"/>
      <c r="I222" s="32"/>
      <c r="J222" s="2"/>
      <c r="K222" s="32"/>
    </row>
    <row r="223" spans="1:11" ht="15.4">
      <c r="A223" s="2"/>
      <c r="B223" s="2"/>
      <c r="C223" s="2"/>
      <c r="D223" s="2"/>
      <c r="E223" s="2"/>
      <c r="F223" s="2"/>
      <c r="G223" s="32"/>
      <c r="H223" s="2"/>
      <c r="I223" s="32"/>
      <c r="J223" s="2"/>
      <c r="K223" s="32"/>
    </row>
    <row r="224" spans="1:11" ht="15.4">
      <c r="A224" s="2"/>
      <c r="B224" s="2"/>
      <c r="C224" s="2"/>
      <c r="D224" s="2"/>
      <c r="E224" s="2"/>
      <c r="F224" s="2"/>
      <c r="G224" s="32"/>
      <c r="H224" s="2"/>
      <c r="I224" s="32"/>
      <c r="J224" s="2"/>
      <c r="K224" s="32"/>
    </row>
    <row r="225" spans="1:11" ht="15.4">
      <c r="A225" s="2"/>
      <c r="B225" s="2"/>
      <c r="C225" s="2"/>
      <c r="D225" s="2"/>
      <c r="E225" s="2"/>
      <c r="F225" s="2"/>
      <c r="G225" s="32"/>
      <c r="H225" s="2"/>
      <c r="I225" s="32"/>
      <c r="J225" s="2"/>
      <c r="K225" s="32"/>
    </row>
    <row r="226" spans="1:11" ht="15.4">
      <c r="A226" s="2"/>
      <c r="B226" s="2"/>
      <c r="C226" s="2"/>
      <c r="D226" s="2"/>
      <c r="E226" s="2"/>
      <c r="F226" s="2"/>
      <c r="G226" s="32"/>
      <c r="H226" s="2"/>
      <c r="I226" s="32"/>
      <c r="J226" s="2"/>
      <c r="K226" s="32"/>
    </row>
    <row r="227" spans="1:11" ht="15.4">
      <c r="A227" s="2"/>
      <c r="B227" s="2"/>
      <c r="C227" s="2"/>
      <c r="D227" s="2"/>
      <c r="E227" s="2"/>
      <c r="F227" s="2"/>
      <c r="G227" s="32"/>
      <c r="H227" s="2"/>
      <c r="I227" s="32"/>
      <c r="J227" s="2"/>
      <c r="K227" s="32"/>
    </row>
    <row r="228" spans="1:11" ht="15.4">
      <c r="A228" s="2"/>
      <c r="B228" s="2"/>
      <c r="C228" s="2"/>
      <c r="D228" s="2"/>
      <c r="E228" s="2"/>
      <c r="F228" s="2"/>
      <c r="G228" s="32"/>
      <c r="H228" s="2"/>
      <c r="I228" s="32"/>
      <c r="J228" s="2"/>
      <c r="K228" s="32"/>
    </row>
    <row r="229" spans="1:11" ht="15.4">
      <c r="A229" s="2"/>
      <c r="B229" s="2"/>
      <c r="C229" s="2"/>
      <c r="D229" s="2"/>
      <c r="E229" s="2"/>
      <c r="F229" s="2"/>
      <c r="G229" s="32"/>
      <c r="H229" s="2"/>
      <c r="I229" s="32"/>
      <c r="J229" s="2"/>
      <c r="K229" s="32"/>
    </row>
    <row r="230" spans="1:11" ht="15.4">
      <c r="A230" s="2"/>
      <c r="B230" s="2"/>
      <c r="C230" s="2"/>
      <c r="D230" s="2"/>
      <c r="E230" s="2"/>
      <c r="F230" s="2"/>
      <c r="G230" s="32"/>
      <c r="H230" s="2"/>
      <c r="I230" s="32"/>
      <c r="J230" s="2"/>
      <c r="K230" s="32"/>
    </row>
    <row r="231" spans="1:11" ht="15.4">
      <c r="A231" s="2"/>
      <c r="B231" s="2"/>
      <c r="C231" s="2"/>
      <c r="D231" s="2"/>
      <c r="E231" s="2"/>
      <c r="F231" s="2"/>
      <c r="G231" s="32"/>
      <c r="H231" s="2"/>
      <c r="I231" s="32"/>
      <c r="J231" s="2"/>
      <c r="K231" s="32"/>
    </row>
    <row r="232" spans="1:11" ht="15.4">
      <c r="A232" s="2"/>
      <c r="B232" s="2"/>
      <c r="C232" s="2"/>
      <c r="D232" s="2"/>
      <c r="E232" s="2"/>
      <c r="F232" s="2"/>
      <c r="G232" s="32"/>
      <c r="H232" s="2"/>
      <c r="I232" s="32"/>
      <c r="J232" s="2"/>
      <c r="K232" s="32"/>
    </row>
    <row r="233" spans="1:11" ht="15.4">
      <c r="A233" s="2"/>
      <c r="B233" s="2"/>
      <c r="C233" s="2"/>
      <c r="D233" s="2"/>
      <c r="E233" s="2"/>
      <c r="F233" s="2"/>
      <c r="G233" s="32"/>
      <c r="H233" s="2"/>
      <c r="I233" s="32"/>
      <c r="J233" s="2"/>
      <c r="K233" s="32"/>
    </row>
    <row r="234" spans="1:11" ht="15.4">
      <c r="A234" s="2"/>
      <c r="B234" s="2"/>
      <c r="C234" s="2"/>
      <c r="D234" s="2"/>
      <c r="E234" s="2"/>
      <c r="F234" s="2"/>
      <c r="G234" s="32"/>
      <c r="H234" s="2"/>
      <c r="I234" s="32"/>
      <c r="J234" s="2"/>
      <c r="K234" s="32"/>
    </row>
    <row r="235" spans="1:11" ht="15.4">
      <c r="A235" s="2"/>
      <c r="B235" s="2"/>
      <c r="C235" s="2"/>
      <c r="D235" s="2"/>
      <c r="E235" s="2"/>
      <c r="F235" s="2"/>
      <c r="G235" s="32"/>
      <c r="H235" s="2"/>
      <c r="I235" s="32"/>
      <c r="J235" s="2"/>
      <c r="K235" s="32"/>
    </row>
    <row r="236" spans="1:11" ht="15.4">
      <c r="A236" s="2"/>
      <c r="B236" s="2"/>
      <c r="C236" s="2"/>
      <c r="D236" s="2"/>
      <c r="E236" s="2"/>
      <c r="F236" s="2"/>
      <c r="G236" s="32"/>
      <c r="H236" s="2"/>
      <c r="I236" s="32"/>
      <c r="J236" s="2"/>
      <c r="K236" s="32"/>
    </row>
    <row r="237" spans="1:11" ht="15.4">
      <c r="A237" s="2"/>
      <c r="B237" s="2"/>
      <c r="C237" s="2"/>
      <c r="D237" s="2"/>
      <c r="E237" s="2"/>
      <c r="F237" s="2"/>
      <c r="G237" s="32"/>
      <c r="H237" s="2"/>
      <c r="I237" s="32"/>
      <c r="J237" s="2"/>
      <c r="K237" s="32"/>
    </row>
    <row r="238" spans="1:11" ht="15.4">
      <c r="A238" s="2"/>
      <c r="B238" s="2"/>
      <c r="C238" s="2"/>
      <c r="D238" s="2"/>
      <c r="E238" s="2"/>
      <c r="F238" s="2"/>
      <c r="G238" s="32"/>
      <c r="H238" s="2"/>
      <c r="I238" s="32"/>
      <c r="J238" s="2"/>
      <c r="K238" s="32"/>
    </row>
    <row r="239" spans="1:11" ht="15.4">
      <c r="A239" s="2"/>
      <c r="B239" s="2"/>
      <c r="C239" s="2"/>
      <c r="D239" s="2"/>
      <c r="E239" s="2"/>
      <c r="F239" s="2"/>
      <c r="G239" s="32"/>
      <c r="H239" s="2"/>
      <c r="I239" s="32"/>
      <c r="J239" s="2"/>
      <c r="K239" s="32"/>
    </row>
    <row r="240" spans="1:11" ht="15.4">
      <c r="A240" s="2"/>
      <c r="B240" s="2"/>
      <c r="C240" s="2"/>
      <c r="D240" s="2"/>
      <c r="E240" s="2"/>
      <c r="F240" s="2"/>
      <c r="G240" s="32"/>
      <c r="H240" s="2"/>
      <c r="I240" s="32"/>
      <c r="J240" s="2"/>
      <c r="K240" s="32"/>
    </row>
    <row r="241" spans="1:11" ht="15.4">
      <c r="A241" s="2"/>
      <c r="B241" s="2"/>
      <c r="C241" s="2"/>
      <c r="D241" s="2"/>
      <c r="E241" s="2"/>
      <c r="F241" s="2"/>
      <c r="G241" s="32"/>
      <c r="H241" s="2"/>
      <c r="I241" s="32"/>
      <c r="J241" s="2"/>
      <c r="K241" s="32"/>
    </row>
    <row r="242" spans="1:11" ht="15.4">
      <c r="A242" s="2"/>
      <c r="B242" s="2"/>
      <c r="C242" s="2"/>
      <c r="D242" s="2"/>
      <c r="E242" s="2"/>
      <c r="F242" s="2"/>
      <c r="G242" s="32"/>
      <c r="H242" s="2"/>
      <c r="I242" s="32"/>
      <c r="J242" s="2"/>
      <c r="K242" s="32"/>
    </row>
    <row r="243" spans="1:11" ht="15.4">
      <c r="A243" s="2"/>
      <c r="B243" s="2"/>
      <c r="C243" s="2"/>
      <c r="D243" s="2"/>
      <c r="E243" s="2"/>
      <c r="F243" s="2"/>
      <c r="G243" s="32"/>
      <c r="H243" s="2"/>
      <c r="I243" s="32"/>
      <c r="J243" s="2"/>
      <c r="K243" s="32"/>
    </row>
    <row r="244" spans="1:11" ht="15.4">
      <c r="A244" s="2"/>
      <c r="B244" s="2"/>
      <c r="C244" s="2"/>
      <c r="D244" s="2"/>
      <c r="E244" s="2"/>
      <c r="F244" s="2"/>
      <c r="G244" s="32"/>
      <c r="H244" s="2"/>
      <c r="I244" s="32"/>
      <c r="J244" s="2"/>
      <c r="K244" s="32"/>
    </row>
    <row r="245" spans="1:11" ht="15.4">
      <c r="A245" s="2"/>
      <c r="B245" s="2"/>
      <c r="C245" s="2"/>
      <c r="D245" s="2"/>
      <c r="E245" s="2"/>
      <c r="F245" s="2"/>
      <c r="G245" s="32"/>
      <c r="H245" s="2"/>
      <c r="I245" s="32"/>
    </row>
    <row r="246" spans="1:11" ht="15.4">
      <c r="A246" s="2"/>
      <c r="B246" s="2"/>
      <c r="C246" s="2"/>
      <c r="D246" s="2"/>
      <c r="E246" s="2"/>
      <c r="F246" s="2"/>
      <c r="G246" s="32"/>
      <c r="H246" s="2"/>
      <c r="I246" s="32"/>
    </row>
    <row r="247" spans="1:11" ht="15.4">
      <c r="A247" s="2"/>
      <c r="B247" s="2"/>
      <c r="C247" s="2"/>
      <c r="D247" s="2"/>
      <c r="E247" s="2"/>
      <c r="F247" s="2"/>
      <c r="G247" s="32"/>
      <c r="H247" s="2"/>
      <c r="I247" s="32"/>
    </row>
    <row r="248" spans="1:11" ht="15.4">
      <c r="A248" s="2"/>
      <c r="B248" s="2"/>
      <c r="C248" s="2"/>
      <c r="D248" s="2"/>
      <c r="E248" s="2"/>
      <c r="F248" s="2"/>
      <c r="G248" s="32"/>
      <c r="H248" s="2"/>
      <c r="I248" s="32"/>
    </row>
    <row r="249" spans="1:11" ht="15.4">
      <c r="A249" s="2"/>
      <c r="B249" s="2"/>
      <c r="C249" s="2"/>
      <c r="D249" s="2"/>
      <c r="E249" s="2"/>
      <c r="F249" s="2"/>
      <c r="G249" s="32"/>
      <c r="H249" s="2"/>
      <c r="I249" s="32"/>
    </row>
    <row r="250" spans="1:11" ht="15.4">
      <c r="A250" s="2"/>
      <c r="B250" s="2"/>
      <c r="C250" s="2"/>
      <c r="D250" s="2"/>
      <c r="E250" s="2"/>
      <c r="F250" s="2"/>
      <c r="G250" s="32"/>
      <c r="H250" s="2"/>
      <c r="I250" s="32"/>
    </row>
    <row r="251" spans="1:11" ht="15.4">
      <c r="A251" s="2"/>
      <c r="B251" s="2"/>
      <c r="C251" s="2"/>
      <c r="D251" s="2"/>
      <c r="E251" s="2"/>
      <c r="F251" s="2"/>
      <c r="G251" s="32"/>
      <c r="H251" s="2"/>
      <c r="I251" s="32"/>
    </row>
    <row r="252" spans="1:11" ht="15.4">
      <c r="A252" s="2"/>
      <c r="B252" s="2"/>
      <c r="C252" s="2"/>
      <c r="D252" s="2"/>
      <c r="E252" s="2"/>
      <c r="F252" s="2"/>
      <c r="G252" s="32"/>
      <c r="H252" s="2"/>
      <c r="I252" s="32"/>
    </row>
    <row r="253" spans="1:11" ht="15.4">
      <c r="A253" s="2"/>
      <c r="B253" s="2"/>
      <c r="C253" s="2"/>
      <c r="D253" s="2"/>
      <c r="E253" s="2"/>
      <c r="F253" s="2"/>
      <c r="G253" s="32"/>
      <c r="H253" s="2"/>
      <c r="I253" s="32"/>
    </row>
    <row r="254" spans="1:11" ht="15.4">
      <c r="A254" s="2"/>
      <c r="B254" s="2"/>
      <c r="C254" s="2"/>
      <c r="D254" s="2"/>
      <c r="E254" s="2"/>
      <c r="F254" s="2"/>
      <c r="G254" s="32"/>
      <c r="H254" s="2"/>
      <c r="I254" s="32"/>
    </row>
    <row r="255" spans="1:11" ht="15.4">
      <c r="A255" s="2"/>
      <c r="B255" s="2"/>
      <c r="C255" s="2"/>
      <c r="D255" s="2"/>
      <c r="E255" s="2"/>
      <c r="F255" s="2"/>
      <c r="G255" s="32"/>
      <c r="H255" s="2"/>
      <c r="I255" s="32"/>
    </row>
    <row r="256" spans="1:11" ht="15.4">
      <c r="A256" s="2"/>
      <c r="B256" s="2"/>
      <c r="C256" s="2"/>
      <c r="D256" s="2"/>
      <c r="E256" s="2"/>
      <c r="F256" s="2"/>
      <c r="G256" s="32"/>
      <c r="H256" s="2"/>
      <c r="I256" s="32"/>
    </row>
    <row r="257" spans="1:9" ht="15.4">
      <c r="A257" s="2"/>
      <c r="B257" s="2"/>
      <c r="C257" s="2"/>
      <c r="D257" s="2"/>
      <c r="E257" s="2"/>
      <c r="F257" s="2"/>
      <c r="G257" s="32"/>
      <c r="H257" s="2"/>
      <c r="I257" s="32"/>
    </row>
    <row r="258" spans="1:9" ht="15.4">
      <c r="A258" s="2"/>
      <c r="B258" s="2"/>
      <c r="C258" s="2"/>
      <c r="D258" s="2"/>
      <c r="E258" s="2"/>
      <c r="F258" s="2"/>
      <c r="G258" s="32"/>
      <c r="H258" s="2"/>
      <c r="I258" s="32"/>
    </row>
    <row r="259" spans="1:9" ht="15.4">
      <c r="A259" s="2"/>
      <c r="B259" s="2"/>
      <c r="C259" s="2"/>
      <c r="D259" s="2"/>
      <c r="E259" s="2"/>
      <c r="F259" s="2"/>
      <c r="G259" s="32"/>
      <c r="H259" s="2"/>
      <c r="I259" s="32"/>
    </row>
    <row r="260" spans="1:9" ht="15.4">
      <c r="A260" s="2"/>
      <c r="B260" s="2"/>
      <c r="C260" s="2"/>
      <c r="D260" s="2"/>
      <c r="E260" s="2"/>
      <c r="F260" s="2"/>
      <c r="G260" s="32"/>
      <c r="H260" s="2"/>
      <c r="I260" s="32"/>
    </row>
    <row r="261" spans="1:9" ht="15.4">
      <c r="A261" s="2"/>
      <c r="B261" s="2"/>
      <c r="C261" s="2"/>
      <c r="D261" s="2"/>
      <c r="E261" s="2"/>
      <c r="F261" s="2"/>
      <c r="G261" s="32"/>
      <c r="H261" s="2"/>
      <c r="I261" s="32"/>
    </row>
    <row r="262" spans="1:9" ht="15.4">
      <c r="A262" s="2"/>
      <c r="B262" s="2"/>
      <c r="C262" s="2"/>
      <c r="D262" s="2"/>
      <c r="E262" s="2"/>
      <c r="F262" s="2"/>
      <c r="G262" s="32"/>
      <c r="H262" s="2"/>
      <c r="I262" s="32"/>
    </row>
    <row r="263" spans="1:9" ht="15.4">
      <c r="A263" s="2"/>
      <c r="B263" s="2"/>
      <c r="C263" s="2"/>
      <c r="D263" s="2"/>
      <c r="E263" s="2"/>
      <c r="F263" s="2"/>
      <c r="G263" s="32"/>
      <c r="H263" s="2"/>
      <c r="I263" s="32"/>
    </row>
    <row r="264" spans="1:9" ht="15.4">
      <c r="A264" s="2"/>
      <c r="B264" s="2"/>
      <c r="C264" s="2"/>
      <c r="D264" s="2"/>
      <c r="E264" s="2"/>
      <c r="F264" s="2"/>
      <c r="G264" s="32"/>
      <c r="H264" s="2"/>
      <c r="I264" s="32"/>
    </row>
    <row r="265" spans="1:9" ht="15.4">
      <c r="A265" s="2"/>
      <c r="B265" s="2"/>
      <c r="C265" s="2"/>
      <c r="D265" s="2"/>
      <c r="E265" s="2"/>
      <c r="F265" s="2"/>
      <c r="G265" s="32"/>
      <c r="H265" s="2"/>
      <c r="I265" s="32"/>
    </row>
    <row r="266" spans="1:9" ht="15.4">
      <c r="A266" s="2"/>
      <c r="B266" s="2"/>
      <c r="C266" s="2"/>
      <c r="D266" s="2"/>
      <c r="E266" s="2"/>
      <c r="F266" s="2"/>
      <c r="G266" s="32"/>
      <c r="H266" s="2"/>
      <c r="I266" s="32"/>
    </row>
    <row r="267" spans="1:9" ht="15.4">
      <c r="A267" s="2"/>
      <c r="B267" s="2"/>
      <c r="C267" s="2"/>
      <c r="D267" s="2"/>
      <c r="E267" s="2"/>
      <c r="F267" s="2"/>
      <c r="G267" s="32"/>
      <c r="H267" s="2"/>
      <c r="I267" s="32"/>
    </row>
    <row r="268" spans="1:9" ht="15.4">
      <c r="A268" s="2"/>
      <c r="B268" s="2"/>
      <c r="C268" s="2"/>
      <c r="D268" s="2"/>
      <c r="E268" s="2"/>
      <c r="F268" s="2"/>
      <c r="G268" s="32"/>
      <c r="H268" s="2"/>
      <c r="I268" s="32"/>
    </row>
    <row r="269" spans="1:9" ht="15.4">
      <c r="A269" s="2"/>
      <c r="B269" s="2"/>
      <c r="C269" s="2"/>
      <c r="D269" s="2"/>
      <c r="E269" s="2"/>
      <c r="F269" s="2"/>
      <c r="G269" s="32"/>
      <c r="H269" s="2"/>
      <c r="I269" s="32"/>
    </row>
    <row r="270" spans="1:9" ht="15.4">
      <c r="A270" s="2"/>
      <c r="B270" s="2"/>
      <c r="C270" s="2"/>
      <c r="D270" s="2"/>
      <c r="E270" s="2"/>
      <c r="F270" s="2"/>
      <c r="G270" s="32"/>
      <c r="H270" s="2"/>
      <c r="I270" s="32"/>
    </row>
    <row r="271" spans="1:9" ht="15.4">
      <c r="A271" s="2"/>
      <c r="B271" s="2"/>
      <c r="C271" s="2"/>
      <c r="D271" s="2"/>
      <c r="E271" s="2"/>
      <c r="F271" s="2"/>
      <c r="G271" s="32"/>
      <c r="H271" s="2"/>
      <c r="I271" s="32"/>
    </row>
    <row r="272" spans="1:9" ht="15.4">
      <c r="A272" s="2"/>
      <c r="B272" s="2"/>
      <c r="C272" s="2"/>
      <c r="D272" s="2"/>
      <c r="E272" s="2"/>
      <c r="F272" s="2"/>
      <c r="G272" s="32"/>
      <c r="H272" s="2"/>
      <c r="I272" s="32"/>
    </row>
  </sheetData>
  <sheetProtection algorithmName="SHA-512" hashValue="sYE+m3kkHkppREaWvDjyZPQYxWjeXOn8vyCC8/nH5IDcBzytMnEJDl60YhpI7s9fIiaXX3PWIsijLdHsZ9vzAg==" saltValue="qpiyoakP5jlXdaw4sls2/Q==" spinCount="100000" sheet="1" objects="1" scenarios="1"/>
  <mergeCells count="93">
    <mergeCell ref="E151:K151"/>
    <mergeCell ref="C103:D103"/>
    <mergeCell ref="C104:D104"/>
    <mergeCell ref="C105:D105"/>
    <mergeCell ref="C106:D106"/>
    <mergeCell ref="C107:D107"/>
    <mergeCell ref="C112:D112"/>
    <mergeCell ref="C144:D144"/>
    <mergeCell ref="C109:D109"/>
    <mergeCell ref="C110:D110"/>
    <mergeCell ref="C111:D111"/>
    <mergeCell ref="C145:D145"/>
    <mergeCell ref="C132:D132"/>
    <mergeCell ref="C127:D127"/>
    <mergeCell ref="C137:D137"/>
    <mergeCell ref="F140:K140"/>
    <mergeCell ref="F42:K42"/>
    <mergeCell ref="F92:K92"/>
    <mergeCell ref="F93:K93"/>
    <mergeCell ref="C85:D85"/>
    <mergeCell ref="C86:D86"/>
    <mergeCell ref="F59:K59"/>
    <mergeCell ref="C75:D75"/>
    <mergeCell ref="C88:D88"/>
    <mergeCell ref="B52:D52"/>
    <mergeCell ref="C96:D96"/>
    <mergeCell ref="C76:D76"/>
    <mergeCell ref="C77:D77"/>
    <mergeCell ref="C78:D78"/>
    <mergeCell ref="C79:D79"/>
    <mergeCell ref="C89:D89"/>
    <mergeCell ref="C87:D87"/>
    <mergeCell ref="C147:D147"/>
    <mergeCell ref="C138:D138"/>
    <mergeCell ref="C142:D142"/>
    <mergeCell ref="C143:D143"/>
    <mergeCell ref="C139:D139"/>
    <mergeCell ref="C146:D146"/>
    <mergeCell ref="C141:D141"/>
    <mergeCell ref="B154:D154"/>
    <mergeCell ref="B156:D156"/>
    <mergeCell ref="B152:D152"/>
    <mergeCell ref="C155:D155"/>
    <mergeCell ref="B150:D150"/>
    <mergeCell ref="B151:D151"/>
    <mergeCell ref="B153:D153"/>
    <mergeCell ref="A1:D1"/>
    <mergeCell ref="A2:D2"/>
    <mergeCell ref="A3:D3"/>
    <mergeCell ref="B45:D45"/>
    <mergeCell ref="A47:D47"/>
    <mergeCell ref="A8:C8"/>
    <mergeCell ref="A28:C28"/>
    <mergeCell ref="B26:D26"/>
    <mergeCell ref="B38:D38"/>
    <mergeCell ref="A40:D40"/>
    <mergeCell ref="F41:K41"/>
    <mergeCell ref="C134:D134"/>
    <mergeCell ref="C125:D125"/>
    <mergeCell ref="C128:D128"/>
    <mergeCell ref="C126:D126"/>
    <mergeCell ref="C113:D113"/>
    <mergeCell ref="C121:D121"/>
    <mergeCell ref="C122:D122"/>
    <mergeCell ref="C123:D123"/>
    <mergeCell ref="C124:D124"/>
    <mergeCell ref="C129:D129"/>
    <mergeCell ref="C130:D130"/>
    <mergeCell ref="F115:K115"/>
    <mergeCell ref="C94:D94"/>
    <mergeCell ref="C102:D102"/>
    <mergeCell ref="C97:D97"/>
    <mergeCell ref="F11:K11"/>
    <mergeCell ref="F12:K12"/>
    <mergeCell ref="F27:K27"/>
    <mergeCell ref="F28:K28"/>
    <mergeCell ref="F39:K39"/>
    <mergeCell ref="C120:D120"/>
    <mergeCell ref="F48:K48"/>
    <mergeCell ref="B55:D55"/>
    <mergeCell ref="F49:K49"/>
    <mergeCell ref="C136:D136"/>
    <mergeCell ref="C135:D135"/>
    <mergeCell ref="C98:D98"/>
    <mergeCell ref="C108:D108"/>
    <mergeCell ref="C99:D99"/>
    <mergeCell ref="C100:D100"/>
    <mergeCell ref="C101:D101"/>
    <mergeCell ref="C133:D133"/>
    <mergeCell ref="C131:D131"/>
    <mergeCell ref="C114:D114"/>
    <mergeCell ref="F119:K119"/>
    <mergeCell ref="C95:D95"/>
  </mergeCells>
  <conditionalFormatting sqref="A1:D3">
    <cfRule type="containsText" dxfId="267" priority="2" stopIfTrue="1" operator="containsText" text="Enter">
      <formula>NOT(ISERROR(SEARCH("Enter",A1)))</formula>
    </cfRule>
  </conditionalFormatting>
  <conditionalFormatting sqref="E90:F90 H90 J90">
    <cfRule type="containsText" dxfId="266" priority="1" stopIfTrue="1" operator="containsText" text="Total must equal amount in Cell">
      <formula>NOT(ISERROR(SEARCH("Total must equal amount in Cell",E90)))</formula>
    </cfRule>
  </conditionalFormatting>
  <pageMargins left="0.7" right="0.7" top="0.75" bottom="0.75" header="0.3" footer="0.3"/>
  <pageSetup scale="62" fitToHeight="0" orientation="landscape" r:id="rId1"/>
  <headerFooter>
    <oddFooter>Page &amp;P of &amp;N</oddFooter>
  </headerFooter>
  <rowBreaks count="2" manualBreakCount="2">
    <brk id="48" max="10" man="1"/>
    <brk id="73"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theme="6" tint="-0.249977111117893"/>
    <pageSetUpPr autoPageBreaks="0" fitToPage="1"/>
  </sheetPr>
  <dimension ref="A1:AC86"/>
  <sheetViews>
    <sheetView showGridLines="0" tabSelected="1" zoomScale="80" zoomScaleNormal="80" zoomScaleSheetLayoutView="100" workbookViewId="0">
      <pane xSplit="4" ySplit="10" topLeftCell="E16" activePane="bottomRight" state="frozen"/>
      <selection activeCell="J13" sqref="J13"/>
      <selection pane="topRight" activeCell="J13" sqref="J13"/>
      <selection pane="bottomLeft" activeCell="J13" sqref="J13"/>
      <selection pane="bottomRight" activeCell="H35" sqref="H35"/>
    </sheetView>
  </sheetViews>
  <sheetFormatPr defaultRowHeight="12.75"/>
  <cols>
    <col min="1" max="1" width="5.46484375" customWidth="1"/>
    <col min="2" max="2" width="3.86328125" customWidth="1"/>
    <col min="3" max="3" width="82" customWidth="1"/>
    <col min="4" max="4" width="10.46484375" customWidth="1"/>
    <col min="5" max="6" width="14.53125" customWidth="1"/>
    <col min="7" max="7" width="10.53125" customWidth="1"/>
    <col min="8" max="8" width="14.53125" customWidth="1"/>
    <col min="9" max="9" width="10.53125" customWidth="1"/>
    <col min="10" max="10" width="14.53125" customWidth="1"/>
    <col min="11" max="11" width="10.53125" customWidth="1"/>
    <col min="12" max="12" width="4" style="1177" customWidth="1"/>
    <col min="13" max="13" width="3.6640625" customWidth="1"/>
    <col min="14" max="14" width="3.1328125" customWidth="1"/>
    <col min="15" max="22" width="9.1328125" customWidth="1"/>
    <col min="23" max="23" width="3.6640625" customWidth="1"/>
    <col min="24" max="24" width="3.1328125" customWidth="1"/>
    <col min="25" max="35" width="9.1328125" customWidth="1"/>
  </cols>
  <sheetData>
    <row r="1" spans="1:19" ht="15">
      <c r="A1" s="1664" t="str">
        <f>IF('BUDGET-CERTIFICATION'!$H$1="","CHARTER NAME: Enter Charter Name on BUDGET-CERTIFICATION Worksheet",(CONCATENATE("CHARTER NAME: ",'BUDGET-CERTIFICATION'!$H$1)))</f>
        <v>CHARTER NAME: Encor Jr./Sr. High School for the Performing and Visual Arts</v>
      </c>
      <c r="B1" s="1664"/>
      <c r="C1" s="1664"/>
      <c r="D1" s="1664"/>
      <c r="E1" s="12"/>
      <c r="F1" s="12"/>
      <c r="G1" s="156"/>
      <c r="H1" s="12"/>
      <c r="I1" s="155"/>
      <c r="J1" s="1"/>
      <c r="K1" s="157"/>
      <c r="M1" s="1177"/>
      <c r="N1" s="1177"/>
      <c r="O1" s="1177"/>
      <c r="P1" s="1177"/>
      <c r="Q1" s="1177"/>
      <c r="R1" s="1177"/>
      <c r="S1" s="1177"/>
    </row>
    <row r="2" spans="1:19" ht="15">
      <c r="A2" s="1664" t="str">
        <f>IF('BUDGET-CERTIFICATION'!$H$2="","CDS #: Enter Charter CDS # on BUDGET-CERTIFICATION Worksheet",(_xlfn.CONCAT("CDS #: ",'BUDGET-CERTIFICATION'!$H$2)))</f>
        <v>CDS #: 35-75044-01166707</v>
      </c>
      <c r="B2" s="1664"/>
      <c r="C2" s="1664"/>
      <c r="D2" s="1664"/>
      <c r="E2" s="12"/>
      <c r="F2" s="80"/>
      <c r="G2" s="156"/>
      <c r="H2" s="80"/>
      <c r="I2" s="156"/>
      <c r="J2" s="1"/>
      <c r="K2" s="157"/>
      <c r="M2" s="1177"/>
      <c r="N2" s="1177"/>
      <c r="O2" s="1177"/>
      <c r="P2" s="1177"/>
      <c r="Q2" s="1177"/>
      <c r="R2" s="1177"/>
      <c r="S2" s="1177"/>
    </row>
    <row r="3" spans="1:19" ht="15">
      <c r="A3" s="1664" t="str">
        <f>IF('BUDGET-CERTIFICATION'!$H$5="","CHARTER #: Enter Charter # on BUDGET-CERTIFICATION Worksheet",(_xlfn.CONCAT("CHARTER #: ",'BUDGET-CERTIFICATION'!$H$5)))</f>
        <v>CHARTER #: 0971</v>
      </c>
      <c r="B3" s="1664"/>
      <c r="C3" s="1664"/>
      <c r="D3" s="1664"/>
      <c r="E3" s="12"/>
      <c r="F3" s="12"/>
      <c r="G3" s="155"/>
      <c r="H3" s="12"/>
      <c r="I3" s="155"/>
      <c r="J3" s="1"/>
      <c r="K3" s="157"/>
      <c r="M3" s="1177"/>
      <c r="N3" s="1177"/>
      <c r="O3" s="1177"/>
      <c r="P3" s="1177"/>
      <c r="Q3" s="1177"/>
      <c r="R3" s="1177"/>
      <c r="S3" s="1177"/>
    </row>
    <row r="4" spans="1:19" ht="15.4">
      <c r="A4" s="2"/>
      <c r="B4" s="52"/>
      <c r="C4" s="52"/>
      <c r="D4" s="158" t="str">
        <f>'Budget-ADA'!I4</f>
        <v>Fiscal Year 2024-25 Budget</v>
      </c>
      <c r="E4" s="52"/>
      <c r="F4" s="52"/>
      <c r="G4" s="52"/>
      <c r="H4" s="52"/>
      <c r="I4" s="52"/>
      <c r="J4" s="52"/>
      <c r="K4" s="52"/>
      <c r="M4" s="1177"/>
      <c r="N4" s="1177"/>
      <c r="O4" s="1177"/>
      <c r="P4" s="1177"/>
      <c r="Q4" s="1177"/>
      <c r="R4" s="1177"/>
      <c r="S4" s="1177"/>
    </row>
    <row r="5" spans="1:19" ht="15">
      <c r="A5" s="12"/>
      <c r="B5" s="12"/>
      <c r="C5" s="52"/>
      <c r="D5" s="158" t="s">
        <v>209</v>
      </c>
      <c r="E5" s="52"/>
      <c r="F5" s="52"/>
      <c r="G5" s="159"/>
      <c r="H5" s="52"/>
      <c r="I5" s="159"/>
      <c r="J5" s="1"/>
      <c r="K5" s="160"/>
      <c r="M5" s="1177"/>
      <c r="N5" s="1177"/>
      <c r="O5" s="1177"/>
      <c r="P5" s="1177"/>
      <c r="Q5" s="1177"/>
      <c r="R5" s="1177"/>
      <c r="S5" s="1177"/>
    </row>
    <row r="6" spans="1:19" ht="15.4" thickBot="1">
      <c r="A6" s="1551" t="str">
        <f>Instructions!H1</f>
        <v>Form Revised (revision date here if revised)</v>
      </c>
      <c r="B6" s="12"/>
      <c r="C6" s="12"/>
      <c r="D6" s="12"/>
      <c r="E6" s="12"/>
      <c r="F6" s="12"/>
      <c r="G6" s="155"/>
      <c r="H6" s="12"/>
      <c r="I6" s="155"/>
      <c r="J6" s="1"/>
      <c r="K6" s="157"/>
      <c r="M6" s="1177"/>
      <c r="N6" s="1177"/>
      <c r="O6" s="1177"/>
      <c r="P6" s="1177"/>
      <c r="Q6" s="1177"/>
      <c r="R6" s="1177"/>
      <c r="S6" s="1177"/>
    </row>
    <row r="7" spans="1:19" ht="15">
      <c r="A7" s="238"/>
      <c r="B7" s="233"/>
      <c r="C7" s="233"/>
      <c r="D7" s="295"/>
      <c r="E7" s="296"/>
      <c r="F7" s="296"/>
      <c r="G7" s="297"/>
      <c r="H7" s="296" t="s">
        <v>2</v>
      </c>
      <c r="I7" s="297"/>
      <c r="J7" s="296" t="s">
        <v>2</v>
      </c>
      <c r="K7" s="298"/>
      <c r="M7" s="1177"/>
      <c r="N7" s="1177"/>
      <c r="O7" s="1177"/>
      <c r="P7" s="1177"/>
      <c r="Q7" s="1177"/>
      <c r="R7" s="1177"/>
      <c r="S7" s="1177"/>
    </row>
    <row r="8" spans="1:19" ht="15">
      <c r="A8" s="1775" t="s">
        <v>21</v>
      </c>
      <c r="B8" s="1776"/>
      <c r="C8" s="1776"/>
      <c r="D8" s="53"/>
      <c r="E8" s="14" t="s">
        <v>93</v>
      </c>
      <c r="F8" s="14" t="s">
        <v>17</v>
      </c>
      <c r="G8" s="161" t="s">
        <v>18</v>
      </c>
      <c r="H8" s="14" t="s">
        <v>19</v>
      </c>
      <c r="I8" s="161" t="s">
        <v>18</v>
      </c>
      <c r="J8" s="14" t="s">
        <v>19</v>
      </c>
      <c r="K8" s="299" t="s">
        <v>18</v>
      </c>
      <c r="M8" s="1177"/>
      <c r="N8" s="1177"/>
      <c r="O8" s="1177"/>
      <c r="P8" s="1177"/>
      <c r="Q8" s="1177"/>
      <c r="R8" s="1177"/>
      <c r="S8" s="1177"/>
    </row>
    <row r="9" spans="1:19" ht="15">
      <c r="A9" s="67"/>
      <c r="B9" s="1"/>
      <c r="C9" s="1"/>
      <c r="D9" s="53"/>
      <c r="E9" s="14" t="s">
        <v>20</v>
      </c>
      <c r="F9" s="14" t="s">
        <v>16</v>
      </c>
      <c r="G9" s="161" t="s">
        <v>22</v>
      </c>
      <c r="H9" s="14" t="s">
        <v>16</v>
      </c>
      <c r="I9" s="161" t="s">
        <v>22</v>
      </c>
      <c r="J9" s="14" t="s">
        <v>16</v>
      </c>
      <c r="K9" s="299" t="s">
        <v>22</v>
      </c>
      <c r="M9" s="1177"/>
      <c r="N9" s="1177"/>
      <c r="O9" s="1177"/>
      <c r="P9" s="1177"/>
      <c r="Q9" s="1177"/>
      <c r="R9" s="1177"/>
      <c r="S9" s="1177"/>
    </row>
    <row r="10" spans="1:19" ht="15.4" thickBot="1">
      <c r="A10" s="300"/>
      <c r="B10" s="162"/>
      <c r="C10" s="162"/>
      <c r="D10" s="54"/>
      <c r="E10" s="15" t="str">
        <f>'Budget-Restricted MYP'!E10</f>
        <v>2023-24</v>
      </c>
      <c r="F10" s="15" t="str">
        <f>'Budget-Restricted MYP'!F10</f>
        <v>2024-25</v>
      </c>
      <c r="G10" s="163"/>
      <c r="H10" s="15" t="str">
        <f>'Budget-Restricted MYP'!H10</f>
        <v>2025-26</v>
      </c>
      <c r="I10" s="163"/>
      <c r="J10" s="15" t="str">
        <f>'Budget-Restricted MYP'!J10</f>
        <v>2026-27</v>
      </c>
      <c r="K10" s="301"/>
      <c r="M10" s="1177"/>
      <c r="N10" s="1177"/>
      <c r="O10" s="1177"/>
      <c r="P10" s="1177"/>
      <c r="Q10" s="1177"/>
      <c r="R10" s="1177"/>
      <c r="S10" s="1177"/>
    </row>
    <row r="11" spans="1:19" ht="15.4" thickTop="1">
      <c r="A11" s="302" t="s">
        <v>1</v>
      </c>
      <c r="B11" s="1"/>
      <c r="C11" s="1"/>
      <c r="D11" s="333"/>
      <c r="E11" s="13"/>
      <c r="F11" s="1747"/>
      <c r="G11" s="1747"/>
      <c r="H11" s="1747"/>
      <c r="I11" s="1747"/>
      <c r="J11" s="1747"/>
      <c r="K11" s="1748"/>
      <c r="M11" s="1177"/>
      <c r="N11" s="1177"/>
      <c r="O11" s="1177"/>
      <c r="P11" s="1177"/>
      <c r="Q11" s="1177"/>
      <c r="R11" s="1177"/>
      <c r="S11" s="1177"/>
    </row>
    <row r="12" spans="1:19" ht="15">
      <c r="A12" s="302"/>
      <c r="B12" s="145" t="s">
        <v>303</v>
      </c>
      <c r="C12" s="139"/>
      <c r="D12" s="139"/>
      <c r="E12" s="362"/>
      <c r="F12" s="1743"/>
      <c r="G12" s="1743"/>
      <c r="H12" s="1743"/>
      <c r="I12" s="1743"/>
      <c r="J12" s="1743"/>
      <c r="K12" s="1744"/>
      <c r="M12" s="1177"/>
      <c r="N12" s="1177"/>
      <c r="O12" s="1177"/>
      <c r="P12" s="1177"/>
      <c r="Q12" s="1177"/>
      <c r="R12" s="1177"/>
      <c r="S12" s="1177"/>
    </row>
    <row r="13" spans="1:19" ht="15">
      <c r="A13" s="302"/>
      <c r="B13" s="145"/>
      <c r="C13" s="276" t="s">
        <v>152</v>
      </c>
      <c r="D13" s="342">
        <v>8011</v>
      </c>
      <c r="E13" s="748">
        <f>'Budget-Unrestricted MYP'!E13+'Budget-Restricted MYP'!E13</f>
        <v>4337624</v>
      </c>
      <c r="F13" s="749">
        <f>'Budget-Unrestricted MYP'!F13+'Budget-Restricted MYP'!F13</f>
        <v>4666685</v>
      </c>
      <c r="G13" s="49">
        <f>IF(E13&lt;1," ",IF(F13&lt;1," ",(F13-E13)/E13))</f>
        <v>7.5862038756701819E-2</v>
      </c>
      <c r="H13" s="751">
        <f>'Budget-Unrestricted MYP'!H13+'Budget-Restricted MYP'!H13</f>
        <v>5103996</v>
      </c>
      <c r="I13" s="49">
        <f>IF(F13&lt;1," ",IF(H13&lt;1," ",(H13-F13)/F13))</f>
        <v>9.3709131856981986E-2</v>
      </c>
      <c r="J13" s="751">
        <f>'Budget-Unrestricted MYP'!J13+'Budget-Restricted MYP'!J13</f>
        <v>5437481</v>
      </c>
      <c r="K13" s="363">
        <f>IF(H13&lt;1," ",IF(J13&lt;1," ",(J13-H13)/H13))</f>
        <v>6.5338021424781678E-2</v>
      </c>
      <c r="M13" s="1177"/>
      <c r="N13" s="1177"/>
      <c r="O13" s="1177"/>
      <c r="P13" s="1177"/>
      <c r="Q13" s="1177"/>
      <c r="R13" s="1177"/>
      <c r="S13" s="1177"/>
    </row>
    <row r="14" spans="1:19" ht="15">
      <c r="A14" s="302"/>
      <c r="B14" s="145"/>
      <c r="C14" s="276" t="s">
        <v>153</v>
      </c>
      <c r="D14" s="342">
        <v>8012</v>
      </c>
      <c r="E14" s="748">
        <f>'Budget-Unrestricted MYP'!E14+'Budget-Restricted MYP'!E14</f>
        <v>1910851</v>
      </c>
      <c r="F14" s="749">
        <f>'Budget-Unrestricted MYP'!F14+'Budget-Restricted MYP'!F14</f>
        <v>1916629</v>
      </c>
      <c r="G14" s="49">
        <f>IF(E14&lt;1," ",IF(F14&lt;1," ",(F14-E14)/E14))</f>
        <v>3.0237836440413198E-3</v>
      </c>
      <c r="H14" s="751">
        <f>'Budget-Unrestricted MYP'!H14+'Budget-Restricted MYP'!H14</f>
        <v>1972785</v>
      </c>
      <c r="I14" s="49">
        <f>IF(F14&lt;1," ",IF(H14&lt;1," ",(H14-F14)/F14))</f>
        <v>2.9299358404782563E-2</v>
      </c>
      <c r="J14" s="752">
        <f>'Budget-Unrestricted MYP'!J14+'Budget-Restricted MYP'!J14</f>
        <v>2033547</v>
      </c>
      <c r="K14" s="363">
        <f>IF(H14&lt;1," ",IF(J14&lt;1," ",(J14-H14)/H14))</f>
        <v>3.0800112531269245E-2</v>
      </c>
      <c r="M14" s="1177"/>
      <c r="N14" s="1177"/>
      <c r="O14" s="1177"/>
      <c r="P14" s="1177"/>
      <c r="Q14" s="1177"/>
      <c r="R14" s="1177"/>
      <c r="S14" s="1177"/>
    </row>
    <row r="15" spans="1:19" ht="15">
      <c r="A15" s="67"/>
      <c r="B15" s="145"/>
      <c r="C15" s="276" t="s">
        <v>301</v>
      </c>
      <c r="D15" s="342">
        <v>8019</v>
      </c>
      <c r="E15" s="748">
        <f>'Budget-Unrestricted MYP'!E15+'Budget-Restricted MYP'!E15</f>
        <v>4192</v>
      </c>
      <c r="F15" s="749">
        <f>'Budget-Unrestricted MYP'!F15+'Budget-Restricted MYP'!F15</f>
        <v>0</v>
      </c>
      <c r="G15" s="49" t="str">
        <f>IF(E15&lt;1," ",IF(F15&lt;1," ",(F15-E15)/E15))</f>
        <v xml:space="preserve"> </v>
      </c>
      <c r="H15" s="751">
        <f>'Budget-Unrestricted MYP'!H15+'Budget-Restricted MYP'!H15</f>
        <v>0</v>
      </c>
      <c r="I15" s="49" t="str">
        <f>IF(F15&lt;1," ",IF(H15&lt;1," ",(H15-F15)/F15))</f>
        <v xml:space="preserve"> </v>
      </c>
      <c r="J15" s="752">
        <f>'Budget-Unrestricted MYP'!J15+'Budget-Restricted MYP'!J15</f>
        <v>0</v>
      </c>
      <c r="K15" s="363" t="str">
        <f>IF(H15&lt;1," ",IF(J15&lt;1," ",(J15-H15)/H15))</f>
        <v xml:space="preserve"> </v>
      </c>
      <c r="M15" s="1177"/>
      <c r="N15" s="1177"/>
      <c r="O15" s="1177"/>
      <c r="P15" s="1177"/>
      <c r="Q15" s="1177"/>
      <c r="R15" s="1177"/>
      <c r="S15" s="1177"/>
    </row>
    <row r="16" spans="1:19" ht="15">
      <c r="A16" s="67"/>
      <c r="B16" s="145"/>
      <c r="C16" s="276" t="s">
        <v>302</v>
      </c>
      <c r="D16" s="342">
        <v>8096</v>
      </c>
      <c r="E16" s="748">
        <f>'Budget-Unrestricted MYP'!E16+'Budget-Restricted MYP'!E16</f>
        <v>219605</v>
      </c>
      <c r="F16" s="749">
        <f>'Budget-Unrestricted MYP'!F16+'Budget-Restricted MYP'!F16</f>
        <v>206686</v>
      </c>
      <c r="G16" s="49">
        <f>IF(E16&lt;1," ",IF(F16&lt;1," ",(F16-E16)/E16))</f>
        <v>-5.8828350902757225E-2</v>
      </c>
      <c r="H16" s="752">
        <f>'Budget-Unrestricted MYP'!H16+'Budget-Restricted MYP'!H16</f>
        <v>206686</v>
      </c>
      <c r="I16" s="31">
        <f>IF(F16&lt;1," ",IF(H16&lt;1," ",(H16-F16)/F16))</f>
        <v>0</v>
      </c>
      <c r="J16" s="752">
        <f>'Budget-Unrestricted MYP'!J16+'Budget-Restricted MYP'!J16</f>
        <v>206686</v>
      </c>
      <c r="K16" s="307">
        <f>IF(H16&lt;1," ",IF(J16&lt;1," ",(J16-H16)/H16))</f>
        <v>0</v>
      </c>
      <c r="M16" s="1177"/>
      <c r="N16" s="1177"/>
      <c r="O16" s="1177"/>
      <c r="P16" s="1177"/>
      <c r="Q16" s="1177"/>
      <c r="R16" s="1177"/>
      <c r="S16" s="1177"/>
    </row>
    <row r="17" spans="1:19" ht="15">
      <c r="A17" s="67"/>
      <c r="B17" s="145" t="s">
        <v>304</v>
      </c>
      <c r="C17" s="276"/>
      <c r="D17" s="342" t="s">
        <v>99</v>
      </c>
      <c r="E17" s="748">
        <f>'Budget-Unrestricted MYP'!E17+'Budget-Restricted MYP'!E17</f>
        <v>1978396.4283</v>
      </c>
      <c r="F17" s="750">
        <f>'Budget-Unrestricted MYP'!F17+'Budget-Restricted MYP'!F17</f>
        <v>534301.255</v>
      </c>
      <c r="G17" s="49">
        <f>IF(E17&lt;1," ",IF(F17&lt;1," ",(F17-E17)/E17))</f>
        <v>-0.72993215750034712</v>
      </c>
      <c r="H17" s="748">
        <f>'Budget-Unrestricted MYP'!H17+'Budget-Restricted MYP'!H17</f>
        <v>408180</v>
      </c>
      <c r="I17" s="31">
        <f>IF(F17&lt;1," ",IF(H17&lt;1," ",(H17-F17)/F17))</f>
        <v>-0.23604895893422523</v>
      </c>
      <c r="J17" s="748">
        <f>'Budget-Unrestricted MYP'!J17+'Budget-Restricted MYP'!J17</f>
        <v>408180</v>
      </c>
      <c r="K17" s="307">
        <f>IF(H17&lt;1," ",IF(J17&lt;1," ",(J17-H17)/H17))</f>
        <v>0</v>
      </c>
      <c r="M17" s="1177"/>
      <c r="N17" s="1177"/>
      <c r="O17" s="1177"/>
      <c r="P17" s="1177"/>
      <c r="Q17" s="1177"/>
      <c r="R17" s="1177"/>
      <c r="S17" s="1177"/>
    </row>
    <row r="18" spans="1:19" ht="15">
      <c r="A18" s="67"/>
      <c r="B18" s="145" t="s">
        <v>305</v>
      </c>
      <c r="C18" s="139"/>
      <c r="D18" s="139"/>
      <c r="E18" s="79"/>
      <c r="F18" s="79"/>
      <c r="G18" s="624"/>
      <c r="H18" s="79"/>
      <c r="I18" s="624"/>
      <c r="J18" s="79"/>
      <c r="K18" s="628"/>
      <c r="M18" s="1177"/>
      <c r="N18" s="1177"/>
      <c r="O18" s="1177"/>
      <c r="P18" s="1177"/>
      <c r="Q18" s="1177"/>
      <c r="R18" s="1177"/>
      <c r="S18" s="1177"/>
    </row>
    <row r="19" spans="1:19" ht="15">
      <c r="A19" s="67"/>
      <c r="B19" s="145"/>
      <c r="C19" s="276" t="s">
        <v>306</v>
      </c>
      <c r="D19" s="342">
        <v>8560</v>
      </c>
      <c r="E19" s="748">
        <f>'Budget-Unrestricted MYP'!E19+'Budget-Restricted MYP'!E19</f>
        <v>93235</v>
      </c>
      <c r="F19" s="749">
        <f>'Budget-Unrestricted MYP'!F19+'Budget-Restricted MYP'!F19</f>
        <v>92527.144709999993</v>
      </c>
      <c r="G19" s="49">
        <f>IF(E19&lt;1," ",IF(F19&lt;1," ",(F19-E19)/E19))</f>
        <v>-7.5921627071379501E-3</v>
      </c>
      <c r="H19" s="754">
        <f>'Budget-Unrestricted MYP'!H19+'Budget-Restricted MYP'!H19</f>
        <v>92527.144709999993</v>
      </c>
      <c r="I19" s="31">
        <f>IF(F19&lt;1," ",IF(H19&lt;1," ",(H19-F19)/F19))</f>
        <v>0</v>
      </c>
      <c r="J19" s="752">
        <f>'Budget-Unrestricted MYP'!J19+'Budget-Restricted MYP'!J19</f>
        <v>92527.144709999993</v>
      </c>
      <c r="K19" s="307">
        <f>IF(H19&lt;1," ",IF(J19&lt;1," ",(J19-H19)/H19))</f>
        <v>0</v>
      </c>
      <c r="M19" s="1177"/>
      <c r="N19" s="1177"/>
      <c r="O19" s="1177"/>
      <c r="P19" s="1177"/>
      <c r="Q19" s="1177"/>
      <c r="R19" s="1177"/>
      <c r="S19" s="1177"/>
    </row>
    <row r="20" spans="1:19" ht="15">
      <c r="A20" s="67"/>
      <c r="B20" s="145"/>
      <c r="C20" s="276" t="s">
        <v>307</v>
      </c>
      <c r="D20" s="342">
        <v>8560</v>
      </c>
      <c r="E20" s="753">
        <f>'Budget-Unrestricted MYP'!E20+'Budget-Restricted MYP'!E20</f>
        <v>37926</v>
      </c>
      <c r="F20" s="750">
        <f>'Budget-Unrestricted MYP'!F20+'Budget-Restricted MYP'!F20</f>
        <v>37638.160559999997</v>
      </c>
      <c r="G20" s="31">
        <f>IF(E20&lt;1," ",IF(F20&lt;1," ",(F20-E20)/E20))</f>
        <v>-7.5895016611296573E-3</v>
      </c>
      <c r="H20" s="754">
        <f>'Budget-Unrestricted MYP'!H20+'Budget-Restricted MYP'!H20</f>
        <v>37638.160559999997</v>
      </c>
      <c r="I20" s="31">
        <f>IF(F20&lt;1," ",IF(H20&lt;1," ",(H20-F20)/F20))</f>
        <v>0</v>
      </c>
      <c r="J20" s="752">
        <f>'Budget-Unrestricted MYP'!J20+'Budget-Restricted MYP'!J20</f>
        <v>37638.160559999997</v>
      </c>
      <c r="K20" s="307">
        <f>IF(H20&lt;1," ",IF(J20&lt;1," ",(J20-H20)/H20))</f>
        <v>0</v>
      </c>
      <c r="M20" s="1177"/>
      <c r="N20" s="1177"/>
      <c r="O20" s="1177"/>
      <c r="P20" s="1177"/>
      <c r="Q20" s="1177"/>
      <c r="R20" s="1177"/>
      <c r="S20" s="1177"/>
    </row>
    <row r="21" spans="1:19" ht="15">
      <c r="A21" s="67"/>
      <c r="B21" s="145"/>
      <c r="C21" s="276" t="s">
        <v>308</v>
      </c>
      <c r="D21" s="342" t="s">
        <v>100</v>
      </c>
      <c r="E21" s="748">
        <f>'Budget-Unrestricted MYP'!E21+'Budget-Restricted MYP'!E21</f>
        <v>1539031</v>
      </c>
      <c r="F21" s="749">
        <f>'Budget-Unrestricted MYP'!F21+'Budget-Restricted MYP'!F21</f>
        <v>1514866</v>
      </c>
      <c r="G21" s="49">
        <f>IF(E21&lt;1," ",IF(F21&lt;1," ",(F21-E21)/E21))</f>
        <v>-1.5701438112682591E-2</v>
      </c>
      <c r="H21" s="751">
        <f>'Budget-Unrestricted MYP'!H21+'Budget-Restricted MYP'!H21</f>
        <v>1497728.9100000001</v>
      </c>
      <c r="I21" s="31">
        <f>IF(F21&lt;1," ",IF(H21&lt;1," ",(H21-F21)/F21))</f>
        <v>-1.1312611148444715E-2</v>
      </c>
      <c r="J21" s="752">
        <f>'Budget-Unrestricted MYP'!J21+'Budget-Restricted MYP'!J21</f>
        <v>1497728.9100000001</v>
      </c>
      <c r="K21" s="307">
        <f>IF(H21&lt;1," ",IF(J21&lt;1," ",(J21-H21)/H21))</f>
        <v>0</v>
      </c>
      <c r="M21" s="1177"/>
      <c r="N21" s="1177"/>
      <c r="O21" s="1177"/>
      <c r="P21" s="1177"/>
      <c r="Q21" s="1177"/>
      <c r="R21" s="1177"/>
      <c r="S21" s="1177"/>
    </row>
    <row r="22" spans="1:19" ht="15">
      <c r="A22" s="67"/>
      <c r="B22" s="145" t="s">
        <v>309</v>
      </c>
      <c r="C22" s="139"/>
      <c r="D22" s="139"/>
      <c r="E22" s="79"/>
      <c r="F22" s="79"/>
      <c r="G22" s="624"/>
      <c r="H22" s="79"/>
      <c r="I22" s="624"/>
      <c r="J22" s="79"/>
      <c r="K22" s="628"/>
      <c r="M22" s="1177"/>
      <c r="N22" s="1177"/>
      <c r="O22" s="1177"/>
      <c r="P22" s="1177"/>
      <c r="Q22" s="1177"/>
      <c r="R22" s="1177"/>
      <c r="S22" s="1177"/>
    </row>
    <row r="23" spans="1:19" ht="15">
      <c r="A23" s="67"/>
      <c r="B23" s="145"/>
      <c r="C23" s="276" t="s">
        <v>236</v>
      </c>
      <c r="D23" s="342">
        <v>8660</v>
      </c>
      <c r="E23" s="748">
        <f>'Budget-Unrestricted MYP'!E23+'Budget-Restricted MYP'!E23</f>
        <v>0</v>
      </c>
      <c r="F23" s="750">
        <f>'Budget-Unrestricted MYP'!F23+'Budget-Restricted MYP'!F23</f>
        <v>0</v>
      </c>
      <c r="G23" s="49" t="str">
        <f>IF(E23&lt;1," ",IF(F23&lt;1," ",(F23-E23)/E23))</f>
        <v xml:space="preserve"> </v>
      </c>
      <c r="H23" s="751">
        <f>'Budget-Unrestricted MYP'!H23+'Budget-Restricted MYP'!H23</f>
        <v>0</v>
      </c>
      <c r="I23" s="31" t="str">
        <f>IF(F23&lt;1," ",IF(H23&lt;1," ",(H23-F23)/F23))</f>
        <v xml:space="preserve"> </v>
      </c>
      <c r="J23" s="752">
        <f>'Budget-Unrestricted MYP'!J23+'Budget-Restricted MYP'!J23</f>
        <v>0</v>
      </c>
      <c r="K23" s="307" t="str">
        <f>IF(H23&lt;1," ",IF(J23&lt;1," ",(J23-H23)/H23))</f>
        <v xml:space="preserve"> </v>
      </c>
      <c r="M23" s="1177"/>
      <c r="N23" s="1177"/>
      <c r="O23" s="1177"/>
      <c r="P23" s="1177"/>
      <c r="Q23" s="1177"/>
      <c r="R23" s="1177"/>
      <c r="S23" s="1177"/>
    </row>
    <row r="24" spans="1:19" ht="15">
      <c r="A24" s="67"/>
      <c r="B24" s="145"/>
      <c r="C24" s="276" t="s">
        <v>310</v>
      </c>
      <c r="D24" s="342">
        <v>8792</v>
      </c>
      <c r="E24" s="748">
        <f>'Budget-Unrestricted MYP'!E24+'Budget-Restricted MYP'!E24</f>
        <v>0</v>
      </c>
      <c r="F24" s="748">
        <f>'Budget-Unrestricted MYP'!F24+'Budget-Restricted MYP'!F24</f>
        <v>0</v>
      </c>
      <c r="G24" s="31" t="str">
        <f>IF(E24&lt;1," ",IF(F24&lt;1," ",(F24-E24)/E24))</f>
        <v xml:space="preserve"> </v>
      </c>
      <c r="H24" s="751">
        <f>'Budget-Unrestricted MYP'!H24+'Budget-Restricted MYP'!H24</f>
        <v>0</v>
      </c>
      <c r="I24" s="31" t="str">
        <f>IF(F24&lt;1," ",IF(H24&lt;1," ",(H24-F24)/F24))</f>
        <v xml:space="preserve"> </v>
      </c>
      <c r="J24" s="752">
        <f>'Budget-Unrestricted MYP'!J24+'Budget-Restricted MYP'!J24</f>
        <v>0</v>
      </c>
      <c r="K24" s="307" t="str">
        <f>IF(H24&lt;1," ",IF(J24&lt;1," ",(J24-H24)/H24))</f>
        <v xml:space="preserve"> </v>
      </c>
      <c r="M24" s="1177"/>
      <c r="N24" s="1177"/>
      <c r="O24" s="1177"/>
      <c r="P24" s="1177"/>
      <c r="Q24" s="1177"/>
      <c r="R24" s="1177"/>
      <c r="S24" s="1177"/>
    </row>
    <row r="25" spans="1:19" ht="15.4" thickBot="1">
      <c r="A25" s="67"/>
      <c r="B25" s="883"/>
      <c r="C25" s="916" t="s">
        <v>311</v>
      </c>
      <c r="D25" s="917" t="s">
        <v>101</v>
      </c>
      <c r="E25" s="799">
        <f>'Budget-Unrestricted MYP'!E25+'Budget-Restricted MYP'!E25</f>
        <v>180000</v>
      </c>
      <c r="F25" s="755">
        <f>'Budget-Unrestricted MYP'!F25+'Budget-Restricted MYP'!F25</f>
        <v>160000</v>
      </c>
      <c r="G25" s="584">
        <f>IF(E25&lt;1," ",IF(F25&lt;1," ",(F25-E25)/E25))</f>
        <v>-0.1111111111111111</v>
      </c>
      <c r="H25" s="756">
        <f>'Budget-Unrestricted MYP'!H25+'Budget-Restricted MYP'!H25</f>
        <v>160000</v>
      </c>
      <c r="I25" s="94">
        <f>IF(F25&lt;1," ",IF(H25&lt;1," ",(H25-F25)/F25))</f>
        <v>0</v>
      </c>
      <c r="J25" s="756">
        <f>'Budget-Unrestricted MYP'!J25+'Budget-Restricted MYP'!J25</f>
        <v>160000</v>
      </c>
      <c r="K25" s="308">
        <f>IF(H25&lt;1," ",IF(J25&lt;1," ",(J25-H25)/H25))</f>
        <v>0</v>
      </c>
      <c r="M25" s="1177"/>
      <c r="N25" s="1177"/>
      <c r="O25" s="1177"/>
      <c r="P25" s="1177"/>
      <c r="Q25" s="1177"/>
      <c r="R25" s="1177"/>
      <c r="S25" s="1177"/>
    </row>
    <row r="26" spans="1:19" ht="15.75" thickTop="1" thickBot="1">
      <c r="A26" s="67"/>
      <c r="B26" s="1761" t="s">
        <v>312</v>
      </c>
      <c r="C26" s="1762"/>
      <c r="D26" s="1763"/>
      <c r="E26" s="884">
        <f>ROUND(SUM(E13:E25),0)</f>
        <v>10300860</v>
      </c>
      <c r="F26" s="884">
        <f>ROUND(SUM(F13:F25),0)</f>
        <v>9129333</v>
      </c>
      <c r="G26" s="885">
        <f>IF(E26&lt;1," ",IF(F26&lt;1," ",(F26-E26)/E26))</f>
        <v>-0.1137309894513662</v>
      </c>
      <c r="H26" s="884">
        <f>ROUND(SUM(H13:H25),0)</f>
        <v>9479541</v>
      </c>
      <c r="I26" s="885">
        <f>IF(F26&lt;1," ",IF(H26&lt;1," ",(H26-F26)/F26))</f>
        <v>3.836074333141315E-2</v>
      </c>
      <c r="J26" s="884">
        <f>ROUND(SUM(J13:J25),0)</f>
        <v>9873788</v>
      </c>
      <c r="K26" s="886">
        <f>IF(H26&lt;1," ",IF(J26&lt;1," ",(J26-H26)/H26))</f>
        <v>4.1589249943641785E-2</v>
      </c>
      <c r="M26" s="1177"/>
      <c r="N26" s="1177"/>
      <c r="O26" s="1177"/>
      <c r="P26" s="1177"/>
      <c r="Q26" s="1177"/>
      <c r="R26" s="1177"/>
      <c r="S26" s="1177"/>
    </row>
    <row r="27" spans="1:19" ht="15.4" thickTop="1">
      <c r="A27" s="67"/>
      <c r="B27" s="1"/>
      <c r="C27" s="1"/>
      <c r="D27" s="1"/>
      <c r="E27" s="265"/>
      <c r="F27" s="1734"/>
      <c r="G27" s="1734"/>
      <c r="H27" s="1734"/>
      <c r="I27" s="1734"/>
      <c r="J27" s="1734"/>
      <c r="K27" s="1735"/>
      <c r="M27" s="1177"/>
      <c r="N27" s="1177"/>
      <c r="O27" s="1177"/>
      <c r="P27" s="1177"/>
      <c r="Q27" s="1177"/>
      <c r="R27" s="1177"/>
      <c r="S27" s="1177"/>
    </row>
    <row r="28" spans="1:19" ht="15">
      <c r="A28" s="1736" t="s">
        <v>3</v>
      </c>
      <c r="B28" s="1737"/>
      <c r="C28" s="1737"/>
      <c r="D28" s="153"/>
      <c r="E28" s="81"/>
      <c r="F28" s="1754"/>
      <c r="G28" s="1754"/>
      <c r="H28" s="1754"/>
      <c r="I28" s="1754"/>
      <c r="J28" s="1754"/>
      <c r="K28" s="1755"/>
      <c r="M28" s="1177"/>
      <c r="N28" s="1177"/>
      <c r="O28" s="1177"/>
      <c r="P28" s="1177"/>
      <c r="Q28" s="1177"/>
      <c r="R28" s="1177"/>
      <c r="S28" s="1177"/>
    </row>
    <row r="29" spans="1:19" ht="15">
      <c r="A29" s="67"/>
      <c r="B29" s="145" t="s">
        <v>4</v>
      </c>
      <c r="C29" s="276"/>
      <c r="D29" s="275" t="s">
        <v>102</v>
      </c>
      <c r="E29" s="748">
        <f>'Budget-Unrestricted MYP'!E29+'Budget-Restricted MYP'!E29</f>
        <v>2807987</v>
      </c>
      <c r="F29" s="757">
        <f>'Budget-Unrestricted MYP'!F29+'Budget-Restricted MYP'!F29</f>
        <v>2553199</v>
      </c>
      <c r="G29" s="49">
        <f t="shared" ref="G29:G38" si="0">IF(E29&lt;1," ",IF(F29&lt;1," ",(F29-E29)/E29))</f>
        <v>-9.0736887314649253E-2</v>
      </c>
      <c r="H29" s="751">
        <f>'Budget-Unrestricted MYP'!H29+'Budget-Restricted MYP'!H29</f>
        <v>2553199</v>
      </c>
      <c r="I29" s="49">
        <f t="shared" ref="I29:I38" si="1">IF(F29&lt;1," ",IF(H29&lt;1," ",(H29-F29)/F29))</f>
        <v>0</v>
      </c>
      <c r="J29" s="751">
        <f>'Budget-Unrestricted MYP'!J29+'Budget-Restricted MYP'!J29</f>
        <v>2627577</v>
      </c>
      <c r="K29" s="363">
        <f t="shared" ref="K29:K38" si="2">IF(H29&lt;1," ",IF(J29&lt;1," ",(J29-H29)/H29))</f>
        <v>2.9131297638766113E-2</v>
      </c>
      <c r="M29" s="1177"/>
      <c r="N29" s="1177"/>
      <c r="O29" s="1177"/>
      <c r="P29" s="1177"/>
      <c r="Q29" s="1177"/>
      <c r="R29" s="1177"/>
      <c r="S29" s="1177"/>
    </row>
    <row r="30" spans="1:19" ht="15">
      <c r="A30" s="67"/>
      <c r="B30" s="145" t="s">
        <v>23</v>
      </c>
      <c r="C30" s="276"/>
      <c r="D30" s="275" t="s">
        <v>103</v>
      </c>
      <c r="E30" s="748">
        <f>'Budget-Unrestricted MYP'!E30+'Budget-Restricted MYP'!E30</f>
        <v>1426766</v>
      </c>
      <c r="F30" s="757">
        <f>'Budget-Unrestricted MYP'!F30+'Budget-Restricted MYP'!F30</f>
        <v>1193480</v>
      </c>
      <c r="G30" s="49">
        <f t="shared" si="0"/>
        <v>-0.16350683994432164</v>
      </c>
      <c r="H30" s="751">
        <f>'Budget-Unrestricted MYP'!H30+'Budget-Restricted MYP'!H30</f>
        <v>1191763</v>
      </c>
      <c r="I30" s="49">
        <f t="shared" si="1"/>
        <v>-1.4386499983242284E-3</v>
      </c>
      <c r="J30" s="751">
        <f>'Budget-Unrestricted MYP'!J30+'Budget-Restricted MYP'!J30</f>
        <v>1228982</v>
      </c>
      <c r="K30" s="363">
        <f t="shared" si="2"/>
        <v>3.1230202649352262E-2</v>
      </c>
      <c r="M30" s="1177"/>
      <c r="N30" s="1177"/>
      <c r="O30" s="1177"/>
      <c r="P30" s="1177"/>
      <c r="Q30" s="1177"/>
      <c r="R30" s="1177"/>
      <c r="S30" s="1177"/>
    </row>
    <row r="31" spans="1:19" ht="15">
      <c r="A31" s="67"/>
      <c r="B31" s="145" t="s">
        <v>24</v>
      </c>
      <c r="C31" s="276"/>
      <c r="D31" s="275" t="s">
        <v>104</v>
      </c>
      <c r="E31" s="748">
        <f>'Budget-Unrestricted MYP'!E31+'Budget-Restricted MYP'!E31</f>
        <v>1561047</v>
      </c>
      <c r="F31" s="757">
        <f>'Budget-Unrestricted MYP'!F31+'Budget-Restricted MYP'!F31</f>
        <v>1300110</v>
      </c>
      <c r="G31" s="49">
        <f t="shared" si="0"/>
        <v>-0.16715512089001805</v>
      </c>
      <c r="H31" s="751">
        <f>'Budget-Unrestricted MYP'!H31+'Budget-Restricted MYP'!H31</f>
        <v>1340394</v>
      </c>
      <c r="I31" s="49">
        <f t="shared" si="1"/>
        <v>3.0985070494035122E-2</v>
      </c>
      <c r="J31" s="751">
        <f>'Budget-Unrestricted MYP'!J31+'Budget-Restricted MYP'!J31</f>
        <v>1407877</v>
      </c>
      <c r="K31" s="363">
        <f t="shared" si="2"/>
        <v>5.0345644638815155E-2</v>
      </c>
      <c r="M31" s="1177"/>
      <c r="N31" s="1177"/>
      <c r="O31" s="1177"/>
      <c r="P31" s="1177"/>
      <c r="Q31" s="1177"/>
      <c r="R31" s="1177"/>
      <c r="S31" s="1177"/>
    </row>
    <row r="32" spans="1:19" ht="15">
      <c r="A32" s="67"/>
      <c r="B32" s="145" t="s">
        <v>25</v>
      </c>
      <c r="C32" s="276"/>
      <c r="D32" s="275" t="s">
        <v>105</v>
      </c>
      <c r="E32" s="748">
        <f>'Budget-Unrestricted MYP'!E32+'Budget-Restricted MYP'!E32</f>
        <v>622000</v>
      </c>
      <c r="F32" s="757">
        <f>'Budget-Unrestricted MYP'!F32+'Budget-Restricted MYP'!F32</f>
        <v>628200</v>
      </c>
      <c r="G32" s="49">
        <f t="shared" si="0"/>
        <v>9.9678456591639868E-3</v>
      </c>
      <c r="H32" s="751">
        <f>'Budget-Unrestricted MYP'!H32+'Budget-Restricted MYP'!H32</f>
        <v>647048</v>
      </c>
      <c r="I32" s="49">
        <f t="shared" si="1"/>
        <v>3.0003183699458771E-2</v>
      </c>
      <c r="J32" s="751">
        <f>'Budget-Unrestricted MYP'!J32+'Budget-Restricted MYP'!J32</f>
        <v>666460</v>
      </c>
      <c r="K32" s="363">
        <f t="shared" si="2"/>
        <v>3.0000865469022392E-2</v>
      </c>
      <c r="M32" s="1177"/>
      <c r="N32" s="1177"/>
      <c r="O32" s="1177"/>
      <c r="P32" s="1177"/>
      <c r="Q32" s="1177"/>
      <c r="R32" s="1177"/>
      <c r="S32" s="1177"/>
    </row>
    <row r="33" spans="1:19" ht="15">
      <c r="A33" s="67"/>
      <c r="B33" s="145" t="s">
        <v>26</v>
      </c>
      <c r="C33" s="276"/>
      <c r="D33" s="275" t="s">
        <v>106</v>
      </c>
      <c r="E33" s="748">
        <f>'Budget-Unrestricted MYP'!E33+'Budget-Restricted MYP'!E33</f>
        <v>3862244</v>
      </c>
      <c r="F33" s="757">
        <f>'Budget-Unrestricted MYP'!F33+'Budget-Restricted MYP'!F33</f>
        <v>3760844</v>
      </c>
      <c r="G33" s="49">
        <f t="shared" si="0"/>
        <v>-2.6254167266490672E-2</v>
      </c>
      <c r="H33" s="751">
        <f>'Budget-Unrestricted MYP'!H33+'Budget-Restricted MYP'!H33</f>
        <v>3744736</v>
      </c>
      <c r="I33" s="49">
        <f t="shared" si="1"/>
        <v>-4.2830811381700494E-3</v>
      </c>
      <c r="J33" s="751">
        <f>'Budget-Unrestricted MYP'!J33+'Budget-Restricted MYP'!J33</f>
        <v>3801909</v>
      </c>
      <c r="K33" s="363">
        <f t="shared" si="2"/>
        <v>1.5267564923134769E-2</v>
      </c>
      <c r="M33" s="1177"/>
      <c r="N33" s="1177"/>
      <c r="O33" s="1177"/>
      <c r="P33" s="1177"/>
      <c r="Q33" s="1177"/>
      <c r="R33" s="1177"/>
      <c r="S33" s="1177"/>
    </row>
    <row r="34" spans="1:19" ht="15">
      <c r="A34" s="67"/>
      <c r="B34" s="274" t="s">
        <v>508</v>
      </c>
      <c r="C34" s="276"/>
      <c r="D34" s="275" t="s">
        <v>107</v>
      </c>
      <c r="E34" s="748">
        <f>'Budget-Unrestricted MYP'!E34+'Budget-Restricted MYP'!E34</f>
        <v>0</v>
      </c>
      <c r="F34" s="757">
        <f>'Budget-Unrestricted MYP'!F34+'Budget-Restricted MYP'!F34</f>
        <v>0</v>
      </c>
      <c r="G34" s="49" t="str">
        <f t="shared" si="0"/>
        <v xml:space="preserve"> </v>
      </c>
      <c r="H34" s="751">
        <f>'Budget-Unrestricted MYP'!H34+'Budget-Restricted MYP'!H34</f>
        <v>0</v>
      </c>
      <c r="I34" s="49" t="str">
        <f t="shared" si="1"/>
        <v xml:space="preserve"> </v>
      </c>
      <c r="J34" s="751">
        <f>'Budget-Unrestricted MYP'!J34+'Budget-Restricted MYP'!J34</f>
        <v>0</v>
      </c>
      <c r="K34" s="363" t="str">
        <f t="shared" si="2"/>
        <v xml:space="preserve"> </v>
      </c>
      <c r="M34" s="1177"/>
      <c r="N34" s="1177"/>
      <c r="O34" s="1177"/>
      <c r="P34" s="1177"/>
      <c r="Q34" s="1177"/>
      <c r="R34" s="1177"/>
      <c r="S34" s="1177"/>
    </row>
    <row r="35" spans="1:19" ht="15">
      <c r="A35" s="67"/>
      <c r="B35" s="274" t="s">
        <v>507</v>
      </c>
      <c r="C35" s="274"/>
      <c r="D35" s="275">
        <v>6900</v>
      </c>
      <c r="E35" s="748">
        <f>'Budget-Unrestricted MYP'!E35+'Budget-Restricted MYP'!E35</f>
        <v>0</v>
      </c>
      <c r="F35" s="757">
        <f>'Budget-Unrestricted MYP'!F35+'Budget-Restricted MYP'!F35</f>
        <v>0</v>
      </c>
      <c r="G35" s="49" t="str">
        <f t="shared" ref="G35" si="3">IF(E35&lt;1," ",IF(F35&lt;1," ",(F35-E35)/E35))</f>
        <v xml:space="preserve"> </v>
      </c>
      <c r="H35" s="751">
        <f>'Budget-Unrestricted MYP'!H35+'Budget-Restricted MYP'!H35</f>
        <v>0</v>
      </c>
      <c r="I35" s="49" t="str">
        <f t="shared" ref="I35" si="4">IF(F35&lt;1," ",IF(H35&lt;1," ",(H35-F35)/F35))</f>
        <v xml:space="preserve"> </v>
      </c>
      <c r="J35" s="751">
        <f>'Budget-Unrestricted MYP'!J35+'Budget-Restricted MYP'!J35</f>
        <v>0</v>
      </c>
      <c r="K35" s="363" t="str">
        <f t="shared" ref="K35" si="5">IF(H35&lt;1," ",IF(J35&lt;1," ",(J35-H35)/H35))</f>
        <v xml:space="preserve"> </v>
      </c>
      <c r="M35" s="1177"/>
      <c r="N35" s="1177"/>
      <c r="O35" s="1177"/>
      <c r="P35" s="1177"/>
      <c r="Q35" s="1177"/>
      <c r="R35" s="1177"/>
      <c r="S35" s="1177"/>
    </row>
    <row r="36" spans="1:19" ht="15">
      <c r="A36" s="67"/>
      <c r="B36" s="145" t="s">
        <v>27</v>
      </c>
      <c r="C36" s="276"/>
      <c r="D36" s="275" t="s">
        <v>108</v>
      </c>
      <c r="E36" s="748">
        <f>'Budget-Unrestricted MYP'!E36+'Budget-Restricted MYP'!E36</f>
        <v>0</v>
      </c>
      <c r="F36" s="757">
        <f>'Budget-Unrestricted MYP'!F36+'Budget-Restricted MYP'!F36</f>
        <v>0</v>
      </c>
      <c r="G36" s="49" t="str">
        <f t="shared" si="0"/>
        <v xml:space="preserve"> </v>
      </c>
      <c r="H36" s="751">
        <f>'Budget-Unrestricted MYP'!H36+'Budget-Restricted MYP'!H36</f>
        <v>0</v>
      </c>
      <c r="I36" s="49" t="str">
        <f t="shared" si="1"/>
        <v xml:space="preserve"> </v>
      </c>
      <c r="J36" s="751">
        <f>'Budget-Unrestricted MYP'!J36+'Budget-Restricted MYP'!J36</f>
        <v>0</v>
      </c>
      <c r="K36" s="363" t="str">
        <f t="shared" si="2"/>
        <v xml:space="preserve"> </v>
      </c>
      <c r="M36" s="1177"/>
      <c r="N36" s="1177"/>
      <c r="O36" s="1177"/>
      <c r="P36" s="1177"/>
      <c r="Q36" s="1177"/>
      <c r="R36" s="1177"/>
      <c r="S36" s="1177"/>
    </row>
    <row r="37" spans="1:19" ht="15.4" thickBot="1">
      <c r="A37" s="67"/>
      <c r="B37" s="883" t="s">
        <v>146</v>
      </c>
      <c r="C37" s="916"/>
      <c r="D37" s="617" t="s">
        <v>111</v>
      </c>
      <c r="E37" s="879">
        <f>'Budget-Unrestricted MYP'!E37+'Budget-Restricted MYP'!E37</f>
        <v>0</v>
      </c>
      <c r="F37" s="926">
        <f>'Budget-Unrestricted MYP'!F37+'Budget-Restricted MYP'!F37</f>
        <v>0</v>
      </c>
      <c r="G37" s="94" t="str">
        <f t="shared" si="0"/>
        <v xml:space="preserve"> </v>
      </c>
      <c r="H37" s="798">
        <f>'Budget-Unrestricted MYP'!H37+'Budget-Restricted MYP'!H37</f>
        <v>0</v>
      </c>
      <c r="I37" s="94" t="str">
        <f t="shared" si="1"/>
        <v xml:space="preserve"> </v>
      </c>
      <c r="J37" s="799">
        <f>'Budget-Unrestricted MYP'!J37+'Budget-Restricted MYP'!J37</f>
        <v>0</v>
      </c>
      <c r="K37" s="308" t="str">
        <f t="shared" si="2"/>
        <v xml:space="preserve"> </v>
      </c>
      <c r="M37" s="1177"/>
      <c r="N37" s="1177"/>
      <c r="O37" s="1177"/>
      <c r="P37" s="1177"/>
      <c r="Q37" s="1177"/>
      <c r="R37" s="1177"/>
      <c r="S37" s="1177"/>
    </row>
    <row r="38" spans="1:19" ht="15.75" thickTop="1" thickBot="1">
      <c r="A38" s="67"/>
      <c r="B38" s="1783" t="s">
        <v>28</v>
      </c>
      <c r="C38" s="1784"/>
      <c r="D38" s="1784"/>
      <c r="E38" s="884">
        <f>ROUND(SUM(E29:E37),0)</f>
        <v>10280044</v>
      </c>
      <c r="F38" s="884">
        <f>ROUND(SUM(F29:F37),0)</f>
        <v>9435833</v>
      </c>
      <c r="G38" s="885">
        <f t="shared" si="0"/>
        <v>-8.2121341114882382E-2</v>
      </c>
      <c r="H38" s="884">
        <f>ROUND(SUM(H29:H37),0)</f>
        <v>9477140</v>
      </c>
      <c r="I38" s="885">
        <f t="shared" si="1"/>
        <v>4.3776739160178019E-3</v>
      </c>
      <c r="J38" s="884">
        <f>ROUND(SUM(J29:J37),0)</f>
        <v>9732805</v>
      </c>
      <c r="K38" s="886">
        <f t="shared" si="2"/>
        <v>2.6977020493524417E-2</v>
      </c>
      <c r="M38" s="1177"/>
      <c r="N38" s="1177"/>
      <c r="O38" s="1177"/>
      <c r="P38" s="1177"/>
      <c r="Q38" s="1177"/>
      <c r="R38" s="1177"/>
      <c r="S38" s="1177"/>
    </row>
    <row r="39" spans="1:19" ht="15.75" thickTop="1" thickBot="1">
      <c r="A39" s="67"/>
      <c r="B39" s="1"/>
      <c r="C39" s="1"/>
      <c r="D39" s="166"/>
      <c r="E39" s="273"/>
      <c r="F39" s="1745"/>
      <c r="G39" s="1745"/>
      <c r="H39" s="1745"/>
      <c r="I39" s="1745"/>
      <c r="J39" s="1745"/>
      <c r="K39" s="1746"/>
      <c r="M39" s="1177"/>
      <c r="N39" s="1177"/>
      <c r="O39" s="1177"/>
      <c r="P39" s="1177"/>
      <c r="Q39" s="1177"/>
      <c r="R39" s="1177"/>
      <c r="S39" s="1177"/>
    </row>
    <row r="40" spans="1:19" ht="15.75" thickTop="1" thickBot="1">
      <c r="A40" s="1758" t="s">
        <v>205</v>
      </c>
      <c r="B40" s="1759"/>
      <c r="C40" s="1759"/>
      <c r="D40" s="1760"/>
      <c r="E40" s="901">
        <f>SUM(E26-E38)</f>
        <v>20816</v>
      </c>
      <c r="F40" s="901">
        <f>SUM(F26-F38)</f>
        <v>-306500</v>
      </c>
      <c r="G40" s="902" t="str">
        <f>IF(E40&lt;1," ",IF(F40&lt;1," ",(F40-E40)/E40))</f>
        <v xml:space="preserve"> </v>
      </c>
      <c r="H40" s="901">
        <f>SUM(H26-H38)</f>
        <v>2401</v>
      </c>
      <c r="I40" s="902" t="str">
        <f>IF(F40&lt;1," ",IF(H40&lt;1," ",(H40-F40)/F40))</f>
        <v xml:space="preserve"> </v>
      </c>
      <c r="J40" s="901">
        <f>SUM(J26-J38)</f>
        <v>140983</v>
      </c>
      <c r="K40" s="903">
        <f>IF(H40&lt;1," ",IF(J40&lt;1," ",(J40-H40)/H40))</f>
        <v>57.718450645564346</v>
      </c>
      <c r="M40" s="1177"/>
      <c r="N40" s="1177"/>
      <c r="O40" s="1177"/>
      <c r="P40" s="1177"/>
      <c r="Q40" s="1177"/>
      <c r="R40" s="1177"/>
      <c r="S40" s="1177"/>
    </row>
    <row r="41" spans="1:19" ht="15.4" thickTop="1">
      <c r="A41" s="67"/>
      <c r="B41" s="1"/>
      <c r="C41" s="1"/>
      <c r="D41" s="340"/>
      <c r="E41" s="82"/>
      <c r="F41" s="1752"/>
      <c r="G41" s="1752"/>
      <c r="H41" s="1752"/>
      <c r="I41" s="1752"/>
      <c r="J41" s="1752"/>
      <c r="K41" s="1753"/>
      <c r="M41" s="1177"/>
      <c r="N41" s="1177"/>
      <c r="O41" s="1177"/>
      <c r="P41" s="1177"/>
      <c r="Q41" s="1177"/>
      <c r="R41" s="1177"/>
      <c r="S41" s="1177"/>
    </row>
    <row r="42" spans="1:19" ht="15">
      <c r="A42" s="302" t="s">
        <v>29</v>
      </c>
      <c r="B42" s="1"/>
      <c r="C42" s="153"/>
      <c r="D42" s="341"/>
      <c r="E42" s="81"/>
      <c r="F42" s="1754"/>
      <c r="G42" s="1754"/>
      <c r="H42" s="1754"/>
      <c r="I42" s="1754"/>
      <c r="J42" s="1754"/>
      <c r="K42" s="1755"/>
      <c r="M42" s="1177"/>
      <c r="N42" s="1177"/>
      <c r="O42" s="1177"/>
      <c r="P42" s="1177"/>
      <c r="Q42" s="1177"/>
      <c r="R42" s="1177"/>
      <c r="S42" s="1177"/>
    </row>
    <row r="43" spans="1:19" ht="15">
      <c r="A43" s="67"/>
      <c r="B43" s="145" t="s">
        <v>124</v>
      </c>
      <c r="C43" s="276"/>
      <c r="D43" s="306">
        <v>8900</v>
      </c>
      <c r="E43" s="816">
        <f>'Budget-Unrestricted MYP'!E43+'Budget-Restricted MYP'!E43</f>
        <v>0</v>
      </c>
      <c r="F43" s="757">
        <f>'Budget-Unrestricted MYP'!F43+'Budget-Restricted MYP'!F43</f>
        <v>0</v>
      </c>
      <c r="G43" s="49" t="str">
        <f>IF(E43&lt;1," ",IF(F43&lt;1," ",(F43-E43)/E43))</f>
        <v xml:space="preserve"> </v>
      </c>
      <c r="H43" s="751">
        <f>'Budget-Unrestricted MYP'!H43+'Budget-Restricted MYP'!H43</f>
        <v>0</v>
      </c>
      <c r="I43" s="49" t="str">
        <f>IF(F43&lt;1," ",IF(H43&lt;1," ",(H43-F43)/F43))</f>
        <v xml:space="preserve"> </v>
      </c>
      <c r="J43" s="751">
        <f>'Budget-Unrestricted MYP'!J43+'Budget-Restricted MYP'!J43</f>
        <v>0</v>
      </c>
      <c r="K43" s="363" t="str">
        <f>IF(H43&lt;1," ",IF(J43&lt;1," ",(J43-H43)/H43))</f>
        <v xml:space="preserve"> </v>
      </c>
      <c r="M43" s="1177"/>
      <c r="N43" s="1177"/>
      <c r="O43" s="1177"/>
      <c r="P43" s="1177"/>
      <c r="Q43" s="1177"/>
      <c r="R43" s="1177"/>
      <c r="S43" s="1177"/>
    </row>
    <row r="44" spans="1:19" ht="15.4" thickBot="1">
      <c r="A44" s="67"/>
      <c r="B44" s="883" t="s">
        <v>30</v>
      </c>
      <c r="C44" s="916"/>
      <c r="D44" s="912">
        <v>7600</v>
      </c>
      <c r="E44" s="927">
        <f>'Budget-Unrestricted MYP'!E44+'Budget-Restricted MYP'!E44</f>
        <v>0</v>
      </c>
      <c r="F44" s="926">
        <f>'Budget-Unrestricted MYP'!F44+'Budget-Restricted MYP'!F44</f>
        <v>0</v>
      </c>
      <c r="G44" s="94" t="str">
        <f>IF(E44&lt;1," ",IF(F44&lt;1," ",(F44-E44)/E44))</f>
        <v xml:space="preserve"> </v>
      </c>
      <c r="H44" s="798">
        <f>'Budget-Unrestricted MYP'!H44+'Budget-Restricted MYP'!H44</f>
        <v>0</v>
      </c>
      <c r="I44" s="94" t="str">
        <f>IF(F44&lt;1," ",IF(H44&lt;1," ",(H44-F44)/F44))</f>
        <v xml:space="preserve"> </v>
      </c>
      <c r="J44" s="799">
        <f>'Budget-Unrestricted MYP'!J44+'Budget-Restricted MYP'!J44</f>
        <v>0</v>
      </c>
      <c r="K44" s="308" t="str">
        <f>IF(H44&lt;1," ",IF(J44&lt;1," ",(J44-H44)/H44))</f>
        <v xml:space="preserve"> </v>
      </c>
      <c r="M44" s="1177"/>
      <c r="N44" s="1177"/>
      <c r="O44" s="1177"/>
      <c r="P44" s="1177"/>
      <c r="Q44" s="1177"/>
      <c r="R44" s="1177"/>
      <c r="S44" s="1177"/>
    </row>
    <row r="45" spans="1:19" ht="15.75" thickTop="1" thickBot="1">
      <c r="A45" s="67"/>
      <c r="B45" s="1783" t="s">
        <v>31</v>
      </c>
      <c r="C45" s="1784"/>
      <c r="D45" s="1784"/>
      <c r="E45" s="884">
        <f>ROUND(E43-E44,0)</f>
        <v>0</v>
      </c>
      <c r="F45" s="884">
        <f>ROUND(F43-F44,0)</f>
        <v>0</v>
      </c>
      <c r="G45" s="885" t="str">
        <f>IF(E45&lt;1," ",IF(F45&lt;1," ",(F45-E45)/E45))</f>
        <v xml:space="preserve"> </v>
      </c>
      <c r="H45" s="884">
        <f>ROUND(H43-H44,0)</f>
        <v>0</v>
      </c>
      <c r="I45" s="885" t="str">
        <f>IF(F45&lt;1," ",IF(H45&lt;1," ",(H45-F45)/F45))</f>
        <v xml:space="preserve"> </v>
      </c>
      <c r="J45" s="884">
        <f>ROUND(J43-J44,0)</f>
        <v>0</v>
      </c>
      <c r="K45" s="886" t="str">
        <f>IF(H45&lt;1," ",IF(J45&lt;1," ",(J45-H45)/H45))</f>
        <v xml:space="preserve"> </v>
      </c>
      <c r="M45" s="1177"/>
      <c r="N45" s="1177"/>
      <c r="O45" s="1177"/>
      <c r="P45" s="1177"/>
      <c r="Q45" s="1177"/>
      <c r="R45" s="1177"/>
      <c r="S45" s="1177"/>
    </row>
    <row r="46" spans="1:19" ht="15.75" thickTop="1" thickBot="1">
      <c r="A46" s="67"/>
      <c r="B46" s="1"/>
      <c r="C46" s="911"/>
      <c r="D46" s="544"/>
      <c r="E46" s="265"/>
      <c r="F46" s="265"/>
      <c r="G46" s="51"/>
      <c r="H46" s="265"/>
      <c r="I46" s="51"/>
      <c r="J46" s="265"/>
      <c r="K46" s="309"/>
      <c r="M46" s="1177"/>
      <c r="N46" s="1177"/>
      <c r="O46" s="1177"/>
      <c r="P46" s="1177"/>
      <c r="Q46" s="1177"/>
      <c r="R46" s="1177"/>
      <c r="S46" s="1177"/>
    </row>
    <row r="47" spans="1:19" ht="15.75" thickTop="1" thickBot="1">
      <c r="A47" s="1785" t="s">
        <v>32</v>
      </c>
      <c r="B47" s="1786"/>
      <c r="C47" s="1786"/>
      <c r="D47" s="1786"/>
      <c r="E47" s="901">
        <f>ROUND(E40+E45,0)</f>
        <v>20816</v>
      </c>
      <c r="F47" s="901">
        <f>ROUND(F40+F45,0)</f>
        <v>-306500</v>
      </c>
      <c r="G47" s="902" t="str">
        <f>IF(E47&lt;1," ",IF(F47&lt;1," ",(F47-E47)/E47))</f>
        <v xml:space="preserve"> </v>
      </c>
      <c r="H47" s="901">
        <f>ROUND(H40+H45,0)</f>
        <v>2401</v>
      </c>
      <c r="I47" s="902" t="str">
        <f>IF(F47&lt;1," ",IF(H47&lt;1," ",(H47-F47)/F47))</f>
        <v xml:space="preserve"> </v>
      </c>
      <c r="J47" s="901">
        <f>ROUND(J40+J45,0)</f>
        <v>140983</v>
      </c>
      <c r="K47" s="903">
        <f>IF(H47&lt;1," ",IF(J47&lt;1," ",(J47-H47)/H47))</f>
        <v>57.718450645564346</v>
      </c>
      <c r="M47" s="1177"/>
      <c r="N47" s="1177"/>
      <c r="O47" s="1177"/>
      <c r="P47" s="1177"/>
      <c r="Q47" s="1177"/>
      <c r="R47" s="1177"/>
      <c r="S47" s="1177"/>
    </row>
    <row r="48" spans="1:19" ht="15.4" thickTop="1">
      <c r="A48" s="302"/>
      <c r="B48" s="80"/>
      <c r="C48" s="1201"/>
      <c r="D48" s="1201"/>
      <c r="E48" s="1202"/>
      <c r="F48" s="1202"/>
      <c r="G48" s="1031"/>
      <c r="H48" s="1202"/>
      <c r="I48" s="1031"/>
      <c r="J48" s="1202"/>
      <c r="K48" s="309"/>
      <c r="M48" s="1177"/>
      <c r="N48" s="1177"/>
      <c r="O48" s="1177"/>
      <c r="P48" s="1177"/>
      <c r="Q48" s="1177"/>
      <c r="R48" s="1177"/>
      <c r="S48" s="1177"/>
    </row>
    <row r="49" spans="1:19" ht="15">
      <c r="A49" s="302" t="s">
        <v>6</v>
      </c>
      <c r="B49" s="1"/>
      <c r="C49" s="153"/>
      <c r="D49" s="341"/>
      <c r="E49" s="265"/>
      <c r="F49" s="1734"/>
      <c r="G49" s="1734"/>
      <c r="H49" s="1734"/>
      <c r="I49" s="1734"/>
      <c r="J49" s="1734"/>
      <c r="K49" s="1735"/>
      <c r="M49" s="1177"/>
      <c r="N49" s="1177"/>
      <c r="O49" s="1177"/>
      <c r="P49" s="1177"/>
      <c r="Q49" s="1177"/>
      <c r="R49" s="1177"/>
      <c r="S49" s="1177"/>
    </row>
    <row r="50" spans="1:19" ht="15">
      <c r="A50" s="67"/>
      <c r="B50" s="289" t="s">
        <v>159</v>
      </c>
      <c r="C50" s="290"/>
      <c r="D50" s="291">
        <v>9791</v>
      </c>
      <c r="E50" s="808">
        <f>'Budget-Unrestricted MYP'!E50+'Budget-Restricted MYP'!E50</f>
        <v>4538930</v>
      </c>
      <c r="F50" s="701">
        <f>'Budget-Unrestricted MYP'!F50+'Budget-Restricted MYP'!F50</f>
        <v>4559746.05</v>
      </c>
      <c r="G50" s="272">
        <f t="shared" ref="G50:G56" si="6">IF(E50&lt;1," ",IF(F50&lt;1," ",(F50-E50)/E50))</f>
        <v>4.5861139079033638E-3</v>
      </c>
      <c r="H50" s="702">
        <f>'Budget-Unrestricted MYP'!H50+'Budget-Restricted MYP'!H50</f>
        <v>4253245.1947099995</v>
      </c>
      <c r="I50" s="272">
        <f t="shared" ref="I50:I56" si="7">IF(F50&lt;1," ",IF(H50&lt;1," ",(H50-F50)/F50))</f>
        <v>-6.7218843314750032E-2</v>
      </c>
      <c r="J50" s="702">
        <f>'Budget-Unrestricted MYP'!J50+'Budget-Restricted MYP'!J50</f>
        <v>4255646.3394199992</v>
      </c>
      <c r="K50" s="310">
        <f t="shared" ref="K50:K56" si="8">IF(H50&lt;1," ",IF(J50&lt;1," ",(J50-H50)/H50))</f>
        <v>5.6454415395240133E-4</v>
      </c>
      <c r="M50" s="1177"/>
      <c r="N50" s="1177"/>
      <c r="O50" s="1177"/>
      <c r="P50" s="1177"/>
      <c r="Q50" s="1177"/>
      <c r="R50" s="1177"/>
      <c r="S50" s="1177"/>
    </row>
    <row r="51" spans="1:19" ht="15">
      <c r="A51" s="67"/>
      <c r="B51" s="311" t="s">
        <v>133</v>
      </c>
      <c r="C51" s="312"/>
      <c r="D51" s="313">
        <v>9792</v>
      </c>
      <c r="E51" s="1641"/>
      <c r="F51" s="1642"/>
      <c r="G51" s="1643"/>
      <c r="H51" s="1642"/>
      <c r="I51" s="1643"/>
      <c r="J51" s="1642"/>
      <c r="K51" s="1644"/>
      <c r="M51" s="1177"/>
      <c r="N51" s="1177"/>
      <c r="O51" s="1177"/>
      <c r="P51" s="1177"/>
      <c r="Q51" s="1177"/>
      <c r="R51" s="1177"/>
      <c r="S51" s="1177"/>
    </row>
    <row r="52" spans="1:19" ht="15">
      <c r="A52" s="67"/>
      <c r="B52" s="1764" t="str">
        <f>'Budget-Restricted MYP'!B52</f>
        <v xml:space="preserve">  Beg Fund Balance at Unaudited Actuals</v>
      </c>
      <c r="C52" s="1765"/>
      <c r="D52" s="1803"/>
      <c r="E52" s="1641"/>
      <c r="F52" s="1642"/>
      <c r="G52" s="1643"/>
      <c r="H52" s="1642"/>
      <c r="I52" s="1643"/>
      <c r="J52" s="1642"/>
      <c r="K52" s="1644"/>
      <c r="M52" s="1177"/>
      <c r="N52" s="1177"/>
      <c r="O52" s="1177"/>
      <c r="P52" s="1177"/>
      <c r="Q52" s="1177"/>
      <c r="R52" s="1177"/>
      <c r="S52" s="1177"/>
    </row>
    <row r="53" spans="1:19" ht="15">
      <c r="A53" s="67"/>
      <c r="B53" s="311" t="s">
        <v>299</v>
      </c>
      <c r="C53" s="312"/>
      <c r="D53" s="313">
        <v>9793</v>
      </c>
      <c r="E53" s="1641"/>
      <c r="F53" s="1642"/>
      <c r="G53" s="1643"/>
      <c r="H53" s="1642"/>
      <c r="I53" s="1643"/>
      <c r="J53" s="1642"/>
      <c r="K53" s="1644"/>
      <c r="M53" s="1177"/>
      <c r="N53" s="1177"/>
      <c r="O53" s="1177"/>
      <c r="P53" s="1177"/>
      <c r="Q53" s="1177"/>
      <c r="R53" s="1177"/>
      <c r="S53" s="1177"/>
    </row>
    <row r="54" spans="1:19" ht="15">
      <c r="A54" s="67"/>
      <c r="B54" s="311" t="s">
        <v>298</v>
      </c>
      <c r="C54" s="312"/>
      <c r="D54" s="313">
        <v>9795</v>
      </c>
      <c r="E54" s="748">
        <f>'Budget-Unrestricted MYP'!E54+'Budget-Restricted MYP'!E54</f>
        <v>0</v>
      </c>
      <c r="F54" s="1642"/>
      <c r="G54" s="1643"/>
      <c r="H54" s="1642"/>
      <c r="I54" s="1643"/>
      <c r="J54" s="1642"/>
      <c r="K54" s="1644"/>
      <c r="M54" s="1177"/>
      <c r="N54" s="1177"/>
      <c r="O54" s="1177"/>
      <c r="P54" s="1177"/>
      <c r="Q54" s="1177"/>
      <c r="R54" s="1177"/>
      <c r="S54" s="1177"/>
    </row>
    <row r="55" spans="1:19" ht="15.4" thickBot="1">
      <c r="A55" s="67"/>
      <c r="B55" s="894" t="str">
        <f>'Budget-Restricted MYP'!B55</f>
        <v xml:space="preserve">  Beginning Fund Balance as per Audit Report +/- Restatements</v>
      </c>
      <c r="C55" s="496"/>
      <c r="D55" s="895"/>
      <c r="E55" s="879">
        <f>'Budget-Unrestricted MYP'!E55+'Budget-Restricted MYP'!E55</f>
        <v>4538930</v>
      </c>
      <c r="F55" s="1645"/>
      <c r="G55" s="1646"/>
      <c r="H55" s="1645"/>
      <c r="I55" s="1646"/>
      <c r="J55" s="1645"/>
      <c r="K55" s="1647"/>
      <c r="M55" s="1177"/>
      <c r="N55" s="1177"/>
      <c r="O55" s="1177"/>
      <c r="P55" s="1177"/>
      <c r="Q55" s="1177"/>
      <c r="R55" s="1177"/>
      <c r="S55" s="1177"/>
    </row>
    <row r="56" spans="1:19" ht="15.75" thickTop="1" thickBot="1">
      <c r="A56" s="67"/>
      <c r="B56" s="896" t="s">
        <v>33</v>
      </c>
      <c r="C56" s="897"/>
      <c r="D56" s="898">
        <v>9790</v>
      </c>
      <c r="E56" s="884">
        <f>'Budget-Unrestricted MYP'!E56+'Budget-Restricted MYP'!E56</f>
        <v>4559746.05</v>
      </c>
      <c r="F56" s="884">
        <f>'Budget-Unrestricted MYP'!F56+'Budget-Restricted MYP'!F56</f>
        <v>4253245.1947099995</v>
      </c>
      <c r="G56" s="885">
        <f t="shared" si="6"/>
        <v>-6.7218843314750032E-2</v>
      </c>
      <c r="H56" s="884">
        <f>'Budget-Unrestricted MYP'!H56+'Budget-Restricted MYP'!H56</f>
        <v>4255646.3394199992</v>
      </c>
      <c r="I56" s="885">
        <f t="shared" si="7"/>
        <v>5.6454415395240133E-4</v>
      </c>
      <c r="J56" s="884">
        <f>'Budget-Unrestricted MYP'!J56+'Budget-Restricted MYP'!J56</f>
        <v>4396629.4841299988</v>
      </c>
      <c r="K56" s="886">
        <f t="shared" si="8"/>
        <v>3.3128491764946387E-2</v>
      </c>
      <c r="M56" s="1177"/>
      <c r="N56" s="1177"/>
      <c r="O56" s="1177"/>
      <c r="P56" s="1177"/>
      <c r="Q56" s="1177"/>
      <c r="R56" s="1177"/>
      <c r="S56" s="1177"/>
    </row>
    <row r="57" spans="1:19" ht="15.4" thickTop="1">
      <c r="A57" s="67"/>
      <c r="B57" s="1"/>
      <c r="C57" s="1"/>
      <c r="D57" s="166"/>
      <c r="E57" s="167"/>
      <c r="F57" s="167"/>
      <c r="G57" s="51"/>
      <c r="H57" s="167"/>
      <c r="I57" s="51"/>
      <c r="J57" s="167"/>
      <c r="K57" s="309"/>
      <c r="M57" s="1177"/>
      <c r="N57" s="1177"/>
      <c r="O57" s="1177"/>
      <c r="P57" s="1177"/>
      <c r="Q57" s="1177"/>
      <c r="R57" s="1177"/>
      <c r="S57" s="1177"/>
    </row>
    <row r="58" spans="1:19" ht="15">
      <c r="A58" s="320" t="s">
        <v>139</v>
      </c>
      <c r="B58" s="150"/>
      <c r="C58" s="97"/>
      <c r="D58" s="545" t="s">
        <v>2</v>
      </c>
      <c r="E58" s="546"/>
      <c r="F58" s="292"/>
      <c r="G58" s="51"/>
      <c r="H58" s="167"/>
      <c r="I58" s="51"/>
      <c r="J58" s="167"/>
      <c r="K58" s="309"/>
      <c r="M58" s="1177"/>
      <c r="N58" s="1177"/>
      <c r="O58" s="1177"/>
      <c r="P58" s="1177"/>
      <c r="Q58" s="1177"/>
      <c r="R58" s="1177"/>
      <c r="S58" s="1177"/>
    </row>
    <row r="59" spans="1:19" ht="15">
      <c r="A59" s="67"/>
      <c r="B59" s="344" t="s">
        <v>7</v>
      </c>
      <c r="C59" s="497" t="s">
        <v>140</v>
      </c>
      <c r="D59" s="351"/>
      <c r="E59" s="364"/>
      <c r="F59" s="1801"/>
      <c r="G59" s="1801"/>
      <c r="H59" s="1801"/>
      <c r="I59" s="1801"/>
      <c r="J59" s="1801"/>
      <c r="K59" s="1802"/>
      <c r="M59" s="1177"/>
      <c r="N59" s="1177"/>
      <c r="O59" s="1177"/>
      <c r="P59" s="1177"/>
      <c r="Q59" s="1177"/>
      <c r="R59" s="1177"/>
      <c r="S59" s="1177"/>
    </row>
    <row r="60" spans="1:19" ht="15">
      <c r="A60" s="67"/>
      <c r="B60" s="347"/>
      <c r="C60" s="345" t="s">
        <v>34</v>
      </c>
      <c r="D60" s="285">
        <v>9711</v>
      </c>
      <c r="E60" s="752">
        <f>'Budget-Unrestricted MYP'!E60+'Budget-Restricted MYP'!E60</f>
        <v>0</v>
      </c>
      <c r="F60" s="752">
        <f>'Budget-Unrestricted MYP'!F60+'Budget-Restricted MYP'!F60</f>
        <v>0</v>
      </c>
      <c r="G60" s="31" t="str">
        <f>IF(E60&lt;1," ",IF(F60&lt;1," ",(F60-E60)/E60))</f>
        <v xml:space="preserve"> </v>
      </c>
      <c r="H60" s="752">
        <f>'Budget-Unrestricted MYP'!H60+'Budget-Restricted MYP'!H60</f>
        <v>0</v>
      </c>
      <c r="I60" s="31" t="str">
        <f>IF(F60&lt;1," ",IF(H60&lt;1," ",(H60-F60)/F60))</f>
        <v xml:space="preserve"> </v>
      </c>
      <c r="J60" s="752">
        <f>'Budget-Unrestricted MYP'!J60+'Budget-Restricted MYP'!J60</f>
        <v>0</v>
      </c>
      <c r="K60" s="307" t="str">
        <f>IF(H60&lt;1," ",IF(J60&lt;1," ",(J60-H60)/H60))</f>
        <v xml:space="preserve"> </v>
      </c>
      <c r="M60" s="1177"/>
      <c r="N60" s="1177"/>
      <c r="O60" s="1177"/>
      <c r="P60" s="1177"/>
      <c r="Q60" s="1177"/>
      <c r="R60" s="1177"/>
      <c r="S60" s="1177"/>
    </row>
    <row r="61" spans="1:19" ht="15">
      <c r="A61" s="67"/>
      <c r="B61" s="344"/>
      <c r="C61" s="345" t="s">
        <v>10</v>
      </c>
      <c r="D61" s="285">
        <v>9712</v>
      </c>
      <c r="E61" s="752">
        <f>'Budget-Unrestricted MYP'!E61+'Budget-Restricted MYP'!E61</f>
        <v>0</v>
      </c>
      <c r="F61" s="752">
        <f>'Budget-Unrestricted MYP'!F61+'Budget-Restricted MYP'!F61</f>
        <v>0</v>
      </c>
      <c r="G61" s="31" t="str">
        <f>IF(E61&lt;1," ",IF(F61&lt;1," ",(F61-E61)/E61))</f>
        <v xml:space="preserve"> </v>
      </c>
      <c r="H61" s="752">
        <f>'Budget-Unrestricted MYP'!H61+'Budget-Restricted MYP'!H61</f>
        <v>0</v>
      </c>
      <c r="I61" s="31" t="str">
        <f>IF(F61&lt;1," ",IF(H61&lt;1," ",(H61-F61)/F61))</f>
        <v xml:space="preserve"> </v>
      </c>
      <c r="J61" s="752">
        <f>'Budget-Unrestricted MYP'!J61+'Budget-Restricted MYP'!J61</f>
        <v>0</v>
      </c>
      <c r="K61" s="307" t="str">
        <f>IF(H61&lt;1," ",IF(J61&lt;1," ",(J61-H61)/H61))</f>
        <v xml:space="preserve"> </v>
      </c>
      <c r="M61" s="1177"/>
      <c r="N61" s="1177"/>
      <c r="O61" s="1177"/>
      <c r="P61" s="1177"/>
      <c r="Q61" s="1177"/>
      <c r="R61" s="1177"/>
      <c r="S61" s="1177"/>
    </row>
    <row r="62" spans="1:19" ht="15">
      <c r="A62" s="67"/>
      <c r="B62" s="344"/>
      <c r="C62" s="345" t="s">
        <v>11</v>
      </c>
      <c r="D62" s="285">
        <v>9713</v>
      </c>
      <c r="E62" s="752">
        <f>'Budget-Unrestricted MYP'!E62+'Budget-Restricted MYP'!E62</f>
        <v>0</v>
      </c>
      <c r="F62" s="752">
        <f>'Budget-Unrestricted MYP'!F62+'Budget-Restricted MYP'!F62</f>
        <v>0</v>
      </c>
      <c r="G62" s="31" t="str">
        <f>IF(E62&lt;1," ",IF(F62&lt;1," ",(F62-E62)/E62))</f>
        <v xml:space="preserve"> </v>
      </c>
      <c r="H62" s="752">
        <f>'Budget-Unrestricted MYP'!H62+'Budget-Restricted MYP'!H62</f>
        <v>0</v>
      </c>
      <c r="I62" s="31" t="str">
        <f>IF(F62&lt;1," ",IF(H62&lt;1," ",(H62-F62)/F62))</f>
        <v xml:space="preserve"> </v>
      </c>
      <c r="J62" s="752">
        <f>'Budget-Unrestricted MYP'!J62+'Budget-Restricted MYP'!J62</f>
        <v>0</v>
      </c>
      <c r="K62" s="307" t="str">
        <f>IF(H62&lt;1," ",IF(J62&lt;1," ",(J62-H62)/H62))</f>
        <v xml:space="preserve"> </v>
      </c>
      <c r="M62" s="1177"/>
      <c r="N62" s="1177"/>
      <c r="O62" s="1177"/>
      <c r="P62" s="1177"/>
      <c r="Q62" s="1177"/>
      <c r="R62" s="1177"/>
      <c r="S62" s="1177"/>
    </row>
    <row r="63" spans="1:19" ht="15">
      <c r="A63" s="67"/>
      <c r="B63" s="344"/>
      <c r="C63" s="345" t="s">
        <v>141</v>
      </c>
      <c r="D63" s="285">
        <v>9719</v>
      </c>
      <c r="E63" s="862">
        <f>'Budget-Unrestricted MYP'!E63+'Budget-Restricted MYP'!E63</f>
        <v>0</v>
      </c>
      <c r="F63" s="862">
        <f>'Budget-Unrestricted MYP'!F63+'Budget-Restricted MYP'!F63</f>
        <v>0</v>
      </c>
      <c r="G63" s="50" t="str">
        <f>IF(E63&lt;1," ",IF(F63&lt;1," ",(F63-E63)/E63))</f>
        <v xml:space="preserve"> </v>
      </c>
      <c r="H63" s="862">
        <f>'Budget-Unrestricted MYP'!H63+'Budget-Restricted MYP'!H63</f>
        <v>0</v>
      </c>
      <c r="I63" s="50" t="str">
        <f>IF(F63&lt;1," ",IF(H63&lt;1," ",(H63-F63)/F63))</f>
        <v xml:space="preserve"> </v>
      </c>
      <c r="J63" s="862">
        <f>'Budget-Unrestricted MYP'!J63+'Budget-Restricted MYP'!J63</f>
        <v>0</v>
      </c>
      <c r="K63" s="321" t="str">
        <f>IF(H63&lt;1," ",IF(J63&lt;1," ",(J63-H63)/H63))</f>
        <v xml:space="preserve"> </v>
      </c>
      <c r="M63" s="1177"/>
      <c r="N63" s="1177"/>
      <c r="O63" s="1177"/>
      <c r="P63" s="1177"/>
      <c r="Q63" s="1177"/>
      <c r="R63" s="1177"/>
      <c r="S63" s="1177"/>
    </row>
    <row r="64" spans="1:19" ht="15">
      <c r="A64" s="67"/>
      <c r="B64" s="344" t="s">
        <v>8</v>
      </c>
      <c r="C64" s="346" t="s">
        <v>142</v>
      </c>
      <c r="D64" s="285">
        <v>9740</v>
      </c>
      <c r="E64" s="862">
        <f>'Budget-Unrestricted MYP'!E64+'Budget-Restricted MYP'!E64</f>
        <v>2078650</v>
      </c>
      <c r="F64" s="862">
        <f>'Budget-Unrestricted MYP'!F64+'Budget-Restricted MYP'!F64</f>
        <v>2403949</v>
      </c>
      <c r="G64" s="50">
        <f>IF(E64&lt;1," ",IF(F64&lt;1," ",(F64-E64)/E64))</f>
        <v>0.1564953214826931</v>
      </c>
      <c r="H64" s="862">
        <f>'Budget-Unrestricted MYP'!H64+'Budget-Restricted MYP'!H64</f>
        <v>2636323</v>
      </c>
      <c r="I64" s="50">
        <f>IF(F64&lt;1," ",IF(H64&lt;1," ",(H64-F64)/F64))</f>
        <v>9.6663448351025749E-2</v>
      </c>
      <c r="J64" s="862">
        <f>'Budget-Unrestricted MYP'!J64+'Budget-Restricted MYP'!J64</f>
        <v>2821048</v>
      </c>
      <c r="K64" s="321">
        <f>IF(H64&lt;1," ",IF(J64&lt;1," ",(J64-H64)/H64))</f>
        <v>7.006918348017295E-2</v>
      </c>
      <c r="M64" s="1177"/>
      <c r="N64" s="1177"/>
      <c r="O64" s="1177"/>
      <c r="P64" s="1177"/>
      <c r="Q64" s="1177"/>
      <c r="R64" s="1177"/>
      <c r="S64" s="1177"/>
    </row>
    <row r="65" spans="1:29" ht="15">
      <c r="A65" s="67"/>
      <c r="B65" s="344" t="s">
        <v>9</v>
      </c>
      <c r="C65" s="350" t="s">
        <v>344</v>
      </c>
      <c r="D65" s="972"/>
      <c r="E65" s="816"/>
      <c r="F65" s="816"/>
      <c r="G65" s="624"/>
      <c r="H65" s="816"/>
      <c r="I65" s="624"/>
      <c r="J65" s="816"/>
      <c r="K65" s="628"/>
      <c r="M65" s="1177"/>
      <c r="N65" s="1177"/>
      <c r="O65" s="1177"/>
      <c r="P65" s="1177"/>
      <c r="Q65" s="1177"/>
      <c r="R65" s="1177"/>
      <c r="S65" s="1177"/>
    </row>
    <row r="66" spans="1:29" ht="15">
      <c r="A66" s="67"/>
      <c r="B66" s="344"/>
      <c r="C66" s="345" t="s">
        <v>143</v>
      </c>
      <c r="D66" s="286">
        <v>9750</v>
      </c>
      <c r="E66" s="862">
        <f>'Budget-Unrestricted MYP'!E66+'Budget-Restricted MYP'!E66</f>
        <v>0</v>
      </c>
      <c r="F66" s="862">
        <f>'Budget-Unrestricted MYP'!F66+'Budget-Restricted MYP'!F66</f>
        <v>0</v>
      </c>
      <c r="G66" s="50" t="str">
        <f>IF(E66&lt;1," ",IF(F66&lt;1," ",(F66-E66)/E66))</f>
        <v xml:space="preserve"> </v>
      </c>
      <c r="H66" s="862">
        <f>'Budget-Unrestricted MYP'!H66+'Budget-Restricted MYP'!H66</f>
        <v>0</v>
      </c>
      <c r="I66" s="50" t="str">
        <f>IF(F66&lt;1," ",IF(H66&lt;1," ",(H66-F66)/F66))</f>
        <v xml:space="preserve"> </v>
      </c>
      <c r="J66" s="862">
        <f>'Budget-Unrestricted MYP'!J66+'Budget-Restricted MYP'!J66</f>
        <v>0</v>
      </c>
      <c r="K66" s="321" t="str">
        <f>IF(H66&lt;1," ",IF(J66&lt;1," ",(J66-H66)/H66))</f>
        <v xml:space="preserve"> </v>
      </c>
      <c r="M66" s="1177"/>
      <c r="N66" s="1177"/>
      <c r="O66" s="1177"/>
      <c r="P66" s="1177"/>
      <c r="Q66" s="1177"/>
      <c r="R66" s="1177"/>
      <c r="S66" s="1177"/>
    </row>
    <row r="67" spans="1:29" ht="15">
      <c r="A67" s="67"/>
      <c r="B67" s="344"/>
      <c r="C67" s="345" t="s">
        <v>144</v>
      </c>
      <c r="D67" s="286">
        <v>9760</v>
      </c>
      <c r="E67" s="862">
        <f>'Budget-Unrestricted MYP'!E67+'Budget-Restricted MYP'!E67</f>
        <v>0</v>
      </c>
      <c r="F67" s="862">
        <f>'Budget-Unrestricted MYP'!F67+'Budget-Restricted MYP'!F67</f>
        <v>0</v>
      </c>
      <c r="G67" s="50" t="str">
        <f>IF(E67&lt;1," ",IF(F67&lt;1," ",(F67-E67)/E67))</f>
        <v xml:space="preserve"> </v>
      </c>
      <c r="H67" s="862">
        <f>'Budget-Unrestricted MYP'!H67+'Budget-Restricted MYP'!H67</f>
        <v>0</v>
      </c>
      <c r="I67" s="50" t="str">
        <f>IF(F67&lt;1," ",IF(H67&lt;1," ",(H67-F67)/F67))</f>
        <v xml:space="preserve"> </v>
      </c>
      <c r="J67" s="862">
        <f>'Budget-Unrestricted MYP'!J67+'Budget-Restricted MYP'!J67</f>
        <v>0</v>
      </c>
      <c r="K67" s="321" t="str">
        <f>IF(H67&lt;1," ",IF(J67&lt;1," ",(J67-H67)/H67))</f>
        <v xml:space="preserve"> </v>
      </c>
      <c r="M67" s="1177"/>
      <c r="N67" s="1177"/>
      <c r="O67" s="1177"/>
      <c r="P67" s="1177"/>
      <c r="Q67" s="1177"/>
      <c r="R67" s="1177"/>
      <c r="S67" s="1177"/>
    </row>
    <row r="68" spans="1:29" ht="15">
      <c r="A68" s="67"/>
      <c r="B68" s="344" t="s">
        <v>38</v>
      </c>
      <c r="C68" s="346" t="s">
        <v>145</v>
      </c>
      <c r="D68" s="285">
        <v>9780</v>
      </c>
      <c r="E68" s="862">
        <f>'Budget-Unrestricted MYP'!E68+'Budget-Restricted MYP'!E68</f>
        <v>0</v>
      </c>
      <c r="F68" s="862">
        <f>'Budget-Unrestricted MYP'!F68+'Budget-Restricted MYP'!F68</f>
        <v>0</v>
      </c>
      <c r="G68" s="50" t="str">
        <f>IF(E68&lt;1," ",IF(F68&lt;1," ",(F68-E68)/E68))</f>
        <v xml:space="preserve"> </v>
      </c>
      <c r="H68" s="862">
        <f>'Budget-Unrestricted MYP'!H68+'Budget-Restricted MYP'!H68</f>
        <v>0</v>
      </c>
      <c r="I68" s="50" t="str">
        <f>IF(F68&lt;1," ",IF(H68&lt;1," ",(H68-F68)/F68))</f>
        <v xml:space="preserve"> </v>
      </c>
      <c r="J68" s="862">
        <f>'Budget-Unrestricted MYP'!J68+'Budget-Restricted MYP'!J68</f>
        <v>0</v>
      </c>
      <c r="K68" s="321" t="str">
        <f>IF(H68&lt;1," ",IF(J68&lt;1," ",(J68-H68)/H68))</f>
        <v xml:space="preserve"> </v>
      </c>
      <c r="M68" s="1177"/>
      <c r="N68" s="1177"/>
      <c r="O68" s="1177"/>
      <c r="P68" s="1177"/>
      <c r="Q68" s="1177"/>
      <c r="R68" s="1177"/>
      <c r="S68" s="1177"/>
    </row>
    <row r="69" spans="1:29" ht="15">
      <c r="A69" s="67"/>
      <c r="B69" s="344" t="s">
        <v>40</v>
      </c>
      <c r="C69" s="350" t="s">
        <v>347</v>
      </c>
      <c r="D69" s="592"/>
      <c r="E69" s="816"/>
      <c r="F69" s="816"/>
      <c r="G69" s="624"/>
      <c r="H69" s="816"/>
      <c r="I69" s="624"/>
      <c r="J69" s="816"/>
      <c r="K69" s="628"/>
      <c r="M69" s="132" t="s">
        <v>405</v>
      </c>
    </row>
    <row r="70" spans="1:29" ht="15">
      <c r="A70" s="67"/>
      <c r="B70" s="344"/>
      <c r="C70" s="345" t="s">
        <v>345</v>
      </c>
      <c r="D70" s="286">
        <v>9789</v>
      </c>
      <c r="E70" s="862">
        <f>'Budget-Unrestricted MYP'!E70+'Budget-Restricted MYP'!E70</f>
        <v>521502</v>
      </c>
      <c r="F70" s="862">
        <f>'Budget-Unrestricted MYP'!F70+'Budget-Restricted MYP'!F70</f>
        <v>456269.25</v>
      </c>
      <c r="G70" s="50">
        <f>IF(E70&lt;1," ",IF(F70&lt;1," ",(F70-E70)/E70))</f>
        <v>-0.12508628921844978</v>
      </c>
      <c r="H70" s="862">
        <f>'Budget-Unrestricted MYP'!H70+'Budget-Restricted MYP'!H70</f>
        <v>477354.15</v>
      </c>
      <c r="I70" s="50">
        <f>IF(F70&lt;1," ",IF(H70&lt;1," ",(H70-F70)/F70))</f>
        <v>4.6211529705322073E-2</v>
      </c>
      <c r="J70" s="862">
        <f>'Budget-Unrestricted MYP'!J70+'Budget-Restricted MYP'!J70</f>
        <v>493056</v>
      </c>
      <c r="K70" s="321">
        <f>IF(H70&lt;1," ",IF(J70&lt;1," ",(J70-H70)/H70))</f>
        <v>3.2893502654161438E-2</v>
      </c>
      <c r="M70" s="1813" t="s">
        <v>408</v>
      </c>
      <c r="N70" s="1813"/>
      <c r="O70" s="1813"/>
      <c r="P70" s="1813"/>
      <c r="Q70" s="1813" t="s">
        <v>409</v>
      </c>
      <c r="R70" s="1813"/>
      <c r="S70" s="1813"/>
    </row>
    <row r="71" spans="1:29" ht="15.4" thickBot="1">
      <c r="A71" s="67"/>
      <c r="B71" s="883"/>
      <c r="C71" s="889" t="s">
        <v>346</v>
      </c>
      <c r="D71" s="617">
        <v>9790</v>
      </c>
      <c r="E71" s="862">
        <f>'Budget-Unrestricted MYP'!E71+'Budget-Restricted MYP'!E71</f>
        <v>1959594.0499999998</v>
      </c>
      <c r="F71" s="862">
        <f>'Budget-Unrestricted MYP'!F71+'Budget-Restricted MYP'!F71</f>
        <v>1393026.9447099995</v>
      </c>
      <c r="G71" s="50">
        <f>IF(E71&lt;1," ",IF(F71&lt;1," ",(F71-E71)/E71))</f>
        <v>-0.28912473238526132</v>
      </c>
      <c r="H71" s="862">
        <f>'Budget-Unrestricted MYP'!H71+'Budget-Restricted MYP'!H71</f>
        <v>1141969.1894199993</v>
      </c>
      <c r="I71" s="50">
        <f>IF(F71&lt;1," ",IF(H71&lt;1," ",(H71-F71)/F71))</f>
        <v>-0.1802246225339636</v>
      </c>
      <c r="J71" s="862">
        <f>'Budget-Unrestricted MYP'!J71+'Budget-Restricted MYP'!J71</f>
        <v>1082525.4841299988</v>
      </c>
      <c r="K71" s="321">
        <f>IF(H71&lt;1," ",IF(J71&lt;1," ",(J71-H71)/H71))</f>
        <v>-5.2053685721758919E-2</v>
      </c>
      <c r="M71" s="1307">
        <v>0.05</v>
      </c>
      <c r="N71" s="134" t="s">
        <v>406</v>
      </c>
      <c r="O71" s="1308">
        <v>71000</v>
      </c>
      <c r="P71" s="134" t="s">
        <v>407</v>
      </c>
      <c r="Q71" s="1309">
        <v>0</v>
      </c>
      <c r="R71" s="200" t="s">
        <v>410</v>
      </c>
      <c r="S71" s="1309">
        <v>300</v>
      </c>
      <c r="W71" s="132" t="s">
        <v>405</v>
      </c>
    </row>
    <row r="72" spans="1:29" ht="15.75" thickTop="1" thickBot="1">
      <c r="A72" s="236"/>
      <c r="B72" s="1814" t="s">
        <v>315</v>
      </c>
      <c r="C72" s="1815"/>
      <c r="D72" s="1815"/>
      <c r="E72" s="928">
        <f>(E70+E71)/(+E38+E44)</f>
        <v>0.24135072281791789</v>
      </c>
      <c r="F72" s="928">
        <f>(F70+F71)/(+F38+F44)</f>
        <v>0.1959865329017586</v>
      </c>
      <c r="G72" s="892"/>
      <c r="H72" s="928">
        <f>(H70+H71)/(+H38+H44)</f>
        <v>0.17086624650685747</v>
      </c>
      <c r="I72" s="892"/>
      <c r="J72" s="928">
        <f>(J70+J71)/(+J38+J44)</f>
        <v>0.16188359718806641</v>
      </c>
      <c r="K72" s="1058"/>
      <c r="M72" s="1307">
        <v>0.04</v>
      </c>
      <c r="N72" s="134" t="s">
        <v>406</v>
      </c>
      <c r="O72" s="1308">
        <v>71000</v>
      </c>
      <c r="P72" s="134" t="s">
        <v>407</v>
      </c>
      <c r="Q72" s="1309">
        <v>301</v>
      </c>
      <c r="R72" s="200" t="s">
        <v>410</v>
      </c>
      <c r="S72" s="1309">
        <v>1000</v>
      </c>
      <c r="W72" s="1813" t="s">
        <v>408</v>
      </c>
      <c r="X72" s="1813"/>
      <c r="Y72" s="1813"/>
      <c r="Z72" s="1813"/>
      <c r="AA72" s="1813" t="s">
        <v>409</v>
      </c>
      <c r="AB72" s="1813"/>
      <c r="AC72" s="1813"/>
    </row>
    <row r="73" spans="1:29" ht="15">
      <c r="A73" s="1"/>
      <c r="B73" s="1"/>
      <c r="C73" s="1"/>
      <c r="D73" s="1"/>
      <c r="E73" s="25"/>
      <c r="F73" s="25"/>
      <c r="G73" s="51"/>
      <c r="H73" s="25"/>
      <c r="I73" s="51"/>
      <c r="J73" s="25"/>
      <c r="K73" s="51"/>
      <c r="M73" s="1307">
        <v>0.03</v>
      </c>
      <c r="Q73" s="1309">
        <v>1001</v>
      </c>
      <c r="R73" s="200" t="s">
        <v>410</v>
      </c>
      <c r="S73" s="1309">
        <v>30000</v>
      </c>
      <c r="W73" s="1307">
        <v>0.05</v>
      </c>
      <c r="X73" s="134" t="s">
        <v>406</v>
      </c>
      <c r="Y73" s="1308">
        <v>71000</v>
      </c>
      <c r="Z73" s="134" t="s">
        <v>407</v>
      </c>
      <c r="AA73" s="1309">
        <v>0</v>
      </c>
      <c r="AB73" s="200" t="s">
        <v>410</v>
      </c>
      <c r="AC73" s="1309">
        <v>300</v>
      </c>
    </row>
    <row r="74" spans="1:29" ht="15">
      <c r="A74" s="1"/>
      <c r="B74" s="134" t="s">
        <v>459</v>
      </c>
      <c r="C74" s="132"/>
      <c r="D74" s="132"/>
      <c r="E74" s="1199">
        <f>IF('Budget-ADA'!J76&lt;300.99,0.05,(IF(AND('Budget-ADA'!J76 &gt;=301,'Budget-ADA'!J76&lt;=1000.99),0.04,IF(AND('Budget-ADA'!J76 &gt;=1001,'Budget-ADA'!J76&lt;=30000.99),0.03,0.02))))</f>
        <v>0.04</v>
      </c>
      <c r="F74" s="1199">
        <f>IF('Budget-ADA'!L76&lt;300.99,0.05,(IF(AND('Budget-ADA'!L76 &gt;=301,'Budget-ADA'!L76&lt;=1000.99),0.04,IF(AND('Budget-ADA'!L76 &gt;=1001,'Budget-ADA'!L76&lt;=30000.99),0.03,0.02))))</f>
        <v>0.04</v>
      </c>
      <c r="G74" s="132"/>
      <c r="H74" s="1199">
        <f>IF('Budget-ADA'!O76&lt;300.99,0.05,(IF(AND('Budget-ADA'!O76 &gt;=301,'Budget-ADA'!O76&lt;=1000.99),0.04,IF(AND('Budget-ADA'!O76 &gt;=1001,'Budget-ADA'!O76&lt;=30000.99),0.03,0.02))))</f>
        <v>0.04</v>
      </c>
      <c r="I74" s="132"/>
      <c r="J74" s="1199">
        <f>IF('Budget-ADA'!R76&lt;300.99,0.05,(IF(AND('Budget-ADA'!R76 &gt;=301,'Budget-ADA'!R76&lt;=1000.99),0.04,IF(AND('Budget-ADA'!R76 &gt;=1001,'Budget-ADA'!R76&lt;=30000.99),0.03,0.02))))</f>
        <v>0.04</v>
      </c>
      <c r="K74" s="132"/>
      <c r="M74" s="1307">
        <v>0.02</v>
      </c>
      <c r="Q74" s="1309">
        <v>30001</v>
      </c>
      <c r="R74" s="200" t="s">
        <v>410</v>
      </c>
      <c r="S74" s="1309">
        <v>400000</v>
      </c>
      <c r="W74" s="1307"/>
      <c r="X74" s="134"/>
      <c r="Y74" s="1308"/>
      <c r="Z74" s="134"/>
      <c r="AA74" s="1309"/>
      <c r="AB74" s="200"/>
      <c r="AC74" s="1309"/>
    </row>
    <row r="75" spans="1:29" ht="13.15">
      <c r="B75" s="134" t="s">
        <v>458</v>
      </c>
      <c r="C75" s="132"/>
      <c r="E75" s="1376"/>
      <c r="F75" s="1376"/>
      <c r="G75" s="132"/>
      <c r="H75" s="1376"/>
      <c r="I75" s="132"/>
      <c r="J75" s="1376"/>
      <c r="M75" s="1307">
        <v>0.01</v>
      </c>
      <c r="Q75" s="1309">
        <v>400001</v>
      </c>
      <c r="R75" s="200" t="s">
        <v>411</v>
      </c>
      <c r="S75" s="1310"/>
      <c r="W75" s="1307">
        <v>0.04</v>
      </c>
      <c r="X75" s="134" t="s">
        <v>406</v>
      </c>
      <c r="Y75" s="1308">
        <v>71000</v>
      </c>
      <c r="Z75" s="134" t="s">
        <v>407</v>
      </c>
      <c r="AA75" s="1309">
        <v>301</v>
      </c>
      <c r="AB75" s="200" t="s">
        <v>410</v>
      </c>
      <c r="AC75" s="1309">
        <v>1000</v>
      </c>
    </row>
    <row r="76" spans="1:29" ht="13.15">
      <c r="B76" s="132" t="s">
        <v>412</v>
      </c>
      <c r="C76" s="132"/>
      <c r="D76" s="132"/>
      <c r="E76" s="1200" t="str">
        <f>IF(E75="",IF(E72&gt;=E74,"Met","Not Met"),IF(E72&gt;=E75,"Met","Not Met"))</f>
        <v>Met</v>
      </c>
      <c r="F76" s="1200" t="str">
        <f>IF(F75="",IF(F72&gt;=F74,"Met","Not Met"),IF(F72&gt;=F75,"Met","Not Met"))</f>
        <v>Met</v>
      </c>
      <c r="G76" s="132"/>
      <c r="H76" s="1200" t="str">
        <f>IF(H75="",IF(H72&gt;=H74,"Met","Not Met"),IF(H72&gt;=H75,"Met","Not Met"))</f>
        <v>Met</v>
      </c>
      <c r="I76" s="132"/>
      <c r="J76" s="1200" t="str">
        <f>IF(J75="",IF(J72&gt;=J74,"Met","Not Met"),IF(J72&gt;=J75,"Met","Not Met"))</f>
        <v>Met</v>
      </c>
      <c r="K76" s="132"/>
      <c r="M76" s="1307"/>
      <c r="Q76" s="1309"/>
      <c r="R76" s="200"/>
      <c r="S76" s="1310"/>
      <c r="W76" s="1307">
        <v>0.03</v>
      </c>
      <c r="AA76" s="1309">
        <v>1001</v>
      </c>
      <c r="AB76" s="200" t="s">
        <v>410</v>
      </c>
      <c r="AC76" s="1309">
        <v>30000</v>
      </c>
    </row>
    <row r="77" spans="1:29" ht="9" customHeight="1" thickBot="1">
      <c r="B77" s="132"/>
      <c r="C77" s="132"/>
      <c r="D77" s="132"/>
      <c r="E77" s="1200"/>
      <c r="F77" s="1200"/>
      <c r="G77" s="132"/>
      <c r="H77" s="1200"/>
      <c r="I77" s="132"/>
      <c r="J77" s="1200"/>
      <c r="K77" s="132"/>
      <c r="M77" s="1307"/>
      <c r="Q77" s="1309"/>
      <c r="R77" s="200"/>
      <c r="S77" s="1310"/>
      <c r="W77" s="1307"/>
      <c r="AA77" s="1309"/>
      <c r="AB77" s="200"/>
      <c r="AC77" s="1309"/>
    </row>
    <row r="78" spans="1:29" s="2" customFormat="1" ht="15.75" thickBot="1">
      <c r="A78"/>
      <c r="B78" s="1810" t="s">
        <v>482</v>
      </c>
      <c r="C78" s="1811"/>
      <c r="D78" s="1811"/>
      <c r="E78" s="1811"/>
      <c r="F78" s="1811"/>
      <c r="G78" s="1811"/>
      <c r="H78" s="1811"/>
      <c r="I78" s="1811"/>
      <c r="J78" s="1811"/>
      <c r="K78" s="1812"/>
      <c r="M78" s="1307"/>
      <c r="N78"/>
      <c r="O78"/>
      <c r="P78"/>
      <c r="Q78" s="1309"/>
      <c r="R78" s="200"/>
      <c r="S78" s="1310"/>
    </row>
    <row r="79" spans="1:29" s="2" customFormat="1" ht="42" customHeight="1">
      <c r="A79"/>
      <c r="B79" s="1807"/>
      <c r="C79" s="1808"/>
      <c r="D79" s="1808"/>
      <c r="E79" s="1808"/>
      <c r="F79" s="1808"/>
      <c r="G79" s="1808"/>
      <c r="H79" s="1808"/>
      <c r="I79" s="1808"/>
      <c r="J79" s="1808"/>
      <c r="K79" s="1809"/>
      <c r="M79" s="1307"/>
      <c r="N79"/>
      <c r="O79"/>
      <c r="P79"/>
      <c r="Q79" s="1309"/>
      <c r="R79" s="200"/>
      <c r="S79" s="1310"/>
    </row>
    <row r="80" spans="1:29">
      <c r="M80" s="1307"/>
      <c r="N80" s="134"/>
      <c r="O80" s="1308"/>
      <c r="P80" s="134"/>
      <c r="Q80" s="1309"/>
      <c r="R80" s="200"/>
      <c r="S80" s="1309"/>
      <c r="W80" s="1307">
        <v>0.02</v>
      </c>
      <c r="AA80" s="1309">
        <v>30001</v>
      </c>
      <c r="AB80" s="200" t="s">
        <v>410</v>
      </c>
      <c r="AC80" s="1309">
        <v>400000</v>
      </c>
    </row>
    <row r="81" spans="2:29">
      <c r="B81" s="134" t="s">
        <v>415</v>
      </c>
      <c r="E81" s="1231">
        <f>ROUND(-MIN('Budget-Unrestricted MYP'!E47/('Budget-Unrestricted MYP'!E38+'Budget-Unrestricted MYP'!E44),0),3)</f>
        <v>0.08</v>
      </c>
      <c r="F81" s="1231">
        <f>ROUND(-MIN('Budget-Unrestricted MYP'!F47/('Budget-Unrestricted MYP'!F38+'Budget-Unrestricted MYP'!F44),0),3)</f>
        <v>8.4000000000000005E-2</v>
      </c>
      <c r="H81" s="1231">
        <f>ROUND(-MIN('Budget-Unrestricted MYP'!H47/('Budget-Unrestricted MYP'!H38+'Budget-Unrestricted MYP'!H44),0),3)</f>
        <v>0.03</v>
      </c>
      <c r="I81" s="871"/>
      <c r="J81" s="1231">
        <f>ROUND(-MIN('Budget-Unrestricted MYP'!J47/('Budget-Unrestricted MYP'!J38+'Budget-Unrestricted MYP'!J44),0),3)</f>
        <v>5.0000000000000001E-3</v>
      </c>
      <c r="N81" s="134"/>
      <c r="O81" s="1308"/>
      <c r="P81" s="134"/>
      <c r="Q81" s="1309"/>
      <c r="R81" s="200"/>
      <c r="S81" s="1309"/>
      <c r="W81" s="1307">
        <v>0.01</v>
      </c>
      <c r="AA81" s="1309">
        <v>400001</v>
      </c>
      <c r="AB81" s="200" t="s">
        <v>411</v>
      </c>
      <c r="AC81" s="1310"/>
    </row>
    <row r="82" spans="2:29" ht="13.15">
      <c r="B82" s="132" t="s">
        <v>416</v>
      </c>
      <c r="E82" s="1232">
        <f>ROUND(E72/3,3)</f>
        <v>0.08</v>
      </c>
      <c r="F82" s="1232">
        <f>ROUND(F72/3,3)</f>
        <v>6.5000000000000002E-2</v>
      </c>
      <c r="H82" s="1232">
        <f>ROUND(H72/3,3)</f>
        <v>5.7000000000000002E-2</v>
      </c>
      <c r="I82" s="871"/>
      <c r="J82" s="1232">
        <f>ROUND(J72/3,3)</f>
        <v>5.3999999999999999E-2</v>
      </c>
      <c r="M82" s="1311" t="s">
        <v>413</v>
      </c>
      <c r="N82" s="134"/>
      <c r="O82" s="1308"/>
      <c r="P82" s="134"/>
      <c r="Q82" s="1309"/>
      <c r="R82" s="200"/>
      <c r="S82" s="1309"/>
      <c r="W82" s="1307"/>
      <c r="AA82" s="1309"/>
      <c r="AB82" s="200"/>
      <c r="AC82" s="1310"/>
    </row>
    <row r="83" spans="2:29" ht="13.15">
      <c r="B83" s="132" t="s">
        <v>417</v>
      </c>
      <c r="E83" s="1200" t="str">
        <f>IF(E81&lt;=E82,"Met","Not Met")</f>
        <v>Met</v>
      </c>
      <c r="F83" s="1200" t="str">
        <f>IF(F81&lt;=F82,"Met","Not Met")</f>
        <v>Not Met</v>
      </c>
      <c r="H83" s="1200" t="str">
        <f>IF(H81&lt;=H82,"Met","Not Met")</f>
        <v>Met</v>
      </c>
      <c r="J83" s="1200" t="str">
        <f>IF(J81&lt;=J82,"Met","Not Met")</f>
        <v>Met</v>
      </c>
      <c r="M83" s="1799" t="s">
        <v>414</v>
      </c>
      <c r="N83" s="1800"/>
      <c r="O83" s="1800"/>
      <c r="P83" s="1800"/>
      <c r="Q83" s="1800"/>
      <c r="R83" s="1800"/>
      <c r="S83" s="1800"/>
    </row>
    <row r="84" spans="2:29" ht="8.25" customHeight="1" thickBot="1">
      <c r="B84" s="132"/>
      <c r="E84" s="1200"/>
      <c r="F84" s="1200"/>
      <c r="H84" s="1200"/>
      <c r="J84" s="1200"/>
      <c r="M84" s="1799"/>
      <c r="N84" s="1800"/>
      <c r="O84" s="1800"/>
      <c r="P84" s="1800"/>
      <c r="Q84" s="1800"/>
      <c r="R84" s="1800"/>
      <c r="S84" s="1800"/>
    </row>
    <row r="85" spans="2:29" ht="13.15" thickBot="1">
      <c r="B85" s="1810" t="s">
        <v>484</v>
      </c>
      <c r="C85" s="1811"/>
      <c r="D85" s="1811"/>
      <c r="E85" s="1811"/>
      <c r="F85" s="1811"/>
      <c r="G85" s="1811"/>
      <c r="H85" s="1811"/>
      <c r="I85" s="1811"/>
      <c r="J85" s="1811"/>
      <c r="K85" s="1812"/>
      <c r="M85" s="1800"/>
      <c r="N85" s="1800"/>
      <c r="O85" s="1800"/>
      <c r="P85" s="1800"/>
      <c r="Q85" s="1800"/>
      <c r="R85" s="1800"/>
      <c r="S85" s="1800"/>
    </row>
    <row r="86" spans="2:29" ht="52.5" customHeight="1">
      <c r="B86" s="1804"/>
      <c r="C86" s="1805"/>
      <c r="D86" s="1805"/>
      <c r="E86" s="1805"/>
      <c r="F86" s="1805"/>
      <c r="G86" s="1805"/>
      <c r="H86" s="1805"/>
      <c r="I86" s="1805"/>
      <c r="J86" s="1805"/>
      <c r="K86" s="1806"/>
      <c r="M86" s="1800"/>
      <c r="N86" s="1800"/>
      <c r="O86" s="1800"/>
      <c r="P86" s="1800"/>
      <c r="Q86" s="1800"/>
      <c r="R86" s="1800"/>
      <c r="S86" s="1800"/>
    </row>
  </sheetData>
  <sheetProtection algorithmName="SHA-512" hashValue="mI17qlrHl6SE7y00Us0+H8+S7ufv3rRbHzJJDXGInQyhlVsz6ePtHZ/TYNEb1JU8xt0VYByFaivbSoQvITxNzw==" saltValue="AcuPes6UClafKffR2vpQxg==" spinCount="100000" sheet="1" objects="1" scenarios="1"/>
  <mergeCells count="30">
    <mergeCell ref="W72:Z72"/>
    <mergeCell ref="AA72:AC72"/>
    <mergeCell ref="M70:P70"/>
    <mergeCell ref="Q70:S70"/>
    <mergeCell ref="A1:D1"/>
    <mergeCell ref="A2:D2"/>
    <mergeCell ref="A3:D3"/>
    <mergeCell ref="B45:D45"/>
    <mergeCell ref="A47:D47"/>
    <mergeCell ref="B72:D72"/>
    <mergeCell ref="F28:K28"/>
    <mergeCell ref="B26:D26"/>
    <mergeCell ref="B38:D38"/>
    <mergeCell ref="A8:C8"/>
    <mergeCell ref="F11:K11"/>
    <mergeCell ref="F12:K12"/>
    <mergeCell ref="F27:K27"/>
    <mergeCell ref="A28:C28"/>
    <mergeCell ref="M83:S86"/>
    <mergeCell ref="A40:D40"/>
    <mergeCell ref="F59:K59"/>
    <mergeCell ref="F39:K39"/>
    <mergeCell ref="F41:K41"/>
    <mergeCell ref="F42:K42"/>
    <mergeCell ref="F49:K49"/>
    <mergeCell ref="B52:D52"/>
    <mergeCell ref="B86:K86"/>
    <mergeCell ref="B79:K79"/>
    <mergeCell ref="B78:K78"/>
    <mergeCell ref="B85:K85"/>
  </mergeCells>
  <conditionalFormatting sqref="A1:D3">
    <cfRule type="containsText" dxfId="265" priority="12" stopIfTrue="1" operator="containsText" text="Enter">
      <formula>NOT(ISERROR(SEARCH("Enter",A1)))</formula>
    </cfRule>
  </conditionalFormatting>
  <conditionalFormatting sqref="B74">
    <cfRule type="expression" dxfId="264" priority="9" stopIfTrue="1">
      <formula>$E$75=""</formula>
    </cfRule>
  </conditionalFormatting>
  <conditionalFormatting sqref="B75">
    <cfRule type="expression" dxfId="263" priority="8" stopIfTrue="1">
      <formula>$E$75&lt;&gt;0</formula>
    </cfRule>
  </conditionalFormatting>
  <conditionalFormatting sqref="B79">
    <cfRule type="containsText" dxfId="262" priority="1" stopIfTrue="1" operator="containsText" text="Not Met">
      <formula>NOT(ISERROR(SEARCH("Not Met",B79)))</formula>
    </cfRule>
    <cfRule type="containsText" dxfId="261" priority="2" stopIfTrue="1" operator="containsText" text="Met">
      <formula>NOT(ISERROR(SEARCH("Met",B79)))</formula>
    </cfRule>
  </conditionalFormatting>
  <conditionalFormatting sqref="E74">
    <cfRule type="expression" dxfId="260" priority="6" stopIfTrue="1">
      <formula>$E$75=""</formula>
    </cfRule>
  </conditionalFormatting>
  <conditionalFormatting sqref="E76:F77 H76:H77 J76:J77 E83:F84 H83:H84 J83:J84">
    <cfRule type="containsText" dxfId="259" priority="10" stopIfTrue="1" operator="containsText" text="Not Met">
      <formula>NOT(ISERROR(SEARCH("Not Met",E76)))</formula>
    </cfRule>
    <cfRule type="containsText" dxfId="258" priority="11" stopIfTrue="1" operator="containsText" text="Met">
      <formula>NOT(ISERROR(SEARCH("Met",E76)))</formula>
    </cfRule>
  </conditionalFormatting>
  <conditionalFormatting sqref="F74">
    <cfRule type="expression" dxfId="257" priority="4" stopIfTrue="1">
      <formula>$F$75=""</formula>
    </cfRule>
  </conditionalFormatting>
  <conditionalFormatting sqref="H74">
    <cfRule type="expression" dxfId="256" priority="3" stopIfTrue="1">
      <formula>$H$75=""</formula>
    </cfRule>
  </conditionalFormatting>
  <conditionalFormatting sqref="J74">
    <cfRule type="expression" dxfId="255" priority="5" stopIfTrue="1">
      <formula>$F$75=""</formula>
    </cfRule>
  </conditionalFormatting>
  <pageMargins left="0.7" right="0.7" top="0.75" bottom="0.75" header="0.3" footer="0.3"/>
  <pageSetup scale="65" fitToHeight="0" orientation="landscape" r:id="rId1"/>
  <headerFooter>
    <oddHeader>&amp;RPage &amp;P of &amp;N</oddHeader>
    <oddFooter>Page &amp;P of &amp;N</oddFooter>
  </headerFooter>
  <rowBreaks count="1" manualBreakCount="1">
    <brk id="4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6" tint="-0.249977111117893"/>
    <pageSetUpPr fitToPage="1"/>
  </sheetPr>
  <dimension ref="A1:L34"/>
  <sheetViews>
    <sheetView showGridLines="0" zoomScale="106" zoomScaleNormal="106" workbookViewId="0"/>
  </sheetViews>
  <sheetFormatPr defaultRowHeight="12.75"/>
  <cols>
    <col min="1" max="1" width="3.6640625" customWidth="1"/>
    <col min="2" max="2" width="25.6640625" customWidth="1"/>
    <col min="4" max="4" width="16.6640625" customWidth="1"/>
    <col min="5" max="10" width="14.6640625" customWidth="1"/>
    <col min="11" max="11" width="11.86328125" customWidth="1"/>
    <col min="12" max="12" width="83.46484375" style="1177" customWidth="1"/>
    <col min="13" max="34" width="9.1328125" customWidth="1"/>
  </cols>
  <sheetData>
    <row r="1" spans="1:11" ht="17.649999999999999">
      <c r="A1" s="135" t="s">
        <v>116</v>
      </c>
      <c r="B1" s="135"/>
      <c r="H1" s="134"/>
      <c r="I1" s="134"/>
    </row>
    <row r="2" spans="1:11" ht="13.15">
      <c r="A2" s="168" t="str">
        <f>'Budget-ADA'!I4</f>
        <v>Fiscal Year 2024-25 Budget</v>
      </c>
    </row>
    <row r="3" spans="1:11" ht="13.5" customHeight="1">
      <c r="A3" s="1664" t="str">
        <f>IF('BUDGET-CERTIFICATION'!$H$1="","CHARTER NAME: Enter Charter Name on BUDGET-CERTIFICATION Worksheet",(CONCATENATE("CHARTER NAME: ",'BUDGET-CERTIFICATION'!$H$1)))</f>
        <v>CHARTER NAME: Encor Jr./Sr. High School for the Performing and Visual Arts</v>
      </c>
      <c r="B3" s="1664"/>
      <c r="C3" s="1664"/>
      <c r="D3" s="1664"/>
      <c r="E3" s="1664"/>
      <c r="F3" s="1664"/>
      <c r="G3" s="169"/>
      <c r="H3" s="169"/>
      <c r="I3" s="169"/>
    </row>
    <row r="4" spans="1:11">
      <c r="A4" s="1550" t="str">
        <f>Instructions!H1</f>
        <v>Form Revised (revision date here if revised)</v>
      </c>
    </row>
    <row r="5" spans="1:11" ht="12.75" customHeight="1">
      <c r="A5" s="1828" t="s">
        <v>322</v>
      </c>
      <c r="B5" s="1828"/>
      <c r="C5" s="1828"/>
      <c r="D5" s="1828"/>
      <c r="E5" s="1828"/>
      <c r="F5" s="1828"/>
      <c r="G5" s="1828"/>
      <c r="H5" s="1828"/>
      <c r="I5" s="365"/>
      <c r="J5" s="365"/>
      <c r="K5" s="365"/>
    </row>
    <row r="6" spans="1:11">
      <c r="A6" s="1828"/>
      <c r="B6" s="1828"/>
      <c r="C6" s="1828"/>
      <c r="D6" s="1828"/>
      <c r="E6" s="1828"/>
      <c r="F6" s="1828"/>
      <c r="G6" s="1828"/>
      <c r="H6" s="1828"/>
      <c r="I6" s="365"/>
      <c r="J6" s="365"/>
      <c r="K6" s="365"/>
    </row>
    <row r="7" spans="1:11">
      <c r="A7" s="1828"/>
      <c r="B7" s="1828"/>
      <c r="C7" s="1828"/>
      <c r="D7" s="1828"/>
      <c r="E7" s="1828"/>
      <c r="F7" s="1828"/>
      <c r="G7" s="1828"/>
      <c r="H7" s="1828"/>
    </row>
    <row r="8" spans="1:11" ht="12.75" customHeight="1">
      <c r="A8" s="1829" t="s">
        <v>323</v>
      </c>
      <c r="B8" s="1829"/>
      <c r="C8" s="1829"/>
      <c r="D8" s="1829"/>
      <c r="E8" s="1829"/>
      <c r="F8" s="1829"/>
      <c r="G8" s="1829"/>
      <c r="H8" s="1829"/>
    </row>
    <row r="10" spans="1:11" ht="19.5" customHeight="1" thickBot="1">
      <c r="A10" s="1250" t="s">
        <v>526</v>
      </c>
      <c r="B10" s="132" t="s">
        <v>245</v>
      </c>
    </row>
    <row r="11" spans="1:11" ht="19.5" customHeight="1" thickBot="1">
      <c r="A11" s="200"/>
      <c r="B11" s="132"/>
    </row>
    <row r="12" spans="1:11" ht="13.15" thickTop="1">
      <c r="A12" s="1312"/>
      <c r="B12" s="1313"/>
      <c r="C12" s="1314"/>
      <c r="D12" s="1315" t="s">
        <v>238</v>
      </c>
      <c r="E12" s="1822" t="str">
        <f>'Budget-Assumptions'!G6</f>
        <v>2024-25</v>
      </c>
      <c r="F12" s="1823"/>
      <c r="G12" s="1824" t="str">
        <f>'Budget-Assumptions'!H6</f>
        <v>2025-26</v>
      </c>
      <c r="H12" s="1825"/>
      <c r="I12" s="1824" t="str">
        <f>'Budget-Assumptions'!J6</f>
        <v>2026-27</v>
      </c>
      <c r="J12" s="1825"/>
      <c r="K12" s="1316" t="s">
        <v>117</v>
      </c>
    </row>
    <row r="13" spans="1:11">
      <c r="A13" s="1317"/>
      <c r="C13" s="1318" t="s">
        <v>120</v>
      </c>
      <c r="D13" s="1319" t="s">
        <v>505</v>
      </c>
      <c r="E13" s="1826" t="s">
        <v>118</v>
      </c>
      <c r="F13" s="1827"/>
      <c r="G13" s="1826" t="s">
        <v>118</v>
      </c>
      <c r="H13" s="1827"/>
      <c r="I13" s="1826" t="s">
        <v>118</v>
      </c>
      <c r="J13" s="1827"/>
      <c r="K13" s="1320" t="s">
        <v>234</v>
      </c>
    </row>
    <row r="14" spans="1:11" ht="13.15" thickBot="1">
      <c r="A14" s="1317" t="s">
        <v>119</v>
      </c>
      <c r="C14" s="1321" t="s">
        <v>240</v>
      </c>
      <c r="D14" s="1322" t="s">
        <v>237</v>
      </c>
      <c r="E14" s="1323" t="s">
        <v>235</v>
      </c>
      <c r="F14" s="1324" t="s">
        <v>236</v>
      </c>
      <c r="G14" s="1323" t="s">
        <v>235</v>
      </c>
      <c r="H14" s="1324" t="s">
        <v>236</v>
      </c>
      <c r="I14" s="1323" t="s">
        <v>235</v>
      </c>
      <c r="J14" s="1324" t="s">
        <v>236</v>
      </c>
      <c r="K14" s="1325"/>
    </row>
    <row r="15" spans="1:11" ht="18" customHeight="1" thickBot="1">
      <c r="A15" s="170" t="s">
        <v>128</v>
      </c>
      <c r="B15" s="171"/>
      <c r="C15" s="198"/>
      <c r="D15" s="29"/>
      <c r="E15" s="206"/>
      <c r="F15" s="208"/>
      <c r="G15" s="206"/>
      <c r="H15" s="208"/>
      <c r="I15" s="206"/>
      <c r="J15" s="208"/>
      <c r="K15" s="209"/>
    </row>
    <row r="16" spans="1:11" ht="18" customHeight="1" thickBot="1">
      <c r="A16" s="170" t="s">
        <v>129</v>
      </c>
      <c r="B16" s="171"/>
      <c r="C16" s="198"/>
      <c r="D16" s="29"/>
      <c r="E16" s="206"/>
      <c r="F16" s="208"/>
      <c r="G16" s="206"/>
      <c r="H16" s="208"/>
      <c r="I16" s="206"/>
      <c r="J16" s="208"/>
      <c r="K16" s="209"/>
    </row>
    <row r="17" spans="1:12" ht="18" customHeight="1" thickBot="1">
      <c r="A17" s="170" t="s">
        <v>131</v>
      </c>
      <c r="B17" s="171"/>
      <c r="C17" s="198"/>
      <c r="D17" s="29"/>
      <c r="E17" s="206"/>
      <c r="F17" s="208"/>
      <c r="G17" s="206"/>
      <c r="H17" s="208"/>
      <c r="I17" s="206"/>
      <c r="J17" s="208"/>
      <c r="K17" s="209"/>
    </row>
    <row r="18" spans="1:12" ht="18" customHeight="1" thickBot="1">
      <c r="A18" s="170" t="s">
        <v>130</v>
      </c>
      <c r="B18" s="171"/>
      <c r="C18" s="198"/>
      <c r="D18" s="190"/>
      <c r="E18" s="207"/>
      <c r="F18" s="208"/>
      <c r="G18" s="207"/>
      <c r="H18" s="208"/>
      <c r="I18" s="207"/>
      <c r="J18" s="208"/>
      <c r="K18" s="209"/>
    </row>
    <row r="19" spans="1:12" ht="18" customHeight="1" thickBot="1">
      <c r="A19" s="170" t="s">
        <v>123</v>
      </c>
      <c r="B19" s="171"/>
      <c r="C19" s="198"/>
      <c r="D19" s="29"/>
      <c r="E19" s="206"/>
      <c r="F19" s="208"/>
      <c r="G19" s="206"/>
      <c r="H19" s="208"/>
      <c r="I19" s="206"/>
      <c r="J19" s="208"/>
      <c r="K19" s="209"/>
    </row>
    <row r="20" spans="1:12" ht="18" customHeight="1" thickBot="1">
      <c r="A20" s="170" t="s">
        <v>127</v>
      </c>
      <c r="B20" s="171"/>
      <c r="C20" s="198"/>
      <c r="D20" s="29"/>
      <c r="E20" s="206"/>
      <c r="F20" s="208"/>
      <c r="G20" s="206"/>
      <c r="H20" s="208"/>
      <c r="I20" s="206"/>
      <c r="J20" s="208"/>
      <c r="K20" s="209"/>
    </row>
    <row r="21" spans="1:12" ht="18" customHeight="1" thickBot="1">
      <c r="A21" s="172" t="s">
        <v>460</v>
      </c>
      <c r="B21" s="171"/>
      <c r="C21" s="198"/>
      <c r="D21" s="29"/>
      <c r="E21" s="206"/>
      <c r="F21" s="208"/>
      <c r="G21" s="206"/>
      <c r="H21" s="208"/>
      <c r="I21" s="206"/>
      <c r="J21" s="208"/>
      <c r="K21" s="209"/>
    </row>
    <row r="22" spans="1:12" ht="18" customHeight="1" thickBot="1">
      <c r="A22" s="172" t="s">
        <v>460</v>
      </c>
      <c r="B22" s="172"/>
      <c r="C22" s="198"/>
      <c r="D22" s="29"/>
      <c r="E22" s="206"/>
      <c r="F22" s="208"/>
      <c r="G22" s="206"/>
      <c r="H22" s="208"/>
      <c r="I22" s="206"/>
      <c r="J22" s="208"/>
      <c r="K22" s="209"/>
    </row>
    <row r="23" spans="1:12" ht="18" customHeight="1" thickBot="1">
      <c r="A23" s="172" t="s">
        <v>460</v>
      </c>
      <c r="B23" s="171"/>
      <c r="C23" s="198"/>
      <c r="D23" s="29"/>
      <c r="E23" s="206"/>
      <c r="F23" s="208"/>
      <c r="G23" s="206"/>
      <c r="H23" s="208"/>
      <c r="I23" s="206"/>
      <c r="J23" s="208"/>
      <c r="K23" s="209"/>
    </row>
    <row r="24" spans="1:12" ht="18" customHeight="1" thickBot="1">
      <c r="A24" s="172" t="s">
        <v>461</v>
      </c>
      <c r="B24" s="171"/>
      <c r="C24" s="198"/>
      <c r="D24" s="29"/>
      <c r="E24" s="206"/>
      <c r="F24" s="208"/>
      <c r="G24" s="206"/>
      <c r="H24" s="208"/>
      <c r="I24" s="206"/>
      <c r="J24" s="208"/>
      <c r="K24" s="209"/>
    </row>
    <row r="25" spans="1:12" ht="18" customHeight="1" thickBot="1">
      <c r="A25" s="172" t="s">
        <v>158</v>
      </c>
      <c r="B25" s="171"/>
      <c r="C25" s="198"/>
      <c r="D25" s="1336"/>
      <c r="E25" s="1337"/>
      <c r="F25" s="1338"/>
      <c r="G25" s="1337"/>
      <c r="H25" s="1338"/>
      <c r="I25" s="1337"/>
      <c r="J25" s="1338"/>
      <c r="K25" s="209"/>
    </row>
    <row r="26" spans="1:12" s="132" customFormat="1" ht="18" customHeight="1" thickBot="1">
      <c r="A26" s="1333"/>
      <c r="B26" s="1334" t="s">
        <v>0</v>
      </c>
      <c r="C26" s="1335"/>
      <c r="D26" s="1339">
        <f>SUM(D15:D25)</f>
        <v>0</v>
      </c>
      <c r="E26" s="1340">
        <f t="shared" ref="E26:J26" si="0">SUM(E15:E25)</f>
        <v>0</v>
      </c>
      <c r="F26" s="1341">
        <f t="shared" si="0"/>
        <v>0</v>
      </c>
      <c r="G26" s="1340">
        <f t="shared" si="0"/>
        <v>0</v>
      </c>
      <c r="H26" s="1341">
        <f t="shared" si="0"/>
        <v>0</v>
      </c>
      <c r="I26" s="1340">
        <f t="shared" si="0"/>
        <v>0</v>
      </c>
      <c r="J26" s="1341">
        <f t="shared" si="0"/>
        <v>0</v>
      </c>
      <c r="K26" s="1342"/>
      <c r="L26" s="1198"/>
    </row>
    <row r="27" spans="1:12" ht="9.75" customHeight="1">
      <c r="A27" s="1317"/>
      <c r="C27" s="173"/>
      <c r="D27" s="173"/>
      <c r="E27" s="173"/>
      <c r="F27" s="173"/>
      <c r="G27" s="173"/>
      <c r="H27" s="173"/>
      <c r="I27" s="173"/>
      <c r="J27" s="173"/>
      <c r="K27" s="1326"/>
    </row>
    <row r="28" spans="1:12" ht="18" customHeight="1" thickBot="1">
      <c r="A28" s="1327" t="s">
        <v>121</v>
      </c>
      <c r="B28" s="174"/>
      <c r="C28" s="1328"/>
      <c r="D28" s="1328"/>
      <c r="E28" s="1328"/>
      <c r="F28" s="1328"/>
      <c r="G28" s="1328"/>
      <c r="H28" s="1328"/>
      <c r="I28" s="1328"/>
      <c r="J28" s="1328"/>
      <c r="K28" s="1329"/>
    </row>
    <row r="29" spans="1:12" ht="18" customHeight="1" thickBot="1">
      <c r="A29" s="1816"/>
      <c r="B29" s="1817"/>
      <c r="C29" s="1817"/>
      <c r="D29" s="1817"/>
      <c r="E29" s="1817"/>
      <c r="F29" s="1817"/>
      <c r="G29" s="1817"/>
      <c r="H29" s="1817"/>
      <c r="I29" s="1817"/>
      <c r="J29" s="1817"/>
      <c r="K29" s="1818"/>
    </row>
    <row r="30" spans="1:12" ht="18" customHeight="1" thickBot="1">
      <c r="A30" s="1816"/>
      <c r="B30" s="1830"/>
      <c r="C30" s="1830"/>
      <c r="D30" s="1830"/>
      <c r="E30" s="1830"/>
      <c r="F30" s="1830"/>
      <c r="G30" s="1830"/>
      <c r="H30" s="1830"/>
      <c r="I30" s="1830"/>
      <c r="J30" s="1830"/>
      <c r="K30" s="1831"/>
    </row>
    <row r="31" spans="1:12" ht="18" customHeight="1" thickBot="1">
      <c r="A31" s="1816"/>
      <c r="B31" s="1817"/>
      <c r="C31" s="1817"/>
      <c r="D31" s="1817"/>
      <c r="E31" s="1817"/>
      <c r="F31" s="1817"/>
      <c r="G31" s="1817"/>
      <c r="H31" s="1817"/>
      <c r="I31" s="1817"/>
      <c r="J31" s="1817"/>
      <c r="K31" s="1818"/>
    </row>
    <row r="32" spans="1:12" ht="18" customHeight="1">
      <c r="A32" s="1330" t="s">
        <v>122</v>
      </c>
      <c r="B32" s="1331"/>
      <c r="C32" s="1331"/>
      <c r="D32" s="1331"/>
      <c r="E32" s="1331"/>
      <c r="F32" s="1331"/>
      <c r="G32" s="1331"/>
      <c r="H32" s="1331"/>
      <c r="I32" s="1331"/>
      <c r="J32" s="1331"/>
      <c r="K32" s="1332"/>
    </row>
    <row r="33" spans="1:11" ht="81" customHeight="1" thickBot="1">
      <c r="A33" s="1819"/>
      <c r="B33" s="1820"/>
      <c r="C33" s="1820"/>
      <c r="D33" s="1820"/>
      <c r="E33" s="1820"/>
      <c r="F33" s="1820"/>
      <c r="G33" s="1820"/>
      <c r="H33" s="1820"/>
      <c r="I33" s="1820"/>
      <c r="J33" s="1820"/>
      <c r="K33" s="1821"/>
    </row>
    <row r="34" spans="1:11" ht="13.15" thickTop="1"/>
  </sheetData>
  <sheetProtection algorithmName="SHA-512" hashValue="1d48/02fNMA6lVuD39XKpku+X6JcDFgGSfLClOQH/dzcLS3HdUL+7XB6IbxcfMhog0IDfa15/PkDow3skxZK/Q==" saltValue="zXnAOd509YpGUP/UcizPJg==" spinCount="100000" sheet="1" objects="1" scenarios="1"/>
  <mergeCells count="13">
    <mergeCell ref="A31:K31"/>
    <mergeCell ref="A33:K33"/>
    <mergeCell ref="A3:F3"/>
    <mergeCell ref="E12:F12"/>
    <mergeCell ref="G12:H12"/>
    <mergeCell ref="I12:J12"/>
    <mergeCell ref="E13:F13"/>
    <mergeCell ref="G13:H13"/>
    <mergeCell ref="I13:J13"/>
    <mergeCell ref="A5:H7"/>
    <mergeCell ref="A8:H8"/>
    <mergeCell ref="A29:K29"/>
    <mergeCell ref="A30:K30"/>
  </mergeCells>
  <conditionalFormatting sqref="A3">
    <cfRule type="containsText" dxfId="254"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6" tint="-0.249977111117893"/>
    <pageSetUpPr fitToPage="1"/>
  </sheetPr>
  <dimension ref="A1:AH76"/>
  <sheetViews>
    <sheetView showGridLines="0" view="pageBreakPreview" zoomScale="80" zoomScaleNormal="70" zoomScaleSheetLayoutView="80" workbookViewId="0">
      <pane xSplit="4" ySplit="6" topLeftCell="E7" activePane="bottomRight" state="frozen"/>
      <selection pane="topRight" activeCell="E1" sqref="E1"/>
      <selection pane="bottomLeft" activeCell="A7" sqref="A7"/>
      <selection pane="bottomRight" activeCell="E7" sqref="E7"/>
    </sheetView>
  </sheetViews>
  <sheetFormatPr defaultRowHeight="12.75"/>
  <cols>
    <col min="1" max="1" width="2.53125" customWidth="1"/>
    <col min="2" max="2" width="45.86328125" customWidth="1"/>
    <col min="3" max="3" width="14.6640625" customWidth="1"/>
    <col min="4" max="4" width="12.86328125" customWidth="1"/>
    <col min="5" max="5" width="13.1328125" style="173" customWidth="1"/>
    <col min="6" max="6" width="8.6640625" customWidth="1"/>
    <col min="7" max="7" width="13.1328125" style="173" customWidth="1"/>
    <col min="8" max="8" width="8.6640625" customWidth="1"/>
    <col min="9" max="9" width="13.1328125" style="173" customWidth="1"/>
    <col min="10" max="10" width="8.6640625" customWidth="1"/>
    <col min="11" max="11" width="13.1328125" style="173" customWidth="1"/>
    <col min="12" max="12" width="8.6640625" customWidth="1"/>
    <col min="13" max="13" width="13.1328125" style="173" customWidth="1"/>
    <col min="14" max="14" width="8.6640625" customWidth="1"/>
    <col min="15" max="15" width="13.1328125" style="173" customWidth="1"/>
    <col min="16" max="16" width="8.6640625" customWidth="1"/>
    <col min="17" max="17" width="13.1328125" style="173" customWidth="1"/>
    <col min="18" max="18" width="8.6640625" customWidth="1"/>
    <col min="19" max="19" width="13.46484375" style="173" customWidth="1"/>
    <col min="20" max="20" width="9.1328125" customWidth="1"/>
    <col min="21" max="21" width="13.46484375" style="173" customWidth="1"/>
    <col min="22" max="22" width="9.1328125" customWidth="1"/>
    <col min="23" max="23" width="13.46484375" style="173" customWidth="1"/>
    <col min="24" max="24" width="9.1328125" customWidth="1"/>
    <col min="25" max="25" width="13.46484375" style="173" customWidth="1"/>
    <col min="26" max="26" width="9.1328125" customWidth="1"/>
    <col min="27" max="27" width="13.46484375" style="173" customWidth="1"/>
    <col min="28" max="28" width="9.1328125" customWidth="1"/>
    <col min="29" max="29" width="15.53125" style="173" customWidth="1"/>
    <col min="30" max="30" width="17" style="173" customWidth="1"/>
    <col min="31" max="32" width="13.6640625" style="173" customWidth="1"/>
    <col min="33" max="33" width="70.53125" hidden="1" customWidth="1"/>
    <col min="34" max="34" width="49.1328125" customWidth="1"/>
  </cols>
  <sheetData>
    <row r="1" spans="1:33" ht="15.4" thickBot="1">
      <c r="A1" s="175"/>
      <c r="B1" s="175"/>
      <c r="C1" s="175"/>
      <c r="D1" s="175"/>
      <c r="E1" s="1003"/>
      <c r="F1" s="1841" t="str">
        <f>IF('BUDGET-CERTIFICATION'!$H$1="","CHARTER NAME: Enter Charter Name on BUDGET-CERTIFICATION Worksheet",(CONCATENATE("CHARTER NAME: ",'BUDGET-CERTIFICATION'!$H$1)))</f>
        <v>CHARTER NAME: Encor Jr./Sr. High School for the Performing and Visual Arts</v>
      </c>
      <c r="G1" s="1841"/>
      <c r="H1" s="1841"/>
      <c r="I1" s="1841"/>
      <c r="J1" s="1841"/>
      <c r="K1" s="1841"/>
      <c r="L1" s="1841"/>
      <c r="M1" s="1012"/>
      <c r="N1" s="177"/>
      <c r="O1" s="1013"/>
      <c r="P1" s="177"/>
      <c r="Q1" s="1003"/>
      <c r="R1" s="177"/>
      <c r="S1" s="1012"/>
      <c r="T1" s="1841" t="str">
        <f>IF('BUDGET-CERTIFICATION'!$H$1="","CHARTER NAME: Enter Charter Name on BUDGET-CERTIFICATION Worksheet",(CONCATENATE("CHARTER NAME: ",'BUDGET-CERTIFICATION'!$H$1)))</f>
        <v>CHARTER NAME: Encor Jr./Sr. High School for the Performing and Visual Arts</v>
      </c>
      <c r="U1" s="1841"/>
      <c r="V1" s="1841"/>
      <c r="W1" s="1841"/>
      <c r="X1" s="1841"/>
      <c r="Y1" s="1841"/>
      <c r="Z1" s="1841"/>
      <c r="AD1" s="1006"/>
      <c r="AE1" s="1006"/>
      <c r="AF1" s="1006"/>
      <c r="AG1" s="1177"/>
    </row>
    <row r="2" spans="1:33" ht="15">
      <c r="B2" s="182" t="s">
        <v>114</v>
      </c>
      <c r="C2" s="95">
        <v>45464</v>
      </c>
      <c r="D2" s="183"/>
      <c r="G2" s="1834" t="str">
        <f>""&amp;'Budget-ADA'!K7&amp;"  Budget Cash Flow"</f>
        <v>2024-25  Budget Cash Flow</v>
      </c>
      <c r="H2" s="1834"/>
      <c r="I2" s="1834"/>
      <c r="J2" s="1834"/>
      <c r="K2" s="1834"/>
      <c r="M2" s="1012"/>
      <c r="O2" s="1003"/>
      <c r="Q2" s="1006"/>
      <c r="U2" s="1003"/>
      <c r="W2" s="1012" t="str">
        <f>+G2</f>
        <v>2024-25  Budget Cash Flow</v>
      </c>
      <c r="Y2" s="1003"/>
      <c r="AA2" s="1012"/>
      <c r="AC2" s="1006"/>
      <c r="AD2" s="1006"/>
      <c r="AE2" s="1006"/>
      <c r="AF2" s="1006"/>
      <c r="AG2" s="1177"/>
    </row>
    <row r="3" spans="1:33" ht="15.4" thickBot="1">
      <c r="A3" s="1557" t="str">
        <f>Instructions!H1</f>
        <v>Form Revised (revision date here if revised)</v>
      </c>
      <c r="B3" s="181"/>
      <c r="C3" s="23"/>
      <c r="D3" s="23"/>
      <c r="E3" s="21"/>
      <c r="F3" s="25"/>
      <c r="G3" s="1006"/>
      <c r="H3" s="25"/>
      <c r="I3" s="1006"/>
      <c r="J3" s="25"/>
      <c r="K3" s="1006"/>
      <c r="L3" s="25"/>
      <c r="M3" s="1006"/>
      <c r="N3" s="25"/>
      <c r="O3" s="1006"/>
      <c r="P3" s="25"/>
      <c r="Q3" s="1006"/>
      <c r="R3" s="25"/>
      <c r="S3" s="1006"/>
      <c r="T3" s="25"/>
      <c r="U3" s="1006"/>
      <c r="V3" s="25"/>
      <c r="W3" s="1006"/>
      <c r="X3" s="25"/>
      <c r="Y3" s="1006"/>
      <c r="Z3" s="25"/>
      <c r="AA3" s="1006"/>
      <c r="AB3" s="25"/>
      <c r="AC3" s="1006"/>
      <c r="AD3" s="1006"/>
      <c r="AE3" s="1006"/>
      <c r="AF3" s="1006"/>
      <c r="AG3" s="1177"/>
    </row>
    <row r="4" spans="1:33" ht="15">
      <c r="A4" s="399"/>
      <c r="B4" s="71"/>
      <c r="C4" s="71"/>
      <c r="D4" s="520"/>
      <c r="E4" s="1004" t="s">
        <v>79</v>
      </c>
      <c r="F4" s="400" t="s">
        <v>80</v>
      </c>
      <c r="G4" s="1007" t="s">
        <v>81</v>
      </c>
      <c r="H4" s="400" t="s">
        <v>80</v>
      </c>
      <c r="I4" s="1007" t="s">
        <v>83</v>
      </c>
      <c r="J4" s="400" t="s">
        <v>80</v>
      </c>
      <c r="K4" s="1007" t="s">
        <v>84</v>
      </c>
      <c r="L4" s="400" t="s">
        <v>80</v>
      </c>
      <c r="M4" s="1007" t="s">
        <v>85</v>
      </c>
      <c r="N4" s="400" t="s">
        <v>80</v>
      </c>
      <c r="O4" s="1007" t="s">
        <v>86</v>
      </c>
      <c r="P4" s="400" t="s">
        <v>80</v>
      </c>
      <c r="Q4" s="1007" t="s">
        <v>87</v>
      </c>
      <c r="R4" s="987" t="s">
        <v>80</v>
      </c>
      <c r="S4" s="1007" t="s">
        <v>88</v>
      </c>
      <c r="T4" s="400" t="s">
        <v>80</v>
      </c>
      <c r="U4" s="1007" t="s">
        <v>89</v>
      </c>
      <c r="V4" s="400" t="s">
        <v>80</v>
      </c>
      <c r="W4" s="1007" t="s">
        <v>90</v>
      </c>
      <c r="X4" s="400" t="s">
        <v>80</v>
      </c>
      <c r="Y4" s="1007" t="s">
        <v>91</v>
      </c>
      <c r="Z4" s="400" t="s">
        <v>80</v>
      </c>
      <c r="AA4" s="1007" t="s">
        <v>92</v>
      </c>
      <c r="AB4" s="400" t="s">
        <v>80</v>
      </c>
      <c r="AC4" s="1007" t="s">
        <v>93</v>
      </c>
      <c r="AD4" s="1015"/>
      <c r="AE4" s="1015" t="s">
        <v>19</v>
      </c>
      <c r="AF4" s="1015"/>
      <c r="AG4" s="1177"/>
    </row>
    <row r="5" spans="1:33" ht="15.4" thickBot="1">
      <c r="A5" s="185"/>
      <c r="B5" s="23"/>
      <c r="C5" s="23"/>
      <c r="D5" s="521"/>
      <c r="E5" s="1005" t="s">
        <v>93</v>
      </c>
      <c r="F5" s="60" t="s">
        <v>94</v>
      </c>
      <c r="G5" s="1008" t="s">
        <v>93</v>
      </c>
      <c r="H5" s="60" t="s">
        <v>94</v>
      </c>
      <c r="I5" s="1008" t="s">
        <v>93</v>
      </c>
      <c r="J5" s="60" t="s">
        <v>94</v>
      </c>
      <c r="K5" s="1008" t="s">
        <v>93</v>
      </c>
      <c r="L5" s="60" t="s">
        <v>94</v>
      </c>
      <c r="M5" s="1008" t="s">
        <v>93</v>
      </c>
      <c r="N5" s="60" t="s">
        <v>94</v>
      </c>
      <c r="O5" s="1008" t="s">
        <v>93</v>
      </c>
      <c r="P5" s="60" t="s">
        <v>94</v>
      </c>
      <c r="Q5" s="1008" t="s">
        <v>93</v>
      </c>
      <c r="R5" s="988" t="s">
        <v>94</v>
      </c>
      <c r="S5" s="1008" t="s">
        <v>93</v>
      </c>
      <c r="T5" s="60" t="s">
        <v>94</v>
      </c>
      <c r="U5" s="1008" t="s">
        <v>93</v>
      </c>
      <c r="V5" s="60" t="s">
        <v>94</v>
      </c>
      <c r="W5" s="1008" t="s">
        <v>93</v>
      </c>
      <c r="X5" s="60" t="s">
        <v>94</v>
      </c>
      <c r="Y5" s="1008" t="s">
        <v>93</v>
      </c>
      <c r="Z5" s="60" t="s">
        <v>94</v>
      </c>
      <c r="AA5" s="1008" t="s">
        <v>93</v>
      </c>
      <c r="AB5" s="60" t="s">
        <v>94</v>
      </c>
      <c r="AC5" s="1008" t="s">
        <v>95</v>
      </c>
      <c r="AD5" s="1016" t="s">
        <v>0</v>
      </c>
      <c r="AE5" s="1016" t="s">
        <v>16</v>
      </c>
      <c r="AF5" s="1016" t="s">
        <v>96</v>
      </c>
      <c r="AG5" s="1177"/>
    </row>
    <row r="6" spans="1:33" ht="15.75" thickTop="1" thickBot="1">
      <c r="A6" s="188" t="s">
        <v>97</v>
      </c>
      <c r="B6" s="179"/>
      <c r="D6" s="522" t="str">
        <f>""&amp;'Budget-DEBT'!$D$12&amp;" Cash="</f>
        <v>July 1, Cash=</v>
      </c>
      <c r="E6" s="519">
        <v>1041021</v>
      </c>
      <c r="F6" s="61"/>
      <c r="G6" s="387">
        <f>+E66</f>
        <v>994712</v>
      </c>
      <c r="H6" s="61"/>
      <c r="I6" s="387">
        <f>+G66</f>
        <v>773142</v>
      </c>
      <c r="J6" s="61"/>
      <c r="K6" s="387">
        <f>+I66</f>
        <v>425797</v>
      </c>
      <c r="L6" s="61"/>
      <c r="M6" s="387">
        <f>+K66</f>
        <v>504538</v>
      </c>
      <c r="N6" s="61"/>
      <c r="O6" s="387">
        <f>+M66</f>
        <v>408254</v>
      </c>
      <c r="P6" s="61"/>
      <c r="Q6" s="387">
        <f>+O66</f>
        <v>333224</v>
      </c>
      <c r="R6" s="989"/>
      <c r="S6" s="387">
        <f>+Q66</f>
        <v>365614</v>
      </c>
      <c r="T6" s="61"/>
      <c r="U6" s="387">
        <f>+S66</f>
        <v>269330</v>
      </c>
      <c r="V6" s="61"/>
      <c r="W6" s="387">
        <f>+U66</f>
        <v>194753</v>
      </c>
      <c r="X6" s="61"/>
      <c r="Y6" s="387">
        <f>+W66</f>
        <v>225076</v>
      </c>
      <c r="Z6" s="61"/>
      <c r="AA6" s="387">
        <f>+Y66</f>
        <v>126725</v>
      </c>
      <c r="AB6" s="61"/>
      <c r="AC6" s="387">
        <f>+AA66</f>
        <v>82948</v>
      </c>
      <c r="AD6" s="57"/>
      <c r="AE6" s="57"/>
      <c r="AF6" s="57"/>
      <c r="AG6" s="1177"/>
    </row>
    <row r="7" spans="1:33" ht="15.4" thickTop="1">
      <c r="A7" s="401"/>
      <c r="B7" s="366"/>
      <c r="C7" s="64"/>
      <c r="D7" s="64"/>
      <c r="E7" s="1056"/>
      <c r="F7" s="62"/>
      <c r="G7" s="1009"/>
      <c r="H7" s="62"/>
      <c r="I7" s="1009"/>
      <c r="J7" s="62"/>
      <c r="K7" s="1009"/>
      <c r="L7" s="62"/>
      <c r="M7" s="1009"/>
      <c r="N7" s="62"/>
      <c r="O7" s="1009"/>
      <c r="P7" s="62"/>
      <c r="Q7" s="1009"/>
      <c r="R7" s="62"/>
      <c r="S7" s="1009"/>
      <c r="T7" s="62"/>
      <c r="U7" s="1009"/>
      <c r="V7" s="62"/>
      <c r="W7" s="1009"/>
      <c r="X7" s="62"/>
      <c r="Y7" s="1009"/>
      <c r="Z7" s="62"/>
      <c r="AA7" s="1009"/>
      <c r="AB7" s="62"/>
      <c r="AC7" s="1009"/>
      <c r="AD7" s="1009"/>
      <c r="AE7" s="1009"/>
      <c r="AF7" s="1021"/>
      <c r="AG7" s="1177"/>
    </row>
    <row r="8" spans="1:33" ht="15">
      <c r="A8" s="66" t="s">
        <v>98</v>
      </c>
      <c r="B8" s="515"/>
      <c r="C8" s="371"/>
      <c r="D8" s="371"/>
      <c r="E8" s="538"/>
      <c r="F8" s="164"/>
      <c r="G8" s="1010"/>
      <c r="H8" s="164"/>
      <c r="I8" s="1010"/>
      <c r="J8" s="164"/>
      <c r="K8" s="1010"/>
      <c r="L8" s="164"/>
      <c r="M8" s="1010"/>
      <c r="N8" s="164"/>
      <c r="O8" s="1010"/>
      <c r="P8" s="164"/>
      <c r="Q8" s="1010"/>
      <c r="R8" s="164"/>
      <c r="S8" s="1010"/>
      <c r="T8" s="164"/>
      <c r="U8" s="1010"/>
      <c r="V8" s="164"/>
      <c r="W8" s="1010"/>
      <c r="X8" s="164"/>
      <c r="Y8" s="1010"/>
      <c r="Z8" s="164"/>
      <c r="AA8" s="1010"/>
      <c r="AB8" s="164"/>
      <c r="AC8" s="1010"/>
      <c r="AD8" s="1010"/>
      <c r="AE8" s="1010"/>
      <c r="AF8" s="1018"/>
      <c r="AG8" s="1177"/>
    </row>
    <row r="9" spans="1:33" ht="15">
      <c r="A9" s="403" t="s">
        <v>303</v>
      </c>
      <c r="B9" s="139"/>
      <c r="C9" s="139"/>
      <c r="D9" s="374"/>
      <c r="E9" s="379"/>
      <c r="F9" s="384"/>
      <c r="G9" s="1011"/>
      <c r="H9" s="384"/>
      <c r="I9" s="1011"/>
      <c r="J9" s="384"/>
      <c r="K9" s="1011"/>
      <c r="L9" s="384"/>
      <c r="M9" s="1011"/>
      <c r="N9" s="384"/>
      <c r="O9" s="1011"/>
      <c r="P9" s="384"/>
      <c r="Q9" s="1011"/>
      <c r="R9" s="384"/>
      <c r="S9" s="1014"/>
      <c r="T9" s="384"/>
      <c r="U9" s="1011"/>
      <c r="V9" s="384"/>
      <c r="W9" s="1011"/>
      <c r="X9" s="384"/>
      <c r="Y9" s="1011"/>
      <c r="Z9" s="384"/>
      <c r="AA9" s="1011"/>
      <c r="AB9" s="384"/>
      <c r="AC9" s="1014"/>
      <c r="AD9" s="1014"/>
      <c r="AE9" s="1014"/>
      <c r="AF9" s="385"/>
      <c r="AG9" s="1177"/>
    </row>
    <row r="10" spans="1:33" ht="15">
      <c r="A10" s="403"/>
      <c r="B10" s="276" t="s">
        <v>152</v>
      </c>
      <c r="C10" s="275">
        <v>8011</v>
      </c>
      <c r="D10" s="374"/>
      <c r="E10" s="375">
        <v>0</v>
      </c>
      <c r="F10" s="337" t="str">
        <f>IF($AE10&lt;1," ",IF(E10&lt;1," ",(E10)/$AE10))</f>
        <v xml:space="preserve"> </v>
      </c>
      <c r="G10" s="388">
        <v>324161</v>
      </c>
      <c r="H10" s="337">
        <f>IF($AE10&lt;1," ",IF(G10&lt;1," ",(G10)/$AE10))</f>
        <v>6.9462798539005735E-2</v>
      </c>
      <c r="I10" s="388">
        <v>324161</v>
      </c>
      <c r="J10" s="337">
        <f>IF($AE10&lt;1," ",IF(I10&lt;1," ",(I10)/$AE10))</f>
        <v>6.9462798539005735E-2</v>
      </c>
      <c r="K10" s="388">
        <v>583489</v>
      </c>
      <c r="L10" s="337">
        <f>IF($AE10&lt;1," ",IF(K10&lt;1," ",(K10)/$AE10))</f>
        <v>0.12503286594231236</v>
      </c>
      <c r="M10" s="388">
        <v>583489</v>
      </c>
      <c r="N10" s="524">
        <f>IF($AE10&lt;1," ",IF(M10&lt;1," ",(M10)/$AE10))</f>
        <v>0.12503286594231236</v>
      </c>
      <c r="O10" s="388">
        <v>583489</v>
      </c>
      <c r="P10" s="337">
        <f>IF($AE10&lt;1," ",IF(O10&lt;1," ",(O10)/$AE10))</f>
        <v>0.12503286594231236</v>
      </c>
      <c r="Q10" s="388">
        <v>583489</v>
      </c>
      <c r="R10" s="524">
        <f>IF($AE10&lt;1," ",IF(Q10&lt;1," ",(Q10)/$AE10))</f>
        <v>0.12503286594231236</v>
      </c>
      <c r="S10" s="376">
        <v>583489</v>
      </c>
      <c r="T10" s="337">
        <f>IF($AE10&lt;1," ",IF(S10&lt;1," ",(S10)/$AE10))</f>
        <v>0.12503286594231236</v>
      </c>
      <c r="U10" s="388">
        <v>583489</v>
      </c>
      <c r="V10" s="337">
        <f>IF($AE10&lt;1," ",IF(U10&lt;1," ",(U10)/$AE10))</f>
        <v>0.12503286594231236</v>
      </c>
      <c r="W10" s="388">
        <v>583489</v>
      </c>
      <c r="X10" s="337">
        <f>IF($AE10&lt;1," ",IF(W10&lt;1," ",(W10)/$AE10))</f>
        <v>0.12503286594231236</v>
      </c>
      <c r="Y10" s="388">
        <v>583489</v>
      </c>
      <c r="Z10" s="337">
        <f>IF($AE10&lt;1," ",IF(Y10&lt;1," ",(Y10)/$AE10))</f>
        <v>0.12503286594231236</v>
      </c>
      <c r="AA10" s="388">
        <v>583489</v>
      </c>
      <c r="AB10" s="337">
        <f>IF($AE10&lt;1," ",IF(AA10&lt;1," ",(AA10)/$AE10))</f>
        <v>0.12503286594231236</v>
      </c>
      <c r="AC10" s="1534">
        <f>AE10-(E10+G10+I10+K10+M10+O10+Q10+S10+U10+W10+Y10+AA10)</f>
        <v>-1233038</v>
      </c>
      <c r="AD10" s="377">
        <f>+E10+G10+I10+K10+M10+O10+Q10+S10+U10+W10+Y10+AA10+AC10</f>
        <v>4666685</v>
      </c>
      <c r="AE10" s="377">
        <f>'Budget-Summary MYP'!F13</f>
        <v>4666685</v>
      </c>
      <c r="AF10" s="377">
        <f>+AE10-AD10</f>
        <v>0</v>
      </c>
      <c r="AG10" s="1177"/>
    </row>
    <row r="11" spans="1:33" ht="15">
      <c r="A11" s="403"/>
      <c r="B11" s="276" t="s">
        <v>153</v>
      </c>
      <c r="C11" s="275">
        <v>8012</v>
      </c>
      <c r="D11" s="374"/>
      <c r="E11" s="375">
        <v>0</v>
      </c>
      <c r="F11" s="337" t="str">
        <f>IF($AE11&lt;1," ",IF(E11&lt;1," ",(E11)/$AE11))</f>
        <v xml:space="preserve"> </v>
      </c>
      <c r="G11" s="388">
        <v>0</v>
      </c>
      <c r="H11" s="337" t="str">
        <f>IF($AE11&lt;1," ",IF(G11&lt;1," ",(G11)/$AE11))</f>
        <v xml:space="preserve"> </v>
      </c>
      <c r="I11" s="388">
        <v>0</v>
      </c>
      <c r="J11" s="337" t="str">
        <f>IF($AE11&lt;1," ",IF(I11&lt;1," ",(I11)/$AE11))</f>
        <v xml:space="preserve"> </v>
      </c>
      <c r="K11" s="388">
        <v>25025</v>
      </c>
      <c r="L11" s="337">
        <f>IF($AE11&lt;1," ",IF(K11&lt;1," ",(K11)/$AE11))</f>
        <v>1.3056778333208983E-2</v>
      </c>
      <c r="M11" s="388">
        <v>0</v>
      </c>
      <c r="N11" s="524" t="str">
        <f>IF($AE11&lt;1," ",IF(M11&lt;1," ",(M11)/$AE11))</f>
        <v xml:space="preserve"> </v>
      </c>
      <c r="O11" s="388">
        <v>0</v>
      </c>
      <c r="P11" s="337" t="str">
        <f>IF($AE11&lt;1," ",IF(O11&lt;1," ",(O11)/$AE11))</f>
        <v xml:space="preserve"> </v>
      </c>
      <c r="Q11" s="388">
        <v>25025</v>
      </c>
      <c r="R11" s="524">
        <f>IF($AE11&lt;1," ",IF(Q11&lt;1," ",(Q11)/$AE11))</f>
        <v>1.3056778333208983E-2</v>
      </c>
      <c r="S11" s="376">
        <v>0</v>
      </c>
      <c r="T11" s="337" t="str">
        <f>IF($AE11&lt;1," ",IF(S11&lt;1," ",(S11)/$AE11))</f>
        <v xml:space="preserve"> </v>
      </c>
      <c r="U11" s="388">
        <v>0</v>
      </c>
      <c r="V11" s="337" t="str">
        <f>IF($AE11&lt;1," ",IF(U11&lt;1," ",(U11)/$AE11))</f>
        <v xml:space="preserve"> </v>
      </c>
      <c r="W11" s="388">
        <v>25025</v>
      </c>
      <c r="X11" s="337">
        <f>IF($AE11&lt;1," ",IF(W11&lt;1," ",(W11)/$AE11))</f>
        <v>1.3056778333208983E-2</v>
      </c>
      <c r="Y11" s="388">
        <v>0</v>
      </c>
      <c r="Z11" s="337" t="str">
        <f>IF($AE11&lt;1," ",IF(Y11&lt;1," ",(Y11)/$AE11))</f>
        <v xml:space="preserve"> </v>
      </c>
      <c r="AA11" s="388">
        <v>0</v>
      </c>
      <c r="AB11" s="337" t="str">
        <f>IF($AE11&lt;1," ",IF(AA11&lt;1," ",(AA11)/$AE11))</f>
        <v xml:space="preserve"> </v>
      </c>
      <c r="AC11" s="1534">
        <f t="shared" ref="AC11:AC22" si="0">AE11-(E11+G11+I11+K11+M11+O11+Q11+S11+U11+W11+Y11+AA11)</f>
        <v>1841554</v>
      </c>
      <c r="AD11" s="377">
        <f>+E11+G11+I11+K11+M11+O11+Q11+S11+U11+W11+Y11+AA11+AC11</f>
        <v>1916629</v>
      </c>
      <c r="AE11" s="377">
        <f>'Budget-Summary MYP'!F14</f>
        <v>1916629</v>
      </c>
      <c r="AF11" s="377">
        <f>+AE11-AD11</f>
        <v>0</v>
      </c>
      <c r="AG11" s="1177"/>
    </row>
    <row r="12" spans="1:33" ht="15">
      <c r="A12" s="403"/>
      <c r="B12" s="276" t="s">
        <v>301</v>
      </c>
      <c r="C12" s="275">
        <v>8019</v>
      </c>
      <c r="D12" s="343"/>
      <c r="E12" s="375">
        <v>0</v>
      </c>
      <c r="F12" s="337" t="str">
        <f>IF($AE12&lt;1," ",IF(E12&lt;1," ",(E12)/$AE12))</f>
        <v xml:space="preserve"> </v>
      </c>
      <c r="G12" s="388">
        <v>0</v>
      </c>
      <c r="H12" s="337" t="str">
        <f>IF($AE12&lt;1," ",IF(G12&lt;1," ",(G12)/$AE12))</f>
        <v xml:space="preserve"> </v>
      </c>
      <c r="I12" s="388">
        <v>0</v>
      </c>
      <c r="J12" s="337" t="str">
        <f>IF($AE12&lt;1," ",IF(I12&lt;1," ",(I12)/$AE12))</f>
        <v xml:space="preserve"> </v>
      </c>
      <c r="K12" s="388">
        <v>0</v>
      </c>
      <c r="L12" s="337" t="str">
        <f>IF($AE12&lt;1," ",IF(K12&lt;1," ",(K12)/$AE12))</f>
        <v xml:space="preserve"> </v>
      </c>
      <c r="M12" s="388">
        <v>0</v>
      </c>
      <c r="N12" s="524" t="str">
        <f>IF($AE12&lt;1," ",IF(M12&lt;1," ",(M12)/$AE12))</f>
        <v xml:space="preserve"> </v>
      </c>
      <c r="O12" s="388">
        <v>0</v>
      </c>
      <c r="P12" s="337" t="str">
        <f>IF($AE12&lt;1," ",IF(O12&lt;1," ",(O12)/$AE12))</f>
        <v xml:space="preserve"> </v>
      </c>
      <c r="Q12" s="388">
        <v>0</v>
      </c>
      <c r="R12" s="524" t="str">
        <f>IF($AE12&lt;1," ",IF(Q12&lt;1," ",(Q12)/$AE12))</f>
        <v xml:space="preserve"> </v>
      </c>
      <c r="S12" s="376">
        <v>0</v>
      </c>
      <c r="T12" s="337" t="str">
        <f>IF($AE12&lt;1," ",IF(S12&lt;1," ",(S12)/$AE12))</f>
        <v xml:space="preserve"> </v>
      </c>
      <c r="U12" s="388">
        <v>0</v>
      </c>
      <c r="V12" s="337" t="str">
        <f>IF($AE12&lt;1," ",IF(U12&lt;1," ",(U12)/$AE12))</f>
        <v xml:space="preserve"> </v>
      </c>
      <c r="W12" s="388">
        <v>0</v>
      </c>
      <c r="X12" s="337" t="str">
        <f>IF($AE12&lt;1," ",IF(W12&lt;1," ",(W12)/$AE12))</f>
        <v xml:space="preserve"> </v>
      </c>
      <c r="Y12" s="388">
        <v>0</v>
      </c>
      <c r="Z12" s="337" t="str">
        <f>IF($AE12&lt;1," ",IF(Y12&lt;1," ",(Y12)/$AE12))</f>
        <v xml:space="preserve"> </v>
      </c>
      <c r="AA12" s="388">
        <v>0</v>
      </c>
      <c r="AB12" s="337" t="str">
        <f>IF($AE12&lt;1," ",IF(AA12&lt;1," ",(AA12)/$AE12))</f>
        <v xml:space="preserve"> </v>
      </c>
      <c r="AC12" s="1534">
        <f t="shared" si="0"/>
        <v>0</v>
      </c>
      <c r="AD12" s="377">
        <f>+E12+G12+I12+K12+M12+O12+Q12+S12+U12+W12+Y12+AA12+AC12</f>
        <v>0</v>
      </c>
      <c r="AE12" s="378">
        <f>'Budget-Summary MYP'!F15</f>
        <v>0</v>
      </c>
      <c r="AF12" s="377">
        <f>+AE12-AD12</f>
        <v>0</v>
      </c>
      <c r="AG12" s="1177"/>
    </row>
    <row r="13" spans="1:33" ht="15">
      <c r="A13" s="403"/>
      <c r="B13" s="276" t="s">
        <v>302</v>
      </c>
      <c r="C13" s="275">
        <v>8096</v>
      </c>
      <c r="D13" s="343"/>
      <c r="E13" s="375">
        <v>0</v>
      </c>
      <c r="F13" s="337" t="str">
        <f>IF($AE13&lt;1," ",IF(E13&lt;1," ",(E13)/$AE13))</f>
        <v xml:space="preserve"> </v>
      </c>
      <c r="G13" s="388">
        <v>12401</v>
      </c>
      <c r="H13" s="337">
        <f>IF($AE13&lt;1," ",IF(G13&lt;1," ",(G13)/$AE13))</f>
        <v>5.9999225878869397E-2</v>
      </c>
      <c r="I13" s="388">
        <v>24802</v>
      </c>
      <c r="J13" s="337">
        <f>IF($AE13&lt;1," ",IF(I13&lt;1," ",(I13)/$AE13))</f>
        <v>0.11999845175773879</v>
      </c>
      <c r="K13" s="388">
        <v>16535</v>
      </c>
      <c r="L13" s="337">
        <f>IF($AE13&lt;1," ",IF(K13&lt;1," ",(K13)/$AE13))</f>
        <v>8.0000580590847956E-2</v>
      </c>
      <c r="M13" s="388">
        <v>16535</v>
      </c>
      <c r="N13" s="524">
        <f>IF($AE13&lt;1," ",IF(M13&lt;1," ",(M13)/$AE13))</f>
        <v>8.0000580590847956E-2</v>
      </c>
      <c r="O13" s="388">
        <v>16535</v>
      </c>
      <c r="P13" s="337">
        <f>IF($AE13&lt;1," ",IF(O13&lt;1," ",(O13)/$AE13))</f>
        <v>8.0000580590847956E-2</v>
      </c>
      <c r="Q13" s="388">
        <v>16535</v>
      </c>
      <c r="R13" s="524">
        <f>IF($AE13&lt;1," ",IF(Q13&lt;1," ",(Q13)/$AE13))</f>
        <v>8.0000580590847956E-2</v>
      </c>
      <c r="S13" s="376">
        <v>16535</v>
      </c>
      <c r="T13" s="337">
        <f>IF($AE13&lt;1," ",IF(S13&lt;1," ",(S13)/$AE13))</f>
        <v>8.0000580590847956E-2</v>
      </c>
      <c r="U13" s="388">
        <v>14468</v>
      </c>
      <c r="V13" s="337">
        <f>IF($AE13&lt;1," ",IF(U13&lt;1," ",(U13)/$AE13))</f>
        <v>6.9999903234858676E-2</v>
      </c>
      <c r="W13" s="388">
        <v>14468</v>
      </c>
      <c r="X13" s="337">
        <f>IF($AE13&lt;1," ",IF(W13&lt;1," ",(W13)/$AE13))</f>
        <v>6.9999903234858676E-2</v>
      </c>
      <c r="Y13" s="388">
        <v>14468</v>
      </c>
      <c r="Z13" s="337">
        <f>IF($AE13&lt;1," ",IF(Y13&lt;1," ",(Y13)/$AE13))</f>
        <v>6.9999903234858676E-2</v>
      </c>
      <c r="AA13" s="388">
        <v>14468</v>
      </c>
      <c r="AB13" s="337">
        <f>IF($AE13&lt;1," ",IF(AA13&lt;1," ",(AA13)/$AE13))</f>
        <v>6.9999903234858676E-2</v>
      </c>
      <c r="AC13" s="1534">
        <f t="shared" si="0"/>
        <v>28936</v>
      </c>
      <c r="AD13" s="377">
        <f>+E13+G13+I13+K13+M13+O13+Q13+S13+U13+W13+Y13+AA13+AC13</f>
        <v>206686</v>
      </c>
      <c r="AE13" s="377">
        <f>'Budget-Summary MYP'!F16</f>
        <v>206686</v>
      </c>
      <c r="AF13" s="377">
        <f>+AE13-AD13</f>
        <v>0</v>
      </c>
      <c r="AG13" s="1177"/>
    </row>
    <row r="14" spans="1:33" ht="15">
      <c r="A14" s="402" t="s">
        <v>304</v>
      </c>
      <c r="B14" s="274"/>
      <c r="C14" s="275" t="s">
        <v>99</v>
      </c>
      <c r="D14" s="374"/>
      <c r="E14" s="375">
        <v>0</v>
      </c>
      <c r="F14" s="337" t="str">
        <f>IF($AE14&lt;1," ",IF(E14&lt;1," ",(E14)/$AE14))</f>
        <v xml:space="preserve"> </v>
      </c>
      <c r="G14" s="388">
        <v>0</v>
      </c>
      <c r="H14" s="337" t="str">
        <f>IF($AE14&lt;1," ",IF(G14&lt;1," ",(G14)/$AE14))</f>
        <v xml:space="preserve"> </v>
      </c>
      <c r="I14" s="388">
        <v>16186</v>
      </c>
      <c r="J14" s="337">
        <f>IF($AE14&lt;1," ",IF(I14&lt;1," ",(I14)/$AE14))</f>
        <v>3.0293771254570608E-2</v>
      </c>
      <c r="K14" s="388">
        <v>16186</v>
      </c>
      <c r="L14" s="337">
        <f>IF($AE14&lt;1," ",IF(K14&lt;1," ",(K14)/$AE14))</f>
        <v>3.0293771254570608E-2</v>
      </c>
      <c r="M14" s="388">
        <v>16186</v>
      </c>
      <c r="N14" s="524">
        <f>IF($AE14&lt;1," ",IF(M14&lt;1," ",(M14)/$AE14))</f>
        <v>3.0293771254570608E-2</v>
      </c>
      <c r="O14" s="388">
        <v>16186</v>
      </c>
      <c r="P14" s="337">
        <f>IF($AE14&lt;1," ",IF(O14&lt;1," ",(O14)/$AE14))</f>
        <v>3.0293771254570608E-2</v>
      </c>
      <c r="Q14" s="388">
        <v>87294</v>
      </c>
      <c r="R14" s="524">
        <f>IF($AE14&lt;1," ",IF(Q14&lt;1," ",(Q14)/$AE14))</f>
        <v>0.16337973976871906</v>
      </c>
      <c r="S14" s="376">
        <v>16186</v>
      </c>
      <c r="T14" s="337">
        <f>IF($AE14&lt;1," ",IF(S14&lt;1," ",(S14)/$AE14))</f>
        <v>3.0293771254570608E-2</v>
      </c>
      <c r="U14" s="388">
        <v>39960</v>
      </c>
      <c r="V14" s="337">
        <f>IF($AE14&lt;1," ",IF(U14&lt;1," ",(U14)/$AE14))</f>
        <v>7.4789268462414529E-2</v>
      </c>
      <c r="W14" s="388">
        <v>87294</v>
      </c>
      <c r="X14" s="337">
        <f>IF($AE14&lt;1," ",IF(W14&lt;1," ",(W14)/$AE14))</f>
        <v>0.16337973976871906</v>
      </c>
      <c r="Y14" s="388">
        <v>16186</v>
      </c>
      <c r="Z14" s="337">
        <f>IF($AE14&lt;1," ",IF(Y14&lt;1," ",(Y14)/$AE14))</f>
        <v>3.0293771254570608E-2</v>
      </c>
      <c r="AA14" s="388">
        <v>70710</v>
      </c>
      <c r="AB14" s="337">
        <f>IF($AE14&lt;1," ",IF(AA14&lt;1," ",(AA14)/$AE14))</f>
        <v>0.13234107039482809</v>
      </c>
      <c r="AC14" s="1534">
        <f t="shared" si="0"/>
        <v>151927.255</v>
      </c>
      <c r="AD14" s="377">
        <f>+E14+G14+I14+K14+M14+O14+Q14+S14+U14+W14+Y14+AA14+AC14</f>
        <v>534301.255</v>
      </c>
      <c r="AE14" s="377">
        <f>'Budget-Summary MYP'!F17</f>
        <v>534301.255</v>
      </c>
      <c r="AF14" s="377">
        <f t="shared" ref="AF14:AF22" si="1">+AE14-AD14</f>
        <v>0</v>
      </c>
      <c r="AG14" s="1177"/>
    </row>
    <row r="15" spans="1:33" ht="15">
      <c r="A15" s="403" t="s">
        <v>305</v>
      </c>
      <c r="B15" s="139"/>
      <c r="C15" s="139"/>
      <c r="D15" s="374"/>
      <c r="E15" s="379"/>
      <c r="F15" s="337"/>
      <c r="G15" s="505"/>
      <c r="H15" s="337"/>
      <c r="I15" s="505"/>
      <c r="J15" s="337"/>
      <c r="K15" s="505"/>
      <c r="L15" s="337"/>
      <c r="M15" s="505"/>
      <c r="N15" s="337"/>
      <c r="O15" s="505"/>
      <c r="P15" s="337"/>
      <c r="Q15" s="505"/>
      <c r="R15" s="337"/>
      <c r="S15" s="505"/>
      <c r="T15" s="337"/>
      <c r="U15" s="505"/>
      <c r="V15" s="337"/>
      <c r="W15" s="505"/>
      <c r="X15" s="337"/>
      <c r="Y15" s="505"/>
      <c r="Z15" s="337"/>
      <c r="AA15" s="505"/>
      <c r="AB15" s="337"/>
      <c r="AC15" s="1535"/>
      <c r="AD15" s="377"/>
      <c r="AE15" s="377"/>
      <c r="AF15" s="377"/>
      <c r="AG15" s="1177"/>
    </row>
    <row r="16" spans="1:33" ht="15">
      <c r="A16" s="403"/>
      <c r="B16" s="139" t="s">
        <v>306</v>
      </c>
      <c r="C16" s="275">
        <v>8560</v>
      </c>
      <c r="D16" s="374"/>
      <c r="E16" s="375">
        <v>0</v>
      </c>
      <c r="F16" s="337" t="str">
        <f>IF($AE16&lt;1," ",IF(E16&lt;1," ",(E16)/$AE16))</f>
        <v xml:space="preserve"> </v>
      </c>
      <c r="G16" s="388">
        <v>0</v>
      </c>
      <c r="H16" s="337" t="str">
        <f>IF($AE16&lt;1," ",IF(G16&lt;1," ",(G16)/$AE16))</f>
        <v xml:space="preserve"> </v>
      </c>
      <c r="I16" s="388">
        <v>0</v>
      </c>
      <c r="J16" s="337" t="str">
        <f>IF($AE16&lt;1," ",IF(I16&lt;1," ",(I16)/$AE16))</f>
        <v xml:space="preserve"> </v>
      </c>
      <c r="K16" s="388">
        <v>0</v>
      </c>
      <c r="L16" s="337" t="str">
        <f>IF($AE16&lt;1," ",IF(K16&lt;1," ",(K16)/$AE16))</f>
        <v xml:space="preserve"> </v>
      </c>
      <c r="M16" s="388">
        <v>0</v>
      </c>
      <c r="N16" s="524" t="str">
        <f>IF($AE16&lt;1," ",IF(M16&lt;1," ",(M16)/$AE16))</f>
        <v xml:space="preserve"> </v>
      </c>
      <c r="O16" s="388">
        <v>0</v>
      </c>
      <c r="P16" s="337" t="str">
        <f>IF($AE16&lt;1," ",IF(O16&lt;1," ",(O16)/$AE16))</f>
        <v xml:space="preserve"> </v>
      </c>
      <c r="Q16" s="388">
        <v>23132</v>
      </c>
      <c r="R16" s="524">
        <f>IF($AE16&lt;1," ",IF(Q16&lt;1," ",(Q16)/$AE16))</f>
        <v>0.25000231091644159</v>
      </c>
      <c r="S16" s="376">
        <v>0</v>
      </c>
      <c r="T16" s="337" t="str">
        <f>IF($AE16&lt;1," ",IF(S16&lt;1," ",(S16)/$AE16))</f>
        <v xml:space="preserve"> </v>
      </c>
      <c r="U16" s="388">
        <v>0</v>
      </c>
      <c r="V16" s="337" t="str">
        <f>IF($AE16&lt;1," ",IF(U16&lt;1," ",(U16)/$AE16))</f>
        <v xml:space="preserve"> </v>
      </c>
      <c r="W16" s="388">
        <v>23132</v>
      </c>
      <c r="X16" s="337">
        <f>IF($AE16&lt;1," ",IF(W16&lt;1," ",(W16)/$AE16))</f>
        <v>0.25000231091644159</v>
      </c>
      <c r="Y16" s="388">
        <v>0</v>
      </c>
      <c r="Z16" s="337" t="str">
        <f>IF($AE16&lt;1," ",IF(Y16&lt;1," ",(Y16)/$AE16))</f>
        <v xml:space="preserve"> </v>
      </c>
      <c r="AA16" s="388">
        <v>0</v>
      </c>
      <c r="AB16" s="337" t="str">
        <f>IF($AE16&lt;1," ",IF(AA16&lt;1," ",(AA16)/$AE16))</f>
        <v xml:space="preserve"> </v>
      </c>
      <c r="AC16" s="1534">
        <f t="shared" si="0"/>
        <v>46263.144709999993</v>
      </c>
      <c r="AD16" s="377">
        <f>+E16+G16+I16+K16+M16+O16+Q16+S16+U16+W16+Y16+AA16+AC16</f>
        <v>92527.144709999993</v>
      </c>
      <c r="AE16" s="377">
        <f>'Budget-Summary MYP'!F19</f>
        <v>92527.144709999993</v>
      </c>
      <c r="AF16" s="377">
        <f t="shared" si="1"/>
        <v>0</v>
      </c>
      <c r="AG16" s="1177"/>
    </row>
    <row r="17" spans="1:33" ht="15">
      <c r="A17" s="403"/>
      <c r="B17" s="139" t="s">
        <v>307</v>
      </c>
      <c r="C17" s="275">
        <v>8560</v>
      </c>
      <c r="D17" s="374"/>
      <c r="E17" s="375">
        <v>0</v>
      </c>
      <c r="F17" s="337" t="str">
        <f>IF($AE17&lt;1," ",IF(E17&lt;1," ",(E17)/$AE17))</f>
        <v xml:space="preserve"> </v>
      </c>
      <c r="G17" s="388">
        <v>0</v>
      </c>
      <c r="H17" s="337" t="str">
        <f>IF($AE17&lt;1," ",IF(G17&lt;1," ",(G17)/$AE17))</f>
        <v xml:space="preserve"> </v>
      </c>
      <c r="I17" s="388">
        <v>0</v>
      </c>
      <c r="J17" s="337" t="str">
        <f>IF($AE17&lt;1," ",IF(I17&lt;1," ",(I17)/$AE17))</f>
        <v xml:space="preserve"> </v>
      </c>
      <c r="K17" s="388">
        <v>0</v>
      </c>
      <c r="L17" s="337" t="str">
        <f>IF($AE17&lt;1," ",IF(K17&lt;1," ",(K17)/$AE17))</f>
        <v xml:space="preserve"> </v>
      </c>
      <c r="M17" s="388">
        <v>0</v>
      </c>
      <c r="N17" s="524" t="str">
        <f>IF($AE17&lt;1," ",IF(M17&lt;1," ",(M17)/$AE17))</f>
        <v xml:space="preserve"> </v>
      </c>
      <c r="O17" s="388">
        <v>0</v>
      </c>
      <c r="P17" s="337" t="str">
        <f>IF($AE17&lt;1," ",IF(O17&lt;1," ",(O17)/$AE17))</f>
        <v xml:space="preserve"> </v>
      </c>
      <c r="Q17" s="388">
        <v>9410</v>
      </c>
      <c r="R17" s="524">
        <f>IF($AE17&lt;1," ",IF(Q17&lt;1," ",(Q17)/$AE17))</f>
        <v>0.25001221791907891</v>
      </c>
      <c r="S17" s="376">
        <v>0</v>
      </c>
      <c r="T17" s="337" t="str">
        <f>IF($AE17&lt;1," ",IF(S17&lt;1," ",(S17)/$AE17))</f>
        <v xml:space="preserve"> </v>
      </c>
      <c r="U17" s="388">
        <v>0</v>
      </c>
      <c r="V17" s="337" t="str">
        <f>IF($AE17&lt;1," ",IF(U17&lt;1," ",(U17)/$AE17))</f>
        <v xml:space="preserve"> </v>
      </c>
      <c r="W17" s="388">
        <v>9410</v>
      </c>
      <c r="X17" s="337">
        <f>IF($AE17&lt;1," ",IF(W17&lt;1," ",(W17)/$AE17))</f>
        <v>0.25001221791907891</v>
      </c>
      <c r="Y17" s="388">
        <v>0</v>
      </c>
      <c r="Z17" s="337" t="str">
        <f>IF($AE17&lt;1," ",IF(Y17&lt;1," ",(Y17)/$AE17))</f>
        <v xml:space="preserve"> </v>
      </c>
      <c r="AA17" s="388">
        <v>0</v>
      </c>
      <c r="AB17" s="337" t="str">
        <f>IF($AE17&lt;1," ",IF(AA17&lt;1," ",(AA17)/$AE17))</f>
        <v xml:space="preserve"> </v>
      </c>
      <c r="AC17" s="1534">
        <f t="shared" si="0"/>
        <v>18818.160559999997</v>
      </c>
      <c r="AD17" s="377">
        <f>+E17+G17+I17+K17+M17+O17+Q17+S17+U17+W17+Y17+AA17+AC17</f>
        <v>37638.160559999997</v>
      </c>
      <c r="AE17" s="377">
        <f>'Budget-Summary MYP'!F20</f>
        <v>37638.160559999997</v>
      </c>
      <c r="AF17" s="377">
        <f>+AE17-AD17</f>
        <v>0</v>
      </c>
      <c r="AG17" s="1177"/>
    </row>
    <row r="18" spans="1:33" ht="15">
      <c r="A18" s="403"/>
      <c r="B18" s="139" t="s">
        <v>308</v>
      </c>
      <c r="C18" s="275" t="s">
        <v>100</v>
      </c>
      <c r="D18" s="374"/>
      <c r="E18" s="375">
        <v>22207</v>
      </c>
      <c r="F18" s="337">
        <f>IF($AE18&lt;1," ",IF(E18&lt;1," ",(E18)/$AE18))</f>
        <v>1.4659382414022098E-2</v>
      </c>
      <c r="G18" s="388">
        <v>22207</v>
      </c>
      <c r="H18" s="337">
        <f>IF($AE18&lt;1," ",IF(G18&lt;1," ",(G18)/$AE18))</f>
        <v>1.4659382414022098E-2</v>
      </c>
      <c r="I18" s="388">
        <v>59459</v>
      </c>
      <c r="J18" s="337">
        <f>IF($AE18&lt;1," ",IF(I18&lt;1," ",(I18)/$AE18))</f>
        <v>3.9250336333378662E-2</v>
      </c>
      <c r="K18" s="388">
        <v>59459</v>
      </c>
      <c r="L18" s="337">
        <f>IF($AE18&lt;1," ",IF(K18&lt;1," ",(K18)/$AE18))</f>
        <v>3.9250336333378662E-2</v>
      </c>
      <c r="M18" s="388">
        <v>59459</v>
      </c>
      <c r="N18" s="524">
        <f>IF($AE18&lt;1," ",IF(M18&lt;1," ",(M18)/$AE18))</f>
        <v>3.9250336333378662E-2</v>
      </c>
      <c r="O18" s="388">
        <v>80713</v>
      </c>
      <c r="P18" s="337">
        <f>IF($AE18&lt;1," ",IF(O18&lt;1," ",(O18)/$AE18))</f>
        <v>5.3280620200070503E-2</v>
      </c>
      <c r="Q18" s="388">
        <v>59458</v>
      </c>
      <c r="R18" s="524">
        <f>IF($AE18&lt;1," ",IF(Q18&lt;1," ",(Q18)/$AE18))</f>
        <v>3.924967620898482E-2</v>
      </c>
      <c r="S18" s="376">
        <v>59459</v>
      </c>
      <c r="T18" s="337">
        <f>IF($AE18&lt;1," ",IF(S18&lt;1," ",(S18)/$AE18))</f>
        <v>3.9250336333378662E-2</v>
      </c>
      <c r="U18" s="388">
        <v>59459</v>
      </c>
      <c r="V18" s="337">
        <f>IF($AE18&lt;1," ",IF(U18&lt;1," ",(U18)/$AE18))</f>
        <v>3.9250336333378662E-2</v>
      </c>
      <c r="W18" s="388">
        <v>59458</v>
      </c>
      <c r="X18" s="337">
        <f>IF($AE18&lt;1," ",IF(W18&lt;1," ",(W18)/$AE18))</f>
        <v>3.924967620898482E-2</v>
      </c>
      <c r="Y18" s="388">
        <v>59459</v>
      </c>
      <c r="Z18" s="337">
        <f>IF($AE18&lt;1," ",IF(Y18&lt;1," ",(Y18)/$AE18))</f>
        <v>3.9250336333378662E-2</v>
      </c>
      <c r="AA18" s="388">
        <v>59458</v>
      </c>
      <c r="AB18" s="337">
        <f>IF($AE18&lt;1," ",IF(AA18&lt;1," ",(AA18)/$AE18))</f>
        <v>3.924967620898482E-2</v>
      </c>
      <c r="AC18" s="1534">
        <f t="shared" si="0"/>
        <v>854611</v>
      </c>
      <c r="AD18" s="377">
        <f>+E18+G18+I18+K18+M18+O18+Q18+S18+U18+W18+Y18+AA18+AC18</f>
        <v>1514866</v>
      </c>
      <c r="AE18" s="377">
        <f>'Budget-Summary MYP'!F21</f>
        <v>1514866</v>
      </c>
      <c r="AF18" s="377">
        <f t="shared" si="1"/>
        <v>0</v>
      </c>
      <c r="AG18" s="1177"/>
    </row>
    <row r="19" spans="1:33" ht="15">
      <c r="A19" s="403" t="s">
        <v>309</v>
      </c>
      <c r="B19" s="139"/>
      <c r="C19" s="139"/>
      <c r="D19" s="374"/>
      <c r="E19" s="379"/>
      <c r="F19" s="337"/>
      <c r="G19" s="505"/>
      <c r="H19" s="337"/>
      <c r="I19" s="505"/>
      <c r="J19" s="337"/>
      <c r="K19" s="505"/>
      <c r="L19" s="337"/>
      <c r="M19" s="505"/>
      <c r="N19" s="337"/>
      <c r="O19" s="505"/>
      <c r="P19" s="337"/>
      <c r="Q19" s="505"/>
      <c r="R19" s="337"/>
      <c r="S19" s="505"/>
      <c r="T19" s="337"/>
      <c r="U19" s="505"/>
      <c r="V19" s="337"/>
      <c r="W19" s="505"/>
      <c r="X19" s="337"/>
      <c r="Y19" s="505"/>
      <c r="Z19" s="337"/>
      <c r="AA19" s="505"/>
      <c r="AB19" s="337"/>
      <c r="AC19" s="1535"/>
      <c r="AD19" s="377"/>
      <c r="AE19" s="377"/>
      <c r="AF19" s="377"/>
      <c r="AG19" s="1177"/>
    </row>
    <row r="20" spans="1:33" ht="15">
      <c r="A20" s="403"/>
      <c r="B20" s="139" t="s">
        <v>236</v>
      </c>
      <c r="C20" s="275">
        <v>8660</v>
      </c>
      <c r="D20" s="374"/>
      <c r="E20" s="375">
        <v>0</v>
      </c>
      <c r="F20" s="337" t="str">
        <f>IF($AE20&lt;1," ",IF(E20&lt;1," ",(E20)/$AE20))</f>
        <v xml:space="preserve"> </v>
      </c>
      <c r="G20" s="388">
        <v>0</v>
      </c>
      <c r="H20" s="337" t="str">
        <f>IF($AE20&lt;1," ",IF(G20&lt;1," ",(G20)/$AE20))</f>
        <v xml:space="preserve"> </v>
      </c>
      <c r="I20" s="388">
        <v>0</v>
      </c>
      <c r="J20" s="337" t="str">
        <f>IF($AE20&lt;1," ",IF(I20&lt;1," ",(I20)/$AE20))</f>
        <v xml:space="preserve"> </v>
      </c>
      <c r="K20" s="388">
        <v>0</v>
      </c>
      <c r="L20" s="337" t="str">
        <f>IF($AE20&lt;1," ",IF(K20&lt;1," ",(K20)/$AE20))</f>
        <v xml:space="preserve"> </v>
      </c>
      <c r="M20" s="388">
        <v>0</v>
      </c>
      <c r="N20" s="524" t="str">
        <f>IF($AE20&lt;1," ",IF(M20&lt;1," ",(M20)/$AE20))</f>
        <v xml:space="preserve"> </v>
      </c>
      <c r="O20" s="388">
        <v>0</v>
      </c>
      <c r="P20" s="337" t="str">
        <f>IF($AE20&lt;1," ",IF(O20&lt;1," ",(O20)/$AE20))</f>
        <v xml:space="preserve"> </v>
      </c>
      <c r="Q20" s="388">
        <v>0</v>
      </c>
      <c r="R20" s="524" t="str">
        <f>IF($AE20&lt;1," ",IF(Q20&lt;1," ",(Q20)/$AE20))</f>
        <v xml:space="preserve"> </v>
      </c>
      <c r="S20" s="376">
        <v>0</v>
      </c>
      <c r="T20" s="337" t="str">
        <f>IF($AE20&lt;1," ",IF(S20&lt;1," ",(S20)/$AE20))</f>
        <v xml:space="preserve"> </v>
      </c>
      <c r="U20" s="388">
        <v>0</v>
      </c>
      <c r="V20" s="337" t="str">
        <f>IF($AE20&lt;1," ",IF(U20&lt;1," ",(U20)/$AE20))</f>
        <v xml:space="preserve"> </v>
      </c>
      <c r="W20" s="388">
        <v>0</v>
      </c>
      <c r="X20" s="337" t="str">
        <f>IF($AE20&lt;1," ",IF(W20&lt;1," ",(W20)/$AE20))</f>
        <v xml:space="preserve"> </v>
      </c>
      <c r="Y20" s="388">
        <v>0</v>
      </c>
      <c r="Z20" s="337" t="str">
        <f>IF($AE20&lt;1," ",IF(Y20&lt;1," ",(Y20)/$AE20))</f>
        <v xml:space="preserve"> </v>
      </c>
      <c r="AA20" s="388">
        <v>0</v>
      </c>
      <c r="AB20" s="337" t="str">
        <f>IF($AE20&lt;1," ",IF(AA20&lt;1," ",(AA20)/$AE20))</f>
        <v xml:space="preserve"> </v>
      </c>
      <c r="AC20" s="1534">
        <f t="shared" si="0"/>
        <v>0</v>
      </c>
      <c r="AD20" s="377">
        <f>+E20+G20+I20+K20+M20+O20+Q20+S20+U20+W20+Y20+AA20+AC20</f>
        <v>0</v>
      </c>
      <c r="AE20" s="377">
        <f>'Budget-Summary MYP'!F23</f>
        <v>0</v>
      </c>
      <c r="AF20" s="377">
        <f t="shared" si="1"/>
        <v>0</v>
      </c>
      <c r="AG20" s="1177"/>
    </row>
    <row r="21" spans="1:33" ht="15">
      <c r="A21" s="403"/>
      <c r="B21" s="139" t="s">
        <v>310</v>
      </c>
      <c r="C21" s="275">
        <v>8792</v>
      </c>
      <c r="D21" s="374"/>
      <c r="E21" s="375">
        <v>0</v>
      </c>
      <c r="F21" s="337" t="str">
        <f>IF($AE21&lt;1," ",IF(E21&lt;1," ",(E21)/$AE21))</f>
        <v xml:space="preserve"> </v>
      </c>
      <c r="G21" s="388">
        <v>0</v>
      </c>
      <c r="H21" s="337" t="str">
        <f>IF($AE21&lt;1," ",IF(G21&lt;1," ",(G21)/$AE21))</f>
        <v xml:space="preserve"> </v>
      </c>
      <c r="I21" s="388">
        <v>0</v>
      </c>
      <c r="J21" s="337" t="str">
        <f>IF($AE21&lt;1," ",IF(I21&lt;1," ",(I21)/$AE21))</f>
        <v xml:space="preserve"> </v>
      </c>
      <c r="K21" s="388">
        <v>0</v>
      </c>
      <c r="L21" s="337" t="str">
        <f>IF($AE21&lt;1," ",IF(K21&lt;1," ",(K21)/$AE21))</f>
        <v xml:space="preserve"> </v>
      </c>
      <c r="M21" s="388">
        <v>0</v>
      </c>
      <c r="N21" s="524" t="str">
        <f>IF($AE21&lt;1," ",IF(M21&lt;1," ",(M21)/$AE21))</f>
        <v xml:space="preserve"> </v>
      </c>
      <c r="O21" s="388">
        <v>0</v>
      </c>
      <c r="P21" s="337" t="str">
        <f>IF($AE21&lt;1," ",IF(O21&lt;1," ",(O21)/$AE21))</f>
        <v xml:space="preserve"> </v>
      </c>
      <c r="Q21" s="388">
        <v>0</v>
      </c>
      <c r="R21" s="524" t="str">
        <f>IF($AE21&lt;1," ",IF(Q21&lt;1," ",(Q21)/$AE21))</f>
        <v xml:space="preserve"> </v>
      </c>
      <c r="S21" s="376">
        <v>0</v>
      </c>
      <c r="T21" s="337" t="str">
        <f>IF($AE21&lt;1," ",IF(S21&lt;1," ",(S21)/$AE21))</f>
        <v xml:space="preserve"> </v>
      </c>
      <c r="U21" s="388">
        <v>0</v>
      </c>
      <c r="V21" s="337" t="str">
        <f>IF($AE21&lt;1," ",IF(U21&lt;1," ",(U21)/$AE21))</f>
        <v xml:space="preserve"> </v>
      </c>
      <c r="W21" s="388">
        <v>0</v>
      </c>
      <c r="X21" s="337" t="str">
        <f>IF($AE21&lt;1," ",IF(W21&lt;1," ",(W21)/$AE21))</f>
        <v xml:space="preserve"> </v>
      </c>
      <c r="Y21" s="388">
        <v>0</v>
      </c>
      <c r="Z21" s="337" t="str">
        <f>IF($AE21&lt;1," ",IF(Y21&lt;1," ",(Y21)/$AE21))</f>
        <v xml:space="preserve"> </v>
      </c>
      <c r="AA21" s="388">
        <v>0</v>
      </c>
      <c r="AB21" s="337" t="str">
        <f>IF($AE21&lt;1," ",IF(AA21&lt;1," ",(AA21)/$AE21))</f>
        <v xml:space="preserve"> </v>
      </c>
      <c r="AC21" s="1534">
        <f t="shared" si="0"/>
        <v>0</v>
      </c>
      <c r="AD21" s="377">
        <f>+E21+G21+I21+K21+M21+O21+Q21+S21+U21+W21+Y21+AA21+AC21</f>
        <v>0</v>
      </c>
      <c r="AE21" s="377">
        <f>'Budget-Summary MYP'!F24</f>
        <v>0</v>
      </c>
      <c r="AF21" s="377">
        <f t="shared" si="1"/>
        <v>0</v>
      </c>
      <c r="AG21" s="1177"/>
    </row>
    <row r="22" spans="1:33" ht="15">
      <c r="A22" s="403"/>
      <c r="B22" s="139" t="s">
        <v>311</v>
      </c>
      <c r="C22" s="275" t="s">
        <v>101</v>
      </c>
      <c r="D22" s="374"/>
      <c r="E22" s="375">
        <v>0</v>
      </c>
      <c r="F22" s="337" t="str">
        <f>IF($AE22&lt;1," ",IF(E22&lt;1," ",(E22)/$AE22))</f>
        <v xml:space="preserve"> </v>
      </c>
      <c r="G22" s="388">
        <v>0</v>
      </c>
      <c r="H22" s="337" t="str">
        <f>IF($AE22&lt;1," ",IF(G22&lt;1," ",(G22)/$AE22))</f>
        <v xml:space="preserve"> </v>
      </c>
      <c r="I22" s="388">
        <v>1000</v>
      </c>
      <c r="J22" s="337">
        <f>IF($AE22&lt;1," ",IF(I22&lt;1," ",(I22)/$AE22))</f>
        <v>6.2500000000000003E-3</v>
      </c>
      <c r="K22" s="388">
        <v>151000</v>
      </c>
      <c r="L22" s="337">
        <f>IF($AE22&lt;1," ",IF(K22&lt;1," ",(K22)/$AE22))</f>
        <v>0.94374999999999998</v>
      </c>
      <c r="M22" s="388">
        <v>1000</v>
      </c>
      <c r="N22" s="524">
        <f>IF($AE22&lt;1," ",IF(M22&lt;1," ",(M22)/$AE22))</f>
        <v>6.2500000000000003E-3</v>
      </c>
      <c r="O22" s="388">
        <v>1000</v>
      </c>
      <c r="P22" s="337">
        <f>IF($AE22&lt;1," ",IF(O22&lt;1," ",(O22)/$AE22))</f>
        <v>6.2500000000000003E-3</v>
      </c>
      <c r="Q22" s="388">
        <v>1000</v>
      </c>
      <c r="R22" s="524">
        <f>IF($AE22&lt;1," ",IF(Q22&lt;1," ",(Q22)/$AE22))</f>
        <v>6.2500000000000003E-3</v>
      </c>
      <c r="S22" s="376">
        <v>1000</v>
      </c>
      <c r="T22" s="337">
        <f>IF($AE22&lt;1," ",IF(S22&lt;1," ",(S22)/$AE22))</f>
        <v>6.2500000000000003E-3</v>
      </c>
      <c r="U22" s="388">
        <v>1000</v>
      </c>
      <c r="V22" s="337">
        <f>IF($AE22&lt;1," ",IF(U22&lt;1," ",(U22)/$AE22))</f>
        <v>6.2500000000000003E-3</v>
      </c>
      <c r="W22" s="388">
        <v>1000</v>
      </c>
      <c r="X22" s="337">
        <f>IF($AE22&lt;1," ",IF(W22&lt;1," ",(W22)/$AE22))</f>
        <v>6.2500000000000003E-3</v>
      </c>
      <c r="Y22" s="388">
        <v>1000</v>
      </c>
      <c r="Z22" s="337">
        <f>IF($AE22&lt;1," ",IF(Y22&lt;1," ",(Y22)/$AE22))</f>
        <v>6.2500000000000003E-3</v>
      </c>
      <c r="AA22" s="388">
        <v>1000</v>
      </c>
      <c r="AB22" s="337">
        <f>IF($AE22&lt;1," ",IF(AA22&lt;1," ",(AA22)/$AE22))</f>
        <v>6.2500000000000003E-3</v>
      </c>
      <c r="AC22" s="1534">
        <f t="shared" si="0"/>
        <v>0</v>
      </c>
      <c r="AD22" s="377">
        <f>+E22+G22+I22+K22+M22+O22+Q22+S22+U22+W22+Y22+AA22+AC22</f>
        <v>160000</v>
      </c>
      <c r="AE22" s="377">
        <f>'Budget-Summary MYP'!F25</f>
        <v>160000</v>
      </c>
      <c r="AF22" s="377">
        <f t="shared" si="1"/>
        <v>0</v>
      </c>
      <c r="AG22" s="1177"/>
    </row>
    <row r="23" spans="1:33" ht="15.4" thickBot="1">
      <c r="A23" s="402" t="s">
        <v>312</v>
      </c>
      <c r="B23" s="380"/>
      <c r="C23" s="381"/>
      <c r="D23" s="381"/>
      <c r="E23" s="760">
        <f>SUM(E10:E22)</f>
        <v>22207</v>
      </c>
      <c r="F23" s="382">
        <f>IF($AE23&lt;1," ",IF(E23&lt;1," ",(E23)/$AE23))</f>
        <v>2.4324888871551007E-3</v>
      </c>
      <c r="G23" s="761">
        <f>SUM(G10:G22)</f>
        <v>358769</v>
      </c>
      <c r="H23" s="382">
        <f>IF($AE23&lt;1," ",IF(G23&lt;1," ",(G23)/$AE23))</f>
        <v>3.9298491716834708E-2</v>
      </c>
      <c r="I23" s="761">
        <f>SUM(I10:I22)</f>
        <v>425608</v>
      </c>
      <c r="J23" s="382">
        <f>IF($AE23&lt;1," ",IF(I23&lt;1," ",(I23)/$AE23))</f>
        <v>4.6619837451448105E-2</v>
      </c>
      <c r="K23" s="761">
        <f>SUM(K10:K22)</f>
        <v>851694</v>
      </c>
      <c r="L23" s="382">
        <f>IF($AE23&lt;1," ",IF(K23&lt;1," ",(K23)/$AE23))</f>
        <v>9.3292033604569571E-2</v>
      </c>
      <c r="M23" s="761">
        <f>SUM(M10:M22)</f>
        <v>676669</v>
      </c>
      <c r="N23" s="526">
        <f>IF($AE23&lt;1," ",IF(M23&lt;1," ",(M23)/$AE23))</f>
        <v>7.4120314440597773E-2</v>
      </c>
      <c r="O23" s="761">
        <f>SUM(O10:O22)</f>
        <v>697923</v>
      </c>
      <c r="P23" s="382">
        <f>IF($AE23&lt;1," ",IF(O23&lt;1," ",(O23)/$AE23))</f>
        <v>7.644841453550455E-2</v>
      </c>
      <c r="Q23" s="761">
        <f>SUM(Q10:Q22)</f>
        <v>805343</v>
      </c>
      <c r="R23" s="526">
        <f>IF($AE23&lt;1," ",IF(Q23&lt;1," ",(Q23)/$AE23))</f>
        <v>8.8214882597746222E-2</v>
      </c>
      <c r="S23" s="762">
        <f>SUM(S10:S22)</f>
        <v>676669</v>
      </c>
      <c r="T23" s="382">
        <f>IF($AE23&lt;1," ",IF(S23&lt;1," ",(S23)/$AE23))</f>
        <v>7.4120314440597773E-2</v>
      </c>
      <c r="U23" s="761">
        <f>SUM(U10:U22)</f>
        <v>698376</v>
      </c>
      <c r="V23" s="382">
        <f>IF($AE23&lt;1," ",IF(U23&lt;1," ",(U23)/$AE23))</f>
        <v>7.6498034811358154E-2</v>
      </c>
      <c r="W23" s="761">
        <f>SUM(W10:W22)</f>
        <v>803276</v>
      </c>
      <c r="X23" s="382">
        <f>IF($AE23&lt;1," ",IF(W23&lt;1," ",(W23)/$AE23))</f>
        <v>8.798846955097045E-2</v>
      </c>
      <c r="Y23" s="761">
        <f>SUM(Y10:Y22)</f>
        <v>674602</v>
      </c>
      <c r="Z23" s="382">
        <f>IF($AE23&lt;1," ",IF(Y23&lt;1," ",(Y23)/$AE23))</f>
        <v>7.3893901393822001E-2</v>
      </c>
      <c r="AA23" s="761">
        <f>SUM(AA10:AA22)</f>
        <v>729125</v>
      </c>
      <c r="AB23" s="382">
        <f>IF($AE23&lt;1," ",IF(AA23&lt;1," ",(AA23)/$AE23))</f>
        <v>7.9866189032600662E-2</v>
      </c>
      <c r="AC23" s="1536">
        <f>SUM(AC10:AC22)</f>
        <v>1709071.56027</v>
      </c>
      <c r="AD23" s="763">
        <f>SUM(AD10:AD22)</f>
        <v>9129332.5602700002</v>
      </c>
      <c r="AE23" s="763">
        <f>SUM(AE10:AE22)</f>
        <v>9129332.5602700002</v>
      </c>
      <c r="AF23" s="763">
        <f>SUM(AF10:AF22)</f>
        <v>0</v>
      </c>
      <c r="AG23" s="1177"/>
    </row>
    <row r="24" spans="1:33" ht="15">
      <c r="A24" s="404"/>
      <c r="B24" s="368"/>
      <c r="C24" s="71"/>
      <c r="D24" s="71"/>
      <c r="E24" s="72"/>
      <c r="F24" s="192"/>
      <c r="G24" s="73"/>
      <c r="H24" s="192"/>
      <c r="I24" s="73"/>
      <c r="J24" s="192"/>
      <c r="K24" s="73"/>
      <c r="L24" s="192"/>
      <c r="M24" s="73"/>
      <c r="N24" s="192"/>
      <c r="O24" s="73"/>
      <c r="P24" s="192"/>
      <c r="Q24" s="73"/>
      <c r="R24" s="192"/>
      <c r="S24" s="73"/>
      <c r="T24" s="192"/>
      <c r="U24" s="73"/>
      <c r="V24" s="192"/>
      <c r="W24" s="73"/>
      <c r="X24" s="192"/>
      <c r="Y24" s="73"/>
      <c r="Z24" s="192"/>
      <c r="AA24" s="73"/>
      <c r="AB24" s="192"/>
      <c r="AC24" s="1006"/>
      <c r="AD24" s="1006"/>
      <c r="AE24" s="1006"/>
      <c r="AF24" s="1022"/>
      <c r="AG24" s="1177"/>
    </row>
    <row r="25" spans="1:33" ht="15">
      <c r="A25" s="66" t="s">
        <v>3</v>
      </c>
      <c r="B25" s="179"/>
      <c r="C25" s="371"/>
      <c r="D25" s="371"/>
      <c r="E25" s="538"/>
      <c r="F25" s="478"/>
      <c r="G25" s="518"/>
      <c r="H25" s="478"/>
      <c r="I25" s="518"/>
      <c r="J25" s="478"/>
      <c r="K25" s="518"/>
      <c r="L25" s="478"/>
      <c r="M25" s="518"/>
      <c r="N25" s="478"/>
      <c r="O25" s="518"/>
      <c r="P25" s="478"/>
      <c r="Q25" s="518"/>
      <c r="R25" s="478"/>
      <c r="S25" s="518"/>
      <c r="T25" s="478"/>
      <c r="U25" s="518"/>
      <c r="V25" s="478"/>
      <c r="W25" s="518"/>
      <c r="X25" s="478"/>
      <c r="Y25" s="518"/>
      <c r="Z25" s="478"/>
      <c r="AA25" s="518"/>
      <c r="AB25" s="478"/>
      <c r="AC25" s="1010"/>
      <c r="AD25" s="1010"/>
      <c r="AE25" s="1010"/>
      <c r="AF25" s="1018"/>
      <c r="AG25" s="1177"/>
    </row>
    <row r="26" spans="1:33" ht="15">
      <c r="A26" s="403" t="s">
        <v>4</v>
      </c>
      <c r="B26" s="139"/>
      <c r="C26" s="275" t="s">
        <v>102</v>
      </c>
      <c r="D26" s="374"/>
      <c r="E26" s="375">
        <v>231766</v>
      </c>
      <c r="F26" s="337">
        <f>IF($AE26&lt;1," ",IF(E26&lt;1," ",(E26)/$AE26))</f>
        <v>9.0774749637611479E-2</v>
      </c>
      <c r="G26" s="388">
        <v>231766</v>
      </c>
      <c r="H26" s="337">
        <f>IF($AE26&lt;1," ",IF(G26&lt;1," ",(G26)/$AE26))</f>
        <v>9.0774749637611479E-2</v>
      </c>
      <c r="I26" s="388">
        <v>231766</v>
      </c>
      <c r="J26" s="337">
        <f>IF($AE26&lt;1," ",IF(I26&lt;1," ",(I26)/$AE26))</f>
        <v>9.0774749637611479E-2</v>
      </c>
      <c r="K26" s="388">
        <v>231766</v>
      </c>
      <c r="L26" s="337">
        <f>IF($AE26&lt;1," ",IF(K26&lt;1," ",(K26)/$AE26))</f>
        <v>9.0774749637611479E-2</v>
      </c>
      <c r="M26" s="388">
        <v>231766</v>
      </c>
      <c r="N26" s="337">
        <f>IF($AE26&lt;1," ",IF(M26&lt;1," ",(M26)/$AE26))</f>
        <v>9.0774749637611479E-2</v>
      </c>
      <c r="O26" s="388">
        <v>231766</v>
      </c>
      <c r="P26" s="337">
        <f>IF($AE26&lt;1," ",IF(O26&lt;1," ",(O26)/$AE26))</f>
        <v>9.0774749637611479E-2</v>
      </c>
      <c r="Q26" s="388">
        <v>231766</v>
      </c>
      <c r="R26" s="337">
        <f>IF($AE26&lt;1," ",IF(Q26&lt;1," ",(Q26)/$AE26))</f>
        <v>9.0774749637611479E-2</v>
      </c>
      <c r="S26" s="376">
        <v>231766</v>
      </c>
      <c r="T26" s="337">
        <f>IF($AE26&lt;1," ",IF(S26&lt;1," ",(S26)/$AE26))</f>
        <v>9.0774749637611479E-2</v>
      </c>
      <c r="U26" s="388">
        <v>231766</v>
      </c>
      <c r="V26" s="337">
        <f>IF($AE26&lt;1," ",IF(U26&lt;1," ",(U26)/$AE26))</f>
        <v>9.0774749637611479E-2</v>
      </c>
      <c r="W26" s="388">
        <v>231766</v>
      </c>
      <c r="X26" s="337">
        <f>IF($AE26&lt;1," ",IF(W26&lt;1," ",(W26)/$AE26))</f>
        <v>9.0774749637611479E-2</v>
      </c>
      <c r="Y26" s="388">
        <v>231766</v>
      </c>
      <c r="Z26" s="337">
        <f>IF($AE26&lt;1," ",IF(Y26&lt;1," ",(Y26)/$AE26))</f>
        <v>9.0774749637611479E-2</v>
      </c>
      <c r="AA26" s="388">
        <v>231754</v>
      </c>
      <c r="AB26" s="337">
        <f>IF($AE26&lt;1," ",IF(AA26&lt;1," ",(AA26)/$AE26))</f>
        <v>9.0770049651437271E-2</v>
      </c>
      <c r="AC26" s="1537">
        <f t="shared" ref="AC26" si="2">AE26-(E26+G26+I26+K26+M26+O26+Q26+S26+U26+W26+Y26+AA26)</f>
        <v>-227981</v>
      </c>
      <c r="AD26" s="385">
        <f t="shared" ref="AD26" si="3">+E26+G26+I26+K26+M26+O26+Q26+S26+U26+W26+Y26+AA26+AC26</f>
        <v>2553199</v>
      </c>
      <c r="AE26" s="385">
        <f>'Budget-Summary MYP'!F29</f>
        <v>2553199</v>
      </c>
      <c r="AF26" s="385">
        <f t="shared" ref="AF26" si="4">+AE26-AD26</f>
        <v>0</v>
      </c>
      <c r="AG26" s="1177"/>
    </row>
    <row r="27" spans="1:33" ht="15">
      <c r="A27" s="403" t="s">
        <v>23</v>
      </c>
      <c r="B27" s="139"/>
      <c r="C27" s="275" t="s">
        <v>103</v>
      </c>
      <c r="D27" s="374"/>
      <c r="E27" s="375">
        <v>110987</v>
      </c>
      <c r="F27" s="337">
        <f t="shared" ref="F27:F34" si="5">IF($AE27&lt;1," ",IF(E27&lt;1," ",(E27)/$AE27))</f>
        <v>9.2994436437979694E-2</v>
      </c>
      <c r="G27" s="388">
        <v>110987</v>
      </c>
      <c r="H27" s="337">
        <f t="shared" ref="H27:H34" si="6">IF($AE27&lt;1," ",IF(G27&lt;1," ",(G27)/$AE27))</f>
        <v>9.2994436437979694E-2</v>
      </c>
      <c r="I27" s="388">
        <v>110987</v>
      </c>
      <c r="J27" s="337">
        <f t="shared" ref="J27:J34" si="7">IF($AE27&lt;1," ",IF(I27&lt;1," ",(I27)/$AE27))</f>
        <v>9.2994436437979694E-2</v>
      </c>
      <c r="K27" s="388">
        <v>110987</v>
      </c>
      <c r="L27" s="337">
        <f t="shared" ref="L27:L34" si="8">IF($AE27&lt;1," ",IF(K27&lt;1," ",(K27)/$AE27))</f>
        <v>9.2994436437979694E-2</v>
      </c>
      <c r="M27" s="388">
        <v>110987</v>
      </c>
      <c r="N27" s="337">
        <f t="shared" ref="N27:N34" si="9">IF($AE27&lt;1," ",IF(M27&lt;1," ",(M27)/$AE27))</f>
        <v>9.2994436437979694E-2</v>
      </c>
      <c r="O27" s="388">
        <v>110987</v>
      </c>
      <c r="P27" s="337">
        <f t="shared" ref="P27:P34" si="10">IF($AE27&lt;1," ",IF(O27&lt;1," ",(O27)/$AE27))</f>
        <v>9.2994436437979694E-2</v>
      </c>
      <c r="Q27" s="388">
        <v>110987</v>
      </c>
      <c r="R27" s="337">
        <f t="shared" ref="R27:R34" si="11">IF($AE27&lt;1," ",IF(Q27&lt;1," ",(Q27)/$AE27))</f>
        <v>9.2994436437979694E-2</v>
      </c>
      <c r="S27" s="376">
        <v>110987</v>
      </c>
      <c r="T27" s="337">
        <f t="shared" ref="T27:T34" si="12">IF($AE27&lt;1," ",IF(S27&lt;1," ",(S27)/$AE27))</f>
        <v>9.2994436437979694E-2</v>
      </c>
      <c r="U27" s="388">
        <v>110987</v>
      </c>
      <c r="V27" s="337">
        <f t="shared" ref="V27:V34" si="13">IF($AE27&lt;1," ",IF(U27&lt;1," ",(U27)/$AE27))</f>
        <v>9.2994436437979694E-2</v>
      </c>
      <c r="W27" s="388">
        <v>110987</v>
      </c>
      <c r="X27" s="337">
        <f t="shared" ref="X27:X34" si="14">IF($AE27&lt;1," ",IF(W27&lt;1," ",(W27)/$AE27))</f>
        <v>9.2994436437979694E-2</v>
      </c>
      <c r="Y27" s="388">
        <v>110987</v>
      </c>
      <c r="Z27" s="337">
        <f t="shared" ref="Z27:Z34" si="15">IF($AE27&lt;1," ",IF(Y27&lt;1," ",(Y27)/$AE27))</f>
        <v>9.2994436437979694E-2</v>
      </c>
      <c r="AA27" s="388">
        <v>110986</v>
      </c>
      <c r="AB27" s="337">
        <f t="shared" ref="AB27:AB34" si="16">IF($AE27&lt;1," ",IF(AA27&lt;1," ",(AA27)/$AE27))</f>
        <v>9.2993598552133253E-2</v>
      </c>
      <c r="AC27" s="1537">
        <f t="shared" ref="AC27:AC34" si="17">AE27-(E27+G27+I27+K27+M27+O27+Q27+S27+U27+W27+Y27+AA27)</f>
        <v>-138363</v>
      </c>
      <c r="AD27" s="385">
        <f t="shared" ref="AD27:AD34" si="18">+E27+G27+I27+K27+M27+O27+Q27+S27+U27+W27+Y27+AA27+AC27</f>
        <v>1193480</v>
      </c>
      <c r="AE27" s="385">
        <f>'Budget-Summary MYP'!F30</f>
        <v>1193480</v>
      </c>
      <c r="AF27" s="385">
        <f t="shared" ref="AF27:AF34" si="19">+AE27-AD27</f>
        <v>0</v>
      </c>
      <c r="AG27" s="1177"/>
    </row>
    <row r="28" spans="1:33" ht="15">
      <c r="A28" s="403" t="s">
        <v>24</v>
      </c>
      <c r="B28" s="139"/>
      <c r="C28" s="275" t="s">
        <v>104</v>
      </c>
      <c r="D28" s="374"/>
      <c r="E28" s="375">
        <v>118869</v>
      </c>
      <c r="F28" s="337">
        <f t="shared" si="5"/>
        <v>9.1429955926806195E-2</v>
      </c>
      <c r="G28" s="388">
        <v>118869</v>
      </c>
      <c r="H28" s="337">
        <f t="shared" si="6"/>
        <v>9.1429955926806195E-2</v>
      </c>
      <c r="I28" s="388">
        <v>118869</v>
      </c>
      <c r="J28" s="337">
        <f t="shared" si="7"/>
        <v>9.1429955926806195E-2</v>
      </c>
      <c r="K28" s="388">
        <v>118869</v>
      </c>
      <c r="L28" s="337">
        <f t="shared" si="8"/>
        <v>9.1429955926806195E-2</v>
      </c>
      <c r="M28" s="388">
        <v>118869</v>
      </c>
      <c r="N28" s="337">
        <f t="shared" si="9"/>
        <v>9.1429955926806195E-2</v>
      </c>
      <c r="O28" s="388">
        <v>118869</v>
      </c>
      <c r="P28" s="337">
        <f t="shared" si="10"/>
        <v>9.1429955926806195E-2</v>
      </c>
      <c r="Q28" s="388">
        <v>118869</v>
      </c>
      <c r="R28" s="337">
        <f t="shared" si="11"/>
        <v>9.1429955926806195E-2</v>
      </c>
      <c r="S28" s="376">
        <v>118869</v>
      </c>
      <c r="T28" s="337">
        <f t="shared" si="12"/>
        <v>9.1429955926806195E-2</v>
      </c>
      <c r="U28" s="388">
        <v>118869</v>
      </c>
      <c r="V28" s="337">
        <f t="shared" si="13"/>
        <v>9.1429955926806195E-2</v>
      </c>
      <c r="W28" s="388">
        <v>118869</v>
      </c>
      <c r="X28" s="337">
        <f t="shared" si="14"/>
        <v>9.1429955926806195E-2</v>
      </c>
      <c r="Y28" s="388">
        <v>118869</v>
      </c>
      <c r="Z28" s="337">
        <f t="shared" si="15"/>
        <v>9.1429955926806195E-2</v>
      </c>
      <c r="AA28" s="388">
        <v>118845</v>
      </c>
      <c r="AB28" s="337">
        <f t="shared" si="16"/>
        <v>9.1411495950342661E-2</v>
      </c>
      <c r="AC28" s="1537">
        <f t="shared" si="17"/>
        <v>-126294</v>
      </c>
      <c r="AD28" s="385">
        <f t="shared" si="18"/>
        <v>1300110</v>
      </c>
      <c r="AE28" s="385">
        <f>'Budget-Summary MYP'!F31</f>
        <v>1300110</v>
      </c>
      <c r="AF28" s="385">
        <f t="shared" si="19"/>
        <v>0</v>
      </c>
      <c r="AG28" s="1177"/>
    </row>
    <row r="29" spans="1:33" ht="15">
      <c r="A29" s="403" t="s">
        <v>25</v>
      </c>
      <c r="B29" s="139"/>
      <c r="C29" s="275" t="s">
        <v>105</v>
      </c>
      <c r="D29" s="374"/>
      <c r="E29" s="375">
        <v>52349</v>
      </c>
      <c r="F29" s="337">
        <f t="shared" si="5"/>
        <v>8.3331741483603949E-2</v>
      </c>
      <c r="G29" s="388">
        <v>52349</v>
      </c>
      <c r="H29" s="337">
        <f t="shared" si="6"/>
        <v>8.3331741483603949E-2</v>
      </c>
      <c r="I29" s="388">
        <v>52349</v>
      </c>
      <c r="J29" s="337">
        <f t="shared" si="7"/>
        <v>8.3331741483603949E-2</v>
      </c>
      <c r="K29" s="388">
        <v>52349</v>
      </c>
      <c r="L29" s="337">
        <f t="shared" si="8"/>
        <v>8.3331741483603949E-2</v>
      </c>
      <c r="M29" s="388">
        <v>52349</v>
      </c>
      <c r="N29" s="337">
        <f t="shared" si="9"/>
        <v>8.3331741483603949E-2</v>
      </c>
      <c r="O29" s="388">
        <v>52349</v>
      </c>
      <c r="P29" s="337">
        <f t="shared" si="10"/>
        <v>8.3331741483603949E-2</v>
      </c>
      <c r="Q29" s="388">
        <v>52349</v>
      </c>
      <c r="R29" s="337">
        <f t="shared" si="11"/>
        <v>8.3331741483603949E-2</v>
      </c>
      <c r="S29" s="376">
        <v>52349</v>
      </c>
      <c r="T29" s="337">
        <f t="shared" si="12"/>
        <v>8.3331741483603949E-2</v>
      </c>
      <c r="U29" s="388">
        <v>52349</v>
      </c>
      <c r="V29" s="337">
        <f t="shared" si="13"/>
        <v>8.3331741483603949E-2</v>
      </c>
      <c r="W29" s="388">
        <v>52349</v>
      </c>
      <c r="X29" s="337">
        <f t="shared" si="14"/>
        <v>8.3331741483603949E-2</v>
      </c>
      <c r="Y29" s="388">
        <v>52349</v>
      </c>
      <c r="Z29" s="337">
        <f t="shared" si="15"/>
        <v>8.3331741483603949E-2</v>
      </c>
      <c r="AA29" s="388">
        <v>52361</v>
      </c>
      <c r="AB29" s="337">
        <f t="shared" si="16"/>
        <v>8.3350843680356571E-2</v>
      </c>
      <c r="AC29" s="1537">
        <f t="shared" si="17"/>
        <v>0</v>
      </c>
      <c r="AD29" s="385">
        <f t="shared" si="18"/>
        <v>628200</v>
      </c>
      <c r="AE29" s="385">
        <f>'Budget-Summary MYP'!F32</f>
        <v>628200</v>
      </c>
      <c r="AF29" s="385">
        <f t="shared" si="19"/>
        <v>0</v>
      </c>
      <c r="AG29" s="1177"/>
    </row>
    <row r="30" spans="1:33" ht="15">
      <c r="A30" s="403" t="s">
        <v>26</v>
      </c>
      <c r="B30" s="139"/>
      <c r="C30" s="275" t="s">
        <v>106</v>
      </c>
      <c r="D30" s="374"/>
      <c r="E30" s="375">
        <v>246482</v>
      </c>
      <c r="F30" s="337">
        <f t="shared" si="5"/>
        <v>6.5539011987734666E-2</v>
      </c>
      <c r="G30" s="388">
        <v>246482</v>
      </c>
      <c r="H30" s="337">
        <f t="shared" si="6"/>
        <v>6.5539011987734666E-2</v>
      </c>
      <c r="I30" s="388">
        <v>246482</v>
      </c>
      <c r="J30" s="337">
        <f t="shared" si="7"/>
        <v>6.5539011987734666E-2</v>
      </c>
      <c r="K30" s="388">
        <v>246482</v>
      </c>
      <c r="L30" s="337">
        <f t="shared" si="8"/>
        <v>6.5539011987734666E-2</v>
      </c>
      <c r="M30" s="388">
        <v>246482</v>
      </c>
      <c r="N30" s="337">
        <f t="shared" si="9"/>
        <v>6.5539011987734666E-2</v>
      </c>
      <c r="O30" s="388">
        <v>246482</v>
      </c>
      <c r="P30" s="337">
        <f t="shared" si="10"/>
        <v>6.5539011987734666E-2</v>
      </c>
      <c r="Q30" s="388">
        <v>246482</v>
      </c>
      <c r="R30" s="337">
        <f t="shared" si="11"/>
        <v>6.5539011987734666E-2</v>
      </c>
      <c r="S30" s="376">
        <v>246482</v>
      </c>
      <c r="T30" s="337">
        <f t="shared" si="12"/>
        <v>6.5539011987734666E-2</v>
      </c>
      <c r="U30" s="388">
        <v>246482</v>
      </c>
      <c r="V30" s="337">
        <f t="shared" si="13"/>
        <v>6.5539011987734666E-2</v>
      </c>
      <c r="W30" s="388">
        <v>246482</v>
      </c>
      <c r="X30" s="337">
        <f t="shared" si="14"/>
        <v>6.5539011987734666E-2</v>
      </c>
      <c r="Y30" s="388">
        <v>246482</v>
      </c>
      <c r="Z30" s="337">
        <f t="shared" si="15"/>
        <v>6.5539011987734666E-2</v>
      </c>
      <c r="AA30" s="388">
        <v>246456</v>
      </c>
      <c r="AB30" s="337">
        <f t="shared" si="16"/>
        <v>6.5532098645942241E-2</v>
      </c>
      <c r="AC30" s="1537">
        <f t="shared" si="17"/>
        <v>803086</v>
      </c>
      <c r="AD30" s="385">
        <f t="shared" si="18"/>
        <v>3760844</v>
      </c>
      <c r="AE30" s="385">
        <f>'Budget-Summary MYP'!F33</f>
        <v>3760844</v>
      </c>
      <c r="AF30" s="385">
        <f t="shared" si="19"/>
        <v>0</v>
      </c>
      <c r="AG30" s="1177"/>
    </row>
    <row r="31" spans="1:33" ht="15">
      <c r="A31" s="403" t="s">
        <v>508</v>
      </c>
      <c r="B31" s="139"/>
      <c r="C31" s="275" t="s">
        <v>107</v>
      </c>
      <c r="D31" s="374"/>
      <c r="E31" s="375">
        <v>0</v>
      </c>
      <c r="F31" s="337" t="str">
        <f t="shared" si="5"/>
        <v xml:space="preserve"> </v>
      </c>
      <c r="G31" s="388">
        <v>0</v>
      </c>
      <c r="H31" s="337" t="str">
        <f t="shared" si="6"/>
        <v xml:space="preserve"> </v>
      </c>
      <c r="I31" s="388">
        <v>0</v>
      </c>
      <c r="J31" s="337" t="str">
        <f t="shared" si="7"/>
        <v xml:space="preserve"> </v>
      </c>
      <c r="K31" s="388">
        <v>0</v>
      </c>
      <c r="L31" s="337" t="str">
        <f t="shared" si="8"/>
        <v xml:space="preserve"> </v>
      </c>
      <c r="M31" s="388">
        <v>0</v>
      </c>
      <c r="N31" s="337" t="str">
        <f t="shared" si="9"/>
        <v xml:space="preserve"> </v>
      </c>
      <c r="O31" s="388">
        <v>0</v>
      </c>
      <c r="P31" s="337" t="str">
        <f t="shared" si="10"/>
        <v xml:space="preserve"> </v>
      </c>
      <c r="Q31" s="388">
        <v>0</v>
      </c>
      <c r="R31" s="337" t="str">
        <f t="shared" si="11"/>
        <v xml:space="preserve"> </v>
      </c>
      <c r="S31" s="376">
        <v>0</v>
      </c>
      <c r="T31" s="337" t="str">
        <f t="shared" si="12"/>
        <v xml:space="preserve"> </v>
      </c>
      <c r="U31" s="388">
        <v>0</v>
      </c>
      <c r="V31" s="337" t="str">
        <f t="shared" si="13"/>
        <v xml:space="preserve"> </v>
      </c>
      <c r="W31" s="388">
        <v>0</v>
      </c>
      <c r="X31" s="337" t="str">
        <f t="shared" si="14"/>
        <v xml:space="preserve"> </v>
      </c>
      <c r="Y31" s="388">
        <v>0</v>
      </c>
      <c r="Z31" s="337" t="str">
        <f t="shared" si="15"/>
        <v xml:space="preserve"> </v>
      </c>
      <c r="AA31" s="388">
        <v>0</v>
      </c>
      <c r="AB31" s="337" t="str">
        <f t="shared" si="16"/>
        <v xml:space="preserve"> </v>
      </c>
      <c r="AC31" s="1537">
        <f t="shared" si="17"/>
        <v>0</v>
      </c>
      <c r="AD31" s="385">
        <f t="shared" si="18"/>
        <v>0</v>
      </c>
      <c r="AE31" s="385">
        <f>'Budget-Summary MYP'!F34</f>
        <v>0</v>
      </c>
      <c r="AF31" s="385">
        <f t="shared" si="19"/>
        <v>0</v>
      </c>
      <c r="AG31" s="1177"/>
    </row>
    <row r="32" spans="1:33" ht="15">
      <c r="A32" s="403" t="s">
        <v>507</v>
      </c>
      <c r="B32" s="139"/>
      <c r="C32" s="275">
        <v>6900</v>
      </c>
      <c r="D32" s="374"/>
      <c r="E32" s="375">
        <v>12500</v>
      </c>
      <c r="F32" s="337" t="str">
        <f t="shared" si="5"/>
        <v xml:space="preserve"> </v>
      </c>
      <c r="G32" s="388">
        <v>12500</v>
      </c>
      <c r="H32" s="337" t="str">
        <f t="shared" si="6"/>
        <v xml:space="preserve"> </v>
      </c>
      <c r="I32" s="388">
        <v>12500</v>
      </c>
      <c r="J32" s="337" t="str">
        <f t="shared" si="7"/>
        <v xml:space="preserve"> </v>
      </c>
      <c r="K32" s="388">
        <v>12500</v>
      </c>
      <c r="L32" s="337" t="str">
        <f t="shared" si="8"/>
        <v xml:space="preserve"> </v>
      </c>
      <c r="M32" s="388">
        <v>12500</v>
      </c>
      <c r="N32" s="337" t="str">
        <f t="shared" si="9"/>
        <v xml:space="preserve"> </v>
      </c>
      <c r="O32" s="388">
        <v>12500</v>
      </c>
      <c r="P32" s="337" t="str">
        <f t="shared" si="10"/>
        <v xml:space="preserve"> </v>
      </c>
      <c r="Q32" s="388">
        <v>12500</v>
      </c>
      <c r="R32" s="337" t="str">
        <f t="shared" si="11"/>
        <v xml:space="preserve"> </v>
      </c>
      <c r="S32" s="376">
        <v>12500</v>
      </c>
      <c r="T32" s="337" t="str">
        <f t="shared" si="12"/>
        <v xml:space="preserve"> </v>
      </c>
      <c r="U32" s="388">
        <v>12500</v>
      </c>
      <c r="V32" s="337" t="str">
        <f t="shared" si="13"/>
        <v xml:space="preserve"> </v>
      </c>
      <c r="W32" s="388">
        <v>12500</v>
      </c>
      <c r="X32" s="337" t="str">
        <f t="shared" si="14"/>
        <v xml:space="preserve"> </v>
      </c>
      <c r="Y32" s="388">
        <v>12500</v>
      </c>
      <c r="Z32" s="337" t="str">
        <f t="shared" si="15"/>
        <v xml:space="preserve"> </v>
      </c>
      <c r="AA32" s="388">
        <v>12500</v>
      </c>
      <c r="AB32" s="337" t="str">
        <f t="shared" si="16"/>
        <v xml:space="preserve"> </v>
      </c>
      <c r="AC32" s="1537">
        <f t="shared" si="17"/>
        <v>-150000</v>
      </c>
      <c r="AD32" s="385">
        <f t="shared" si="18"/>
        <v>0</v>
      </c>
      <c r="AE32" s="385">
        <f>'Budget-Summary MYP'!F35</f>
        <v>0</v>
      </c>
      <c r="AF32" s="385">
        <f t="shared" si="19"/>
        <v>0</v>
      </c>
      <c r="AG32" s="1177"/>
    </row>
    <row r="33" spans="1:34" ht="15">
      <c r="A33" s="403" t="s">
        <v>27</v>
      </c>
      <c r="B33" s="139"/>
      <c r="C33" s="275" t="s">
        <v>108</v>
      </c>
      <c r="D33" s="374"/>
      <c r="E33" s="375">
        <v>0</v>
      </c>
      <c r="F33" s="337" t="str">
        <f t="shared" si="5"/>
        <v xml:space="preserve"> </v>
      </c>
      <c r="G33" s="388">
        <v>0</v>
      </c>
      <c r="H33" s="337" t="str">
        <f t="shared" si="6"/>
        <v xml:space="preserve"> </v>
      </c>
      <c r="I33" s="388">
        <v>0</v>
      </c>
      <c r="J33" s="337" t="str">
        <f t="shared" si="7"/>
        <v xml:space="preserve"> </v>
      </c>
      <c r="K33" s="388">
        <v>0</v>
      </c>
      <c r="L33" s="337" t="str">
        <f t="shared" si="8"/>
        <v xml:space="preserve"> </v>
      </c>
      <c r="M33" s="388">
        <v>0</v>
      </c>
      <c r="N33" s="337" t="str">
        <f t="shared" si="9"/>
        <v xml:space="preserve"> </v>
      </c>
      <c r="O33" s="388">
        <v>0</v>
      </c>
      <c r="P33" s="337" t="str">
        <f t="shared" si="10"/>
        <v xml:space="preserve"> </v>
      </c>
      <c r="Q33" s="388">
        <v>0</v>
      </c>
      <c r="R33" s="337" t="str">
        <f t="shared" si="11"/>
        <v xml:space="preserve"> </v>
      </c>
      <c r="S33" s="376">
        <v>0</v>
      </c>
      <c r="T33" s="337" t="str">
        <f t="shared" si="12"/>
        <v xml:space="preserve"> </v>
      </c>
      <c r="U33" s="388">
        <v>0</v>
      </c>
      <c r="V33" s="337" t="str">
        <f t="shared" si="13"/>
        <v xml:space="preserve"> </v>
      </c>
      <c r="W33" s="388">
        <v>0</v>
      </c>
      <c r="X33" s="337" t="str">
        <f t="shared" si="14"/>
        <v xml:space="preserve"> </v>
      </c>
      <c r="Y33" s="388">
        <v>0</v>
      </c>
      <c r="Z33" s="337" t="str">
        <f t="shared" si="15"/>
        <v xml:space="preserve"> </v>
      </c>
      <c r="AA33" s="388">
        <v>0</v>
      </c>
      <c r="AB33" s="337" t="str">
        <f t="shared" si="16"/>
        <v xml:space="preserve"> </v>
      </c>
      <c r="AC33" s="1537">
        <f t="shared" si="17"/>
        <v>0</v>
      </c>
      <c r="AD33" s="385">
        <f t="shared" si="18"/>
        <v>0</v>
      </c>
      <c r="AE33" s="385">
        <f>'Budget-Summary MYP'!F36</f>
        <v>0</v>
      </c>
      <c r="AF33" s="385">
        <f t="shared" si="19"/>
        <v>0</v>
      </c>
      <c r="AG33" s="1177"/>
    </row>
    <row r="34" spans="1:34" ht="15">
      <c r="A34" s="403" t="s">
        <v>146</v>
      </c>
      <c r="B34" s="139"/>
      <c r="C34" s="275" t="s">
        <v>111</v>
      </c>
      <c r="D34" s="374"/>
      <c r="E34" s="375">
        <v>0</v>
      </c>
      <c r="F34" s="337" t="str">
        <f t="shared" si="5"/>
        <v xml:space="preserve"> </v>
      </c>
      <c r="G34" s="388">
        <v>0</v>
      </c>
      <c r="H34" s="337" t="str">
        <f t="shared" si="6"/>
        <v xml:space="preserve"> </v>
      </c>
      <c r="I34" s="388">
        <v>0</v>
      </c>
      <c r="J34" s="337" t="str">
        <f t="shared" si="7"/>
        <v xml:space="preserve"> </v>
      </c>
      <c r="K34" s="388">
        <v>0</v>
      </c>
      <c r="L34" s="337" t="str">
        <f t="shared" si="8"/>
        <v xml:space="preserve"> </v>
      </c>
      <c r="M34" s="388">
        <v>0</v>
      </c>
      <c r="N34" s="337" t="str">
        <f t="shared" si="9"/>
        <v xml:space="preserve"> </v>
      </c>
      <c r="O34" s="388">
        <v>0</v>
      </c>
      <c r="P34" s="337" t="str">
        <f t="shared" si="10"/>
        <v xml:space="preserve"> </v>
      </c>
      <c r="Q34" s="388">
        <v>0</v>
      </c>
      <c r="R34" s="337" t="str">
        <f t="shared" si="11"/>
        <v xml:space="preserve"> </v>
      </c>
      <c r="S34" s="376">
        <v>0</v>
      </c>
      <c r="T34" s="337" t="str">
        <f t="shared" si="12"/>
        <v xml:space="preserve"> </v>
      </c>
      <c r="U34" s="388">
        <v>0</v>
      </c>
      <c r="V34" s="337" t="str">
        <f t="shared" si="13"/>
        <v xml:space="preserve"> </v>
      </c>
      <c r="W34" s="388">
        <v>0</v>
      </c>
      <c r="X34" s="337" t="str">
        <f t="shared" si="14"/>
        <v xml:space="preserve"> </v>
      </c>
      <c r="Y34" s="388">
        <v>0</v>
      </c>
      <c r="Z34" s="337" t="str">
        <f t="shared" si="15"/>
        <v xml:space="preserve"> </v>
      </c>
      <c r="AA34" s="388">
        <v>0</v>
      </c>
      <c r="AB34" s="337" t="str">
        <f t="shared" si="16"/>
        <v xml:space="preserve"> </v>
      </c>
      <c r="AC34" s="1537">
        <f t="shared" si="17"/>
        <v>0</v>
      </c>
      <c r="AD34" s="385">
        <f t="shared" si="18"/>
        <v>0</v>
      </c>
      <c r="AE34" s="385">
        <f>'Budget-Summary MYP'!F37</f>
        <v>0</v>
      </c>
      <c r="AF34" s="385">
        <f t="shared" si="19"/>
        <v>0</v>
      </c>
      <c r="AG34" s="1177"/>
    </row>
    <row r="35" spans="1:34" ht="15.4" thickBot="1">
      <c r="A35" s="402" t="s">
        <v>28</v>
      </c>
      <c r="B35" s="380"/>
      <c r="C35" s="381"/>
      <c r="D35" s="381"/>
      <c r="E35" s="760">
        <f>+SUM(E26:E34)</f>
        <v>772953</v>
      </c>
      <c r="F35" s="382">
        <f>IF($AE35&lt;1," ",IF(E35&lt;1," ",(E35)/$AE35))</f>
        <v>8.1916774067535961E-2</v>
      </c>
      <c r="G35" s="761">
        <f>+SUM(G26:G34)</f>
        <v>772953</v>
      </c>
      <c r="H35" s="382">
        <f>IF($AE35&lt;1," ",IF(G35&lt;1," ",(G35)/$AE35))</f>
        <v>8.1916774067535961E-2</v>
      </c>
      <c r="I35" s="761">
        <f>+SUM(I26:I34)</f>
        <v>772953</v>
      </c>
      <c r="J35" s="382">
        <f>IF($AE35&lt;1," ",IF(I35&lt;1," ",(I35)/$AE35))</f>
        <v>8.1916774067535961E-2</v>
      </c>
      <c r="K35" s="761">
        <f>+SUM(K26:K34)</f>
        <v>772953</v>
      </c>
      <c r="L35" s="382">
        <f>IF($AE35&lt;1," ",IF(K35&lt;1," ",(K35)/$AE35))</f>
        <v>8.1916774067535961E-2</v>
      </c>
      <c r="M35" s="761">
        <f>+SUM(M26:M34)</f>
        <v>772953</v>
      </c>
      <c r="N35" s="526">
        <f>IF($AE35&lt;1," ",IF(M35&lt;1," ",(M35)/$AE35))</f>
        <v>8.1916774067535961E-2</v>
      </c>
      <c r="O35" s="761">
        <f>+SUM(O26:O34)</f>
        <v>772953</v>
      </c>
      <c r="P35" s="382">
        <f>IF($AE35&lt;1," ",IF(O35&lt;1," ",(O35)/$AE35))</f>
        <v>8.1916774067535961E-2</v>
      </c>
      <c r="Q35" s="761">
        <f>+SUM(Q26:Q34)</f>
        <v>772953</v>
      </c>
      <c r="R35" s="526">
        <f>IF($AE35&lt;1," ",IF(Q35&lt;1," ",(Q35)/$AE35))</f>
        <v>8.1916774067535961E-2</v>
      </c>
      <c r="S35" s="762">
        <f>+SUM(S26:S34)</f>
        <v>772953</v>
      </c>
      <c r="T35" s="382">
        <f>IF($AE35&lt;1," ",IF(S35&lt;1," ",(S35)/$AE35))</f>
        <v>8.1916774067535961E-2</v>
      </c>
      <c r="U35" s="761">
        <f>+SUM(U26:U34)</f>
        <v>772953</v>
      </c>
      <c r="V35" s="382">
        <f>IF($AE35&lt;1," ",IF(U35&lt;1," ",(U35)/$AE35))</f>
        <v>8.1916774067535961E-2</v>
      </c>
      <c r="W35" s="761">
        <f>+SUM(W26:W34)</f>
        <v>772953</v>
      </c>
      <c r="X35" s="382">
        <f>IF($AE35&lt;1," ",IF(W35&lt;1," ",(W35)/$AE35))</f>
        <v>8.1916774067535961E-2</v>
      </c>
      <c r="Y35" s="761">
        <f>+SUM(Y26:Y34)</f>
        <v>772953</v>
      </c>
      <c r="Z35" s="382">
        <f>IF($AE35&lt;1," ",IF(Y35&lt;1," ",(Y35)/$AE35))</f>
        <v>8.1916774067535961E-2</v>
      </c>
      <c r="AA35" s="761">
        <f>+SUM(AA26:AA34)</f>
        <v>772902</v>
      </c>
      <c r="AB35" s="382">
        <f>IF($AE35&lt;1," ",IF(AA35&lt;1," ",(AA35)/$AE35))</f>
        <v>8.1911369139322412E-2</v>
      </c>
      <c r="AC35" s="1536">
        <f>+SUM(AC26:AC34)</f>
        <v>160448</v>
      </c>
      <c r="AD35" s="763">
        <f>+SUM(AD26:AD34)</f>
        <v>9435833</v>
      </c>
      <c r="AE35" s="763">
        <f>+SUM(AE26:AE34)</f>
        <v>9435833</v>
      </c>
      <c r="AF35" s="763">
        <f>+SUM(AF26:AF34)</f>
        <v>0</v>
      </c>
      <c r="AG35" s="1177"/>
    </row>
    <row r="36" spans="1:34" ht="15">
      <c r="A36" s="406"/>
      <c r="B36" s="369"/>
      <c r="C36" s="71"/>
      <c r="D36" s="71"/>
      <c r="E36" s="74"/>
      <c r="F36" s="193"/>
      <c r="G36" s="75"/>
      <c r="H36" s="193"/>
      <c r="I36" s="75"/>
      <c r="J36" s="193"/>
      <c r="K36" s="75"/>
      <c r="L36" s="193"/>
      <c r="M36" s="75"/>
      <c r="N36" s="193"/>
      <c r="O36" s="75"/>
      <c r="P36" s="193"/>
      <c r="Q36" s="75"/>
      <c r="R36" s="193"/>
      <c r="S36" s="75"/>
      <c r="T36" s="193"/>
      <c r="U36" s="75"/>
      <c r="V36" s="193"/>
      <c r="W36" s="75"/>
      <c r="X36" s="193"/>
      <c r="Y36" s="75"/>
      <c r="Z36" s="193"/>
      <c r="AA36" s="75"/>
      <c r="AB36" s="193"/>
      <c r="AC36" s="1006"/>
      <c r="AD36" s="1006"/>
      <c r="AE36" s="1006"/>
      <c r="AF36" s="1022"/>
      <c r="AG36" s="1177"/>
    </row>
    <row r="37" spans="1:34" ht="15">
      <c r="A37" s="66" t="s">
        <v>109</v>
      </c>
      <c r="B37" s="179"/>
      <c r="C37" s="371"/>
      <c r="D37" s="371"/>
      <c r="E37" s="538"/>
      <c r="F37" s="478"/>
      <c r="G37" s="518"/>
      <c r="H37" s="478"/>
      <c r="I37" s="518"/>
      <c r="J37" s="478"/>
      <c r="K37" s="518"/>
      <c r="L37" s="478"/>
      <c r="M37" s="518"/>
      <c r="N37" s="478"/>
      <c r="O37" s="518"/>
      <c r="P37" s="478"/>
      <c r="Q37" s="518"/>
      <c r="R37" s="478"/>
      <c r="S37" s="518"/>
      <c r="T37" s="478"/>
      <c r="U37" s="518"/>
      <c r="V37" s="478"/>
      <c r="W37" s="518"/>
      <c r="X37" s="478"/>
      <c r="Y37" s="518"/>
      <c r="Z37" s="478"/>
      <c r="AA37" s="518"/>
      <c r="AB37" s="478"/>
      <c r="AC37" s="1010"/>
      <c r="AD37" s="1010"/>
      <c r="AE37" s="1010"/>
      <c r="AF37" s="1018"/>
      <c r="AG37" s="1177"/>
    </row>
    <row r="38" spans="1:34" ht="15">
      <c r="A38" s="403" t="s">
        <v>124</v>
      </c>
      <c r="B38" s="139"/>
      <c r="C38" s="275">
        <v>8900</v>
      </c>
      <c r="D38" s="392"/>
      <c r="E38" s="375">
        <v>0</v>
      </c>
      <c r="F38" s="337" t="str">
        <f>IF($AE38&lt;1," ",IF(E38&lt;1," ",(E38)/$AE38))</f>
        <v xml:space="preserve"> </v>
      </c>
      <c r="G38" s="388">
        <v>0</v>
      </c>
      <c r="H38" s="337" t="str">
        <f>IF($AE38&lt;1," ",IF(G38&lt;1," ",(G38)/$AE38))</f>
        <v xml:space="preserve"> </v>
      </c>
      <c r="I38" s="388">
        <v>0</v>
      </c>
      <c r="J38" s="337" t="str">
        <f>IF($AE38&lt;1," ",IF(I38&lt;1," ",(I38)/$AE38))</f>
        <v xml:space="preserve"> </v>
      </c>
      <c r="K38" s="388">
        <v>0</v>
      </c>
      <c r="L38" s="337" t="str">
        <f>IF($AE38&lt;1," ",IF(K38&lt;1," ",(K38)/$AE38))</f>
        <v xml:space="preserve"> </v>
      </c>
      <c r="M38" s="388">
        <v>0</v>
      </c>
      <c r="N38" s="524" t="str">
        <f>IF($AE38&lt;1," ",IF(M38&lt;1," ",(M38)/$AE38))</f>
        <v xml:space="preserve"> </v>
      </c>
      <c r="O38" s="388">
        <v>0</v>
      </c>
      <c r="P38" s="337" t="str">
        <f>IF($AE38&lt;1," ",IF(O38&lt;1," ",(O38)/$AE38))</f>
        <v xml:space="preserve"> </v>
      </c>
      <c r="Q38" s="388">
        <v>0</v>
      </c>
      <c r="R38" s="337" t="str">
        <f>IF($AE38&lt;1," ",IF(Q38&lt;1," ",(Q38)/$AE38))</f>
        <v xml:space="preserve"> </v>
      </c>
      <c r="S38" s="388">
        <v>0</v>
      </c>
      <c r="T38" s="337" t="str">
        <f>IF($AE38&lt;1," ",IF(S38&lt;1," ",(S38)/$AE38))</f>
        <v xml:space="preserve"> </v>
      </c>
      <c r="U38" s="388">
        <v>0</v>
      </c>
      <c r="V38" s="337" t="str">
        <f>IF($AE38&lt;1," ",IF(U38&lt;1," ",(U38)/$AE38))</f>
        <v xml:space="preserve"> </v>
      </c>
      <c r="W38" s="388">
        <v>0</v>
      </c>
      <c r="X38" s="337" t="str">
        <f>IF($AE38&lt;1," ",IF(W38&lt;1," ",(W38)/$AE38))</f>
        <v xml:space="preserve"> </v>
      </c>
      <c r="Y38" s="388">
        <v>0</v>
      </c>
      <c r="Z38" s="337" t="str">
        <f>IF($AE38&lt;1," ",IF(Y38&lt;1," ",(Y38)/$AE38))</f>
        <v xml:space="preserve"> </v>
      </c>
      <c r="AA38" s="388">
        <v>0</v>
      </c>
      <c r="AB38" s="337" t="str">
        <f>IF($AE38&lt;1," ",IF(AA38&lt;1," ",(AA38)/$AE38))</f>
        <v xml:space="preserve"> </v>
      </c>
      <c r="AC38" s="1537">
        <f>AE38-(E38+G38+I38+K38+M38+O38+Q38+S38+U38+W38+Y38+AA38)</f>
        <v>0</v>
      </c>
      <c r="AD38" s="385">
        <f>+E38+G38+I38+K38+M38+O38+Q38+S38+U38+W38+Y38+AA38+AC38</f>
        <v>0</v>
      </c>
      <c r="AE38" s="385">
        <f>'Budget-Summary MYP'!F43</f>
        <v>0</v>
      </c>
      <c r="AF38" s="385">
        <f>+AE38-AD38</f>
        <v>0</v>
      </c>
      <c r="AG38" s="1177"/>
    </row>
    <row r="39" spans="1:34" ht="15">
      <c r="A39" s="403" t="s">
        <v>30</v>
      </c>
      <c r="B39" s="139"/>
      <c r="C39" s="275">
        <v>7600</v>
      </c>
      <c r="D39" s="392"/>
      <c r="E39" s="375">
        <v>0</v>
      </c>
      <c r="F39" s="337" t="str">
        <f>IF($AE39&lt;1," ",IF(E39&lt;1," ",(E39)/$AE39))</f>
        <v xml:space="preserve"> </v>
      </c>
      <c r="G39" s="388">
        <v>0</v>
      </c>
      <c r="H39" s="337" t="str">
        <f>IF($AE39&lt;1," ",IF(G39&lt;1," ",(G39)/$AE39))</f>
        <v xml:space="preserve"> </v>
      </c>
      <c r="I39" s="388">
        <v>0</v>
      </c>
      <c r="J39" s="337" t="str">
        <f>IF($AE39&lt;1," ",IF(I39&lt;1," ",(I39)/$AE39))</f>
        <v xml:space="preserve"> </v>
      </c>
      <c r="K39" s="388">
        <v>0</v>
      </c>
      <c r="L39" s="337" t="str">
        <f>IF($AE39&lt;1," ",IF(K39&lt;1," ",(K39)/$AE39))</f>
        <v xml:space="preserve"> </v>
      </c>
      <c r="M39" s="388">
        <v>0</v>
      </c>
      <c r="N39" s="524" t="str">
        <f>IF($AE39&lt;1," ",IF(M39&lt;1," ",(M39)/$AE39))</f>
        <v xml:space="preserve"> </v>
      </c>
      <c r="O39" s="388">
        <v>0</v>
      </c>
      <c r="P39" s="337" t="str">
        <f>IF($AE39&lt;1," ",IF(O39&lt;1," ",(O39)/$AE39))</f>
        <v xml:space="preserve"> </v>
      </c>
      <c r="Q39" s="388">
        <v>0</v>
      </c>
      <c r="R39" s="337" t="str">
        <f>IF($AE39&lt;1," ",IF(Q39&lt;1," ",(Q39)/$AE39))</f>
        <v xml:space="preserve"> </v>
      </c>
      <c r="S39" s="388">
        <v>0</v>
      </c>
      <c r="T39" s="337" t="str">
        <f>IF($AE39&lt;1," ",IF(S39&lt;1," ",(S39)/$AE39))</f>
        <v xml:space="preserve"> </v>
      </c>
      <c r="U39" s="388">
        <v>0</v>
      </c>
      <c r="V39" s="337" t="str">
        <f>IF($AE39&lt;1," ",IF(U39&lt;1," ",(U39)/$AE39))</f>
        <v xml:space="preserve"> </v>
      </c>
      <c r="W39" s="388">
        <v>0</v>
      </c>
      <c r="X39" s="337" t="str">
        <f>IF($AE39&lt;1," ",IF(W39&lt;1," ",(W39)/$AE39))</f>
        <v xml:space="preserve"> </v>
      </c>
      <c r="Y39" s="388">
        <v>0</v>
      </c>
      <c r="Z39" s="337" t="str">
        <f>IF($AE39&lt;1," ",IF(Y39&lt;1," ",(Y39)/$AE39))</f>
        <v xml:space="preserve"> </v>
      </c>
      <c r="AA39" s="388">
        <v>0</v>
      </c>
      <c r="AB39" s="337" t="str">
        <f>IF($AE39&lt;1," ",IF(AA39&lt;1," ",(AA39)/$AE39))</f>
        <v xml:space="preserve"> </v>
      </c>
      <c r="AC39" s="1537">
        <f>AE39-(E39+G39+I39+K39+M39+O39+Q39+S39+U39+W39+Y39+AA39)</f>
        <v>0</v>
      </c>
      <c r="AD39" s="385">
        <f>+E39+G39+I39+K39+M39+O39+Q39+S39+U39+W39+Y39+AA39+AC39</f>
        <v>0</v>
      </c>
      <c r="AE39" s="385">
        <f>'Budget-Summary MYP'!F44</f>
        <v>0</v>
      </c>
      <c r="AF39" s="385">
        <f>+AE39-AD39</f>
        <v>0</v>
      </c>
      <c r="AG39" s="1177"/>
    </row>
    <row r="40" spans="1:34" ht="15.4" thickBot="1">
      <c r="A40" s="407" t="s">
        <v>31</v>
      </c>
      <c r="B40" s="380"/>
      <c r="C40" s="381"/>
      <c r="D40" s="381"/>
      <c r="E40" s="760">
        <f>+E38-E39</f>
        <v>0</v>
      </c>
      <c r="F40" s="382" t="str">
        <f>IF($AE40&lt;1," ",IF(E40&lt;1," ",(E40)/$AE40))</f>
        <v xml:space="preserve"> </v>
      </c>
      <c r="G40" s="761">
        <f>+G38-G39</f>
        <v>0</v>
      </c>
      <c r="H40" s="382" t="str">
        <f>IF($AE40&lt;1," ",IF(G40&lt;1," ",(G40)/$AE40))</f>
        <v xml:space="preserve"> </v>
      </c>
      <c r="I40" s="761">
        <f>+I38-I39</f>
        <v>0</v>
      </c>
      <c r="J40" s="382" t="str">
        <f>IF($AE40&lt;1," ",IF(I40&lt;1," ",(I40)/$AE40))</f>
        <v xml:space="preserve"> </v>
      </c>
      <c r="K40" s="761">
        <f>+K38-K39</f>
        <v>0</v>
      </c>
      <c r="L40" s="382" t="str">
        <f>IF($AE40&lt;1," ",IF(K40&lt;1," ",(K40)/$AE40))</f>
        <v xml:space="preserve"> </v>
      </c>
      <c r="M40" s="761">
        <f>+M38-M39</f>
        <v>0</v>
      </c>
      <c r="N40" s="526" t="str">
        <f>IF($AE40&lt;1," ",IF(M40&lt;1," ",(M40)/$AE40))</f>
        <v xml:space="preserve"> </v>
      </c>
      <c r="O40" s="761">
        <f>+O38-O39</f>
        <v>0</v>
      </c>
      <c r="P40" s="382" t="str">
        <f>IF($AE40&lt;1," ",IF(O40&lt;1," ",(O40)/$AE40))</f>
        <v xml:space="preserve"> </v>
      </c>
      <c r="Q40" s="761">
        <f>+Q38-Q39</f>
        <v>0</v>
      </c>
      <c r="R40" s="526" t="str">
        <f>IF($AE40&lt;1," ",IF(Q40&lt;1," ",(Q40)/$AE40))</f>
        <v xml:space="preserve"> </v>
      </c>
      <c r="S40" s="762">
        <f>+S38-S39</f>
        <v>0</v>
      </c>
      <c r="T40" s="382" t="str">
        <f>IF($AE40&lt;1," ",IF(S40&lt;1," ",(S40)/$AE40))</f>
        <v xml:space="preserve"> </v>
      </c>
      <c r="U40" s="761">
        <f>+U38-U39</f>
        <v>0</v>
      </c>
      <c r="V40" s="382" t="str">
        <f>IF($AE40&lt;1," ",IF(U40&lt;1," ",(U40)/$AE40))</f>
        <v xml:space="preserve"> </v>
      </c>
      <c r="W40" s="761">
        <f>+W38-W39</f>
        <v>0</v>
      </c>
      <c r="X40" s="382" t="str">
        <f>IF($AE40&lt;1," ",IF(W40&lt;1," ",(W40)/$AE40))</f>
        <v xml:space="preserve"> </v>
      </c>
      <c r="Y40" s="761">
        <f>+Y38-Y39</f>
        <v>0</v>
      </c>
      <c r="Z40" s="382" t="str">
        <f>IF($AE40&lt;1," ",IF(Y40&lt;1," ",(Y40)/$AE40))</f>
        <v xml:space="preserve"> </v>
      </c>
      <c r="AA40" s="761">
        <f>+AA38-AA39</f>
        <v>0</v>
      </c>
      <c r="AB40" s="382" t="str">
        <f>IF($AE40&lt;1," ",IF(AA40&lt;1," ",(AA40)/$AE40))</f>
        <v xml:space="preserve"> </v>
      </c>
      <c r="AC40" s="1536">
        <f>+AC38-AC39</f>
        <v>0</v>
      </c>
      <c r="AD40" s="763">
        <f>+AD38-AD39</f>
        <v>0</v>
      </c>
      <c r="AE40" s="763">
        <f>+AE38-AE39</f>
        <v>0</v>
      </c>
      <c r="AF40" s="763">
        <f>+AF38-AF39</f>
        <v>0</v>
      </c>
      <c r="AG40" s="1177"/>
    </row>
    <row r="41" spans="1:34" ht="15.6"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570"/>
      <c r="E44" s="506"/>
      <c r="F44" s="337" t="str">
        <f t="shared" ref="F44" si="20">IF($D44&lt;1," ",IF(E44&lt;1," ",(E44)/$D44))</f>
        <v xml:space="preserve"> </v>
      </c>
      <c r="G44" s="395"/>
      <c r="H44" s="337" t="str">
        <f t="shared" ref="H44" si="21">IF($D44&lt;1," ",IF(G44&lt;1," ",(G44)/$D44))</f>
        <v xml:space="preserve"> </v>
      </c>
      <c r="I44" s="395"/>
      <c r="J44" s="337" t="str">
        <f t="shared" ref="J44" si="22">IF($D44&lt;1," ",IF(I44&lt;1," ",(I44)/$D44))</f>
        <v xml:space="preserve"> </v>
      </c>
      <c r="K44" s="395"/>
      <c r="L44" s="337" t="str">
        <f t="shared" ref="L44" si="23">IF($D44&lt;1," ",IF(K44&lt;1," ",(K44)/$D44))</f>
        <v xml:space="preserve"> </v>
      </c>
      <c r="M44" s="395"/>
      <c r="N44" s="524" t="str">
        <f t="shared" ref="N44" si="24">IF($D44&lt;1," ",IF(M44&lt;1," ",(M44)/$D44))</f>
        <v xml:space="preserve"> </v>
      </c>
      <c r="O44" s="395"/>
      <c r="P44" s="337" t="str">
        <f t="shared" ref="P44" si="25">IF($D44&lt;1," ",IF(O44&lt;1," ",(O44)/$D44))</f>
        <v xml:space="preserve"> </v>
      </c>
      <c r="Q44" s="395"/>
      <c r="R44" s="524" t="str">
        <f t="shared" ref="R44" si="26">IF($D44&lt;1," ",IF(Q44&lt;1," ",(Q44)/$D44))</f>
        <v xml:space="preserve"> </v>
      </c>
      <c r="S44" s="506"/>
      <c r="T44" s="337" t="str">
        <f t="shared" ref="T44" si="27">IF($D44&lt;1," ",IF(S44&lt;1," ",(S44)/$D44))</f>
        <v xml:space="preserve"> </v>
      </c>
      <c r="U44" s="395"/>
      <c r="V44" s="337" t="str">
        <f t="shared" ref="V44" si="28">IF($D44&lt;1," ",IF(U44&lt;1," ",(U44)/$D44))</f>
        <v xml:space="preserve"> </v>
      </c>
      <c r="W44" s="395"/>
      <c r="X44" s="337" t="str">
        <f t="shared" ref="X44" si="29">IF($D44&lt;1," ",IF(W44&lt;1," ",(W44)/$D44))</f>
        <v xml:space="preserve"> </v>
      </c>
      <c r="Y44" s="395"/>
      <c r="Z44" s="337" t="str">
        <f t="shared" ref="Z44" si="30">IF($D44&lt;1," ",IF(Y44&lt;1," ",(Y44)/$D44))</f>
        <v xml:space="preserve"> </v>
      </c>
      <c r="AA44" s="1608"/>
      <c r="AB44" s="337" t="str">
        <f t="shared" ref="AB44" si="31">IF($D44&lt;1," ",IF(AA44&lt;1," ",(AA44)/$D44))</f>
        <v xml:space="preserve"> </v>
      </c>
      <c r="AC44" s="821"/>
      <c r="AD44" s="1542">
        <f t="shared" ref="AD44:AD50" si="32">+E44+G44+I44+K44+M44+O44+Q44+S44+U44+W44+Y44+AA44</f>
        <v>0</v>
      </c>
      <c r="AE44" s="396">
        <f>D44-AD44</f>
        <v>0</v>
      </c>
      <c r="AF44" s="764"/>
      <c r="AG44" s="1543" t="str">
        <f t="shared" ref="AG44" si="33">IF(AD44=D44,"","Prior Year Transactions should be zero'd out by Year End")</f>
        <v/>
      </c>
    </row>
    <row r="45" spans="1:34" ht="15">
      <c r="A45" s="408" t="s">
        <v>327</v>
      </c>
      <c r="B45" s="393"/>
      <c r="C45" s="614">
        <v>9210</v>
      </c>
      <c r="D45" s="1001">
        <v>963069</v>
      </c>
      <c r="E45" s="394">
        <v>770455</v>
      </c>
      <c r="F45" s="337">
        <f t="shared" ref="F45:AB51" si="34">IF($D45&lt;1," ",IF(E45&lt;1," ",(E45)/$D45))</f>
        <v>0.79999979233055996</v>
      </c>
      <c r="G45" s="395">
        <v>192614</v>
      </c>
      <c r="H45" s="337">
        <f t="shared" ref="H45:H50" si="35">IF($D45&lt;1," ",IF(G45&lt;1," ",(G45)/$D45))</f>
        <v>0.2000002076694401</v>
      </c>
      <c r="I45" s="395"/>
      <c r="J45" s="337" t="str">
        <f t="shared" ref="J45:J50" si="36">IF($D45&lt;1," ",IF(I45&lt;1," ",(I45)/$D45))</f>
        <v xml:space="preserve"> </v>
      </c>
      <c r="K45" s="395"/>
      <c r="L45" s="337" t="str">
        <f t="shared" ref="L45:L50" si="37">IF($D45&lt;1," ",IF(K45&lt;1," ",(K45)/$D45))</f>
        <v xml:space="preserve"> </v>
      </c>
      <c r="M45" s="395"/>
      <c r="N45" s="524" t="str">
        <f t="shared" ref="N45:N50" si="38">IF($D45&lt;1," ",IF(M45&lt;1," ",(M45)/$D45))</f>
        <v xml:space="preserve"> </v>
      </c>
      <c r="O45" s="395"/>
      <c r="P45" s="337" t="str">
        <f t="shared" ref="P45:P50" si="39">IF($D45&lt;1," ",IF(O45&lt;1," ",(O45)/$D45))</f>
        <v xml:space="preserve"> </v>
      </c>
      <c r="Q45" s="395"/>
      <c r="R45" s="524" t="str">
        <f t="shared" ref="R45:R50" si="40">IF($D45&lt;1," ",IF(Q45&lt;1," ",(Q45)/$D45))</f>
        <v xml:space="preserve"> </v>
      </c>
      <c r="S45" s="506"/>
      <c r="T45" s="337" t="str">
        <f t="shared" ref="T45:T50" si="41">IF($D45&lt;1," ",IF(S45&lt;1," ",(S45)/$D45))</f>
        <v xml:space="preserve"> </v>
      </c>
      <c r="U45" s="395"/>
      <c r="V45" s="337" t="str">
        <f t="shared" ref="V45:V50" si="42">IF($D45&lt;1," ",IF(U45&lt;1," ",(U45)/$D45))</f>
        <v xml:space="preserve"> </v>
      </c>
      <c r="W45" s="395"/>
      <c r="X45" s="337" t="str">
        <f t="shared" ref="X45:X50" si="43">IF($D45&lt;1," ",IF(W45&lt;1," ",(W45)/$D45))</f>
        <v xml:space="preserve"> </v>
      </c>
      <c r="Y45" s="395"/>
      <c r="Z45" s="337" t="str">
        <f t="shared" ref="Z45:Z50" si="44">IF($D45&lt;1," ",IF(Y45&lt;1," ",(Y45)/$D45))</f>
        <v xml:space="preserve"> </v>
      </c>
      <c r="AA45" s="395"/>
      <c r="AB45" s="337" t="str">
        <f t="shared" ref="AB45:AB50" si="45">IF($D45&lt;1," ",IF(AA45&lt;1," ",(AA45)/$D45))</f>
        <v xml:space="preserve"> </v>
      </c>
      <c r="AC45" s="1539"/>
      <c r="AD45" s="1542">
        <f t="shared" si="32"/>
        <v>963069</v>
      </c>
      <c r="AE45" s="396">
        <f t="shared" ref="AE45:AE50" si="46">D45-AD45</f>
        <v>0</v>
      </c>
      <c r="AF45" s="764"/>
      <c r="AG45" s="1543" t="str">
        <f t="shared" ref="AG45:AG51" si="47">IF(AD45=D45,"","Prior Year Transactions should be zero'd out by Year End")</f>
        <v/>
      </c>
      <c r="AH45" s="1635" t="str">
        <f>IF(AD45=D45,"","Warning - Prior Year Transactions should be zero'd out by Year End")</f>
        <v/>
      </c>
    </row>
    <row r="46" spans="1:34" ht="15">
      <c r="A46" s="408" t="s">
        <v>11</v>
      </c>
      <c r="B46" s="393"/>
      <c r="C46" s="614">
        <v>9330</v>
      </c>
      <c r="D46" s="1001"/>
      <c r="E46" s="394"/>
      <c r="F46" s="337" t="str">
        <f t="shared" si="34"/>
        <v xml:space="preserve"> </v>
      </c>
      <c r="G46" s="395"/>
      <c r="H46" s="337" t="str">
        <f t="shared" si="35"/>
        <v xml:space="preserve"> </v>
      </c>
      <c r="I46" s="395"/>
      <c r="J46" s="337" t="str">
        <f t="shared" si="36"/>
        <v xml:space="preserve"> </v>
      </c>
      <c r="K46" s="395"/>
      <c r="L46" s="337" t="str">
        <f t="shared" si="37"/>
        <v xml:space="preserve"> </v>
      </c>
      <c r="M46" s="395"/>
      <c r="N46" s="524" t="str">
        <f t="shared" si="38"/>
        <v xml:space="preserve"> </v>
      </c>
      <c r="O46" s="395"/>
      <c r="P46" s="337" t="str">
        <f t="shared" si="39"/>
        <v xml:space="preserve"> </v>
      </c>
      <c r="Q46" s="395"/>
      <c r="R46" s="524" t="str">
        <f t="shared" si="40"/>
        <v xml:space="preserve"> </v>
      </c>
      <c r="S46" s="506"/>
      <c r="T46" s="337" t="str">
        <f t="shared" si="41"/>
        <v xml:space="preserve"> </v>
      </c>
      <c r="U46" s="395"/>
      <c r="V46" s="337" t="str">
        <f t="shared" si="42"/>
        <v xml:space="preserve"> </v>
      </c>
      <c r="W46" s="395"/>
      <c r="X46" s="337" t="str">
        <f t="shared" si="43"/>
        <v xml:space="preserve"> </v>
      </c>
      <c r="Y46" s="395"/>
      <c r="Z46" s="337" t="str">
        <f t="shared" si="44"/>
        <v xml:space="preserve"> </v>
      </c>
      <c r="AA46" s="395"/>
      <c r="AB46" s="337" t="str">
        <f>IF($D46&lt;1," ",IF(AA46&lt;1," ",(AA46)/$D46))</f>
        <v xml:space="preserve"> </v>
      </c>
      <c r="AC46" s="1539"/>
      <c r="AD46" s="1542">
        <f>+E46+G46+I46+K46+M46+O46+Q46+S46+U46+W46+Y46+AA46</f>
        <v>0</v>
      </c>
      <c r="AE46" s="396">
        <f t="shared" si="46"/>
        <v>0</v>
      </c>
      <c r="AF46" s="764"/>
      <c r="AG46" s="1543" t="str">
        <f t="shared" si="47"/>
        <v/>
      </c>
      <c r="AH46" s="1635" t="str">
        <f>IF(AD46=D46,"","Warning - Balances should only remain if Beg Bal included Pre-Paids for multiple years.")</f>
        <v/>
      </c>
    </row>
    <row r="47" spans="1:34" ht="15">
      <c r="A47" s="408" t="s">
        <v>513</v>
      </c>
      <c r="B47" s="393"/>
      <c r="C47" s="614"/>
      <c r="D47" s="1001"/>
      <c r="E47" s="394"/>
      <c r="F47" s="337" t="str">
        <f t="shared" si="34"/>
        <v xml:space="preserve"> </v>
      </c>
      <c r="G47" s="395"/>
      <c r="H47" s="337" t="str">
        <f t="shared" si="34"/>
        <v xml:space="preserve"> </v>
      </c>
      <c r="I47" s="395"/>
      <c r="J47" s="337" t="str">
        <f t="shared" si="34"/>
        <v xml:space="preserve"> </v>
      </c>
      <c r="K47" s="395"/>
      <c r="L47" s="337" t="str">
        <f t="shared" si="34"/>
        <v xml:space="preserve"> </v>
      </c>
      <c r="M47" s="395"/>
      <c r="N47" s="524" t="str">
        <f t="shared" si="34"/>
        <v xml:space="preserve"> </v>
      </c>
      <c r="O47" s="395"/>
      <c r="P47" s="337" t="str">
        <f t="shared" si="34"/>
        <v xml:space="preserve"> </v>
      </c>
      <c r="Q47" s="395"/>
      <c r="R47" s="524" t="str">
        <f t="shared" si="34"/>
        <v xml:space="preserve"> </v>
      </c>
      <c r="S47" s="506"/>
      <c r="T47" s="337" t="str">
        <f t="shared" si="34"/>
        <v xml:space="preserve"> </v>
      </c>
      <c r="U47" s="395"/>
      <c r="V47" s="337" t="str">
        <f t="shared" si="34"/>
        <v xml:space="preserve"> </v>
      </c>
      <c r="W47" s="395"/>
      <c r="X47" s="337" t="str">
        <f t="shared" si="34"/>
        <v xml:space="preserve"> </v>
      </c>
      <c r="Y47" s="395"/>
      <c r="Z47" s="337" t="str">
        <f t="shared" si="34"/>
        <v xml:space="preserve"> </v>
      </c>
      <c r="AA47" s="395"/>
      <c r="AB47" s="337" t="str">
        <f>IF($D47&lt;1," ",IF(AA47&lt;1," ",(AA47)/$D47))</f>
        <v xml:space="preserve"> </v>
      </c>
      <c r="AC47" s="1539"/>
      <c r="AD47" s="1542">
        <f>+E47+G47+I47+K47+M47+O47+Q47+S47+U47+W47+Y47+AA47</f>
        <v>0</v>
      </c>
      <c r="AE47" s="396">
        <f t="shared" ref="AE47" si="48">D47-AD47</f>
        <v>0</v>
      </c>
      <c r="AF47" s="764"/>
      <c r="AG47" s="1543"/>
      <c r="AH47" s="1635"/>
    </row>
    <row r="48" spans="1:34" ht="15">
      <c r="A48" s="408" t="s">
        <v>328</v>
      </c>
      <c r="B48" s="393"/>
      <c r="C48" s="614">
        <v>9510</v>
      </c>
      <c r="D48" s="1001">
        <v>66018</v>
      </c>
      <c r="E48" s="394">
        <v>66018</v>
      </c>
      <c r="F48" s="337">
        <f t="shared" si="34"/>
        <v>1</v>
      </c>
      <c r="G48" s="395"/>
      <c r="H48" s="337" t="str">
        <f t="shared" si="35"/>
        <v xml:space="preserve"> </v>
      </c>
      <c r="I48" s="395"/>
      <c r="J48" s="337" t="str">
        <f t="shared" si="36"/>
        <v xml:space="preserve"> </v>
      </c>
      <c r="K48" s="395"/>
      <c r="L48" s="337" t="str">
        <f t="shared" si="37"/>
        <v xml:space="preserve"> </v>
      </c>
      <c r="M48" s="395"/>
      <c r="N48" s="524" t="str">
        <f t="shared" si="38"/>
        <v xml:space="preserve"> </v>
      </c>
      <c r="O48" s="395"/>
      <c r="P48" s="337" t="str">
        <f t="shared" si="39"/>
        <v xml:space="preserve"> </v>
      </c>
      <c r="Q48" s="395"/>
      <c r="R48" s="524" t="str">
        <f t="shared" si="40"/>
        <v xml:space="preserve"> </v>
      </c>
      <c r="S48" s="506"/>
      <c r="T48" s="337" t="str">
        <f t="shared" si="41"/>
        <v xml:space="preserve"> </v>
      </c>
      <c r="U48" s="395"/>
      <c r="V48" s="337" t="str">
        <f t="shared" si="42"/>
        <v xml:space="preserve"> </v>
      </c>
      <c r="W48" s="395"/>
      <c r="X48" s="337" t="str">
        <f t="shared" si="43"/>
        <v xml:space="preserve"> </v>
      </c>
      <c r="Y48" s="395"/>
      <c r="Z48" s="337" t="str">
        <f t="shared" si="44"/>
        <v xml:space="preserve"> </v>
      </c>
      <c r="AA48" s="395"/>
      <c r="AB48" s="337" t="str">
        <f t="shared" si="45"/>
        <v xml:space="preserve"> </v>
      </c>
      <c r="AC48" s="1539"/>
      <c r="AD48" s="1542">
        <f t="shared" si="32"/>
        <v>66018</v>
      </c>
      <c r="AE48" s="396">
        <f t="shared" si="46"/>
        <v>0</v>
      </c>
      <c r="AF48" s="764"/>
      <c r="AG48" s="1543" t="str">
        <f t="shared" si="47"/>
        <v/>
      </c>
      <c r="AH48" s="1635" t="str">
        <f>IF(AD48=D48,"","Warning - Prior Year Transactions should be zero'd out by Year End")</f>
        <v/>
      </c>
    </row>
    <row r="49" spans="1:34" ht="15">
      <c r="A49" s="408" t="s">
        <v>329</v>
      </c>
      <c r="B49" s="393"/>
      <c r="C49" s="615">
        <v>9640</v>
      </c>
      <c r="D49" s="1002"/>
      <c r="E49" s="394"/>
      <c r="F49" s="337" t="str">
        <f t="shared" si="34"/>
        <v xml:space="preserve"> </v>
      </c>
      <c r="G49" s="395"/>
      <c r="H49" s="337" t="str">
        <f t="shared" si="35"/>
        <v xml:space="preserve"> </v>
      </c>
      <c r="I49" s="395"/>
      <c r="J49" s="337" t="str">
        <f t="shared" si="36"/>
        <v xml:space="preserve"> </v>
      </c>
      <c r="K49" s="395"/>
      <c r="L49" s="337" t="str">
        <f t="shared" si="37"/>
        <v xml:space="preserve"> </v>
      </c>
      <c r="M49" s="395"/>
      <c r="N49" s="524" t="str">
        <f t="shared" si="38"/>
        <v xml:space="preserve"> </v>
      </c>
      <c r="O49" s="395"/>
      <c r="P49" s="337" t="str">
        <f t="shared" si="39"/>
        <v xml:space="preserve"> </v>
      </c>
      <c r="Q49" s="395"/>
      <c r="R49" s="524" t="str">
        <f t="shared" si="40"/>
        <v xml:space="preserve"> </v>
      </c>
      <c r="S49" s="506"/>
      <c r="T49" s="337" t="str">
        <f t="shared" si="41"/>
        <v xml:space="preserve"> </v>
      </c>
      <c r="U49" s="395"/>
      <c r="V49" s="337" t="str">
        <f t="shared" si="42"/>
        <v xml:space="preserve"> </v>
      </c>
      <c r="W49" s="395"/>
      <c r="X49" s="337" t="str">
        <f t="shared" si="43"/>
        <v xml:space="preserve"> </v>
      </c>
      <c r="Y49" s="395"/>
      <c r="Z49" s="337" t="str">
        <f t="shared" si="44"/>
        <v xml:space="preserve"> </v>
      </c>
      <c r="AA49" s="395"/>
      <c r="AB49" s="337" t="str">
        <f t="shared" si="45"/>
        <v xml:space="preserve"> </v>
      </c>
      <c r="AC49" s="1539"/>
      <c r="AD49" s="1542">
        <f t="shared" si="32"/>
        <v>0</v>
      </c>
      <c r="AE49" s="396">
        <f t="shared" si="46"/>
        <v>0</v>
      </c>
      <c r="AF49" s="764"/>
      <c r="AG49" s="1543" t="str">
        <f t="shared" si="47"/>
        <v/>
      </c>
      <c r="AH49" s="1635" t="str">
        <f>IF(AD49=D49,"","Warning - Review ending balance to ensure it is payable in the subsequent year.")</f>
        <v/>
      </c>
    </row>
    <row r="50" spans="1:34" ht="15">
      <c r="A50" s="408" t="s">
        <v>330</v>
      </c>
      <c r="B50" s="393"/>
      <c r="C50" s="614">
        <v>9650</v>
      </c>
      <c r="D50" s="1001"/>
      <c r="E50" s="394"/>
      <c r="F50" s="337" t="str">
        <f t="shared" si="34"/>
        <v xml:space="preserve"> </v>
      </c>
      <c r="G50" s="395"/>
      <c r="H50" s="337" t="str">
        <f t="shared" si="35"/>
        <v xml:space="preserve"> </v>
      </c>
      <c r="I50" s="395"/>
      <c r="J50" s="337" t="str">
        <f t="shared" si="36"/>
        <v xml:space="preserve"> </v>
      </c>
      <c r="K50" s="395"/>
      <c r="L50" s="337" t="str">
        <f t="shared" si="37"/>
        <v xml:space="preserve"> </v>
      </c>
      <c r="M50" s="395"/>
      <c r="N50" s="524" t="str">
        <f t="shared" si="38"/>
        <v xml:space="preserve"> </v>
      </c>
      <c r="O50" s="395"/>
      <c r="P50" s="337" t="str">
        <f t="shared" si="39"/>
        <v xml:space="preserve"> </v>
      </c>
      <c r="Q50" s="395"/>
      <c r="R50" s="524" t="str">
        <f t="shared" si="40"/>
        <v xml:space="preserve"> </v>
      </c>
      <c r="S50" s="506"/>
      <c r="T50" s="337" t="str">
        <f t="shared" si="41"/>
        <v xml:space="preserve"> </v>
      </c>
      <c r="U50" s="395"/>
      <c r="V50" s="337" t="str">
        <f t="shared" si="42"/>
        <v xml:space="preserve"> </v>
      </c>
      <c r="W50" s="395"/>
      <c r="X50" s="337" t="str">
        <f t="shared" si="43"/>
        <v xml:space="preserve"> </v>
      </c>
      <c r="Y50" s="395"/>
      <c r="Z50" s="337" t="str">
        <f t="shared" si="44"/>
        <v xml:space="preserve"> </v>
      </c>
      <c r="AA50" s="395"/>
      <c r="AB50" s="337" t="str">
        <f t="shared" si="45"/>
        <v xml:space="preserve"> </v>
      </c>
      <c r="AC50" s="1539"/>
      <c r="AD50" s="1542">
        <f t="shared" si="32"/>
        <v>0</v>
      </c>
      <c r="AE50" s="396">
        <f t="shared" si="46"/>
        <v>0</v>
      </c>
      <c r="AF50" s="764"/>
      <c r="AG50" s="1543" t="str">
        <f t="shared" si="47"/>
        <v/>
      </c>
      <c r="AH50" s="1635" t="str">
        <f>IF(AD50=D50,"","Warning - Balances should only remain if Beg Bal included Deferrals for multiple years.")</f>
        <v/>
      </c>
    </row>
    <row r="51" spans="1:34" ht="15">
      <c r="A51" s="408" t="s">
        <v>514</v>
      </c>
      <c r="B51" s="393"/>
      <c r="C51" s="614"/>
      <c r="D51" s="1001"/>
      <c r="E51" s="394"/>
      <c r="F51" s="337" t="str">
        <f t="shared" si="34"/>
        <v xml:space="preserve"> </v>
      </c>
      <c r="G51" s="395"/>
      <c r="H51" s="337" t="str">
        <f t="shared" si="34"/>
        <v xml:space="preserve"> </v>
      </c>
      <c r="I51" s="395"/>
      <c r="J51" s="337" t="str">
        <f t="shared" si="34"/>
        <v xml:space="preserve"> </v>
      </c>
      <c r="K51" s="395"/>
      <c r="L51" s="337" t="str">
        <f t="shared" si="34"/>
        <v xml:space="preserve"> </v>
      </c>
      <c r="M51" s="395"/>
      <c r="N51" s="524" t="str">
        <f t="shared" si="34"/>
        <v xml:space="preserve"> </v>
      </c>
      <c r="O51" s="395"/>
      <c r="P51" s="337" t="str">
        <f t="shared" si="34"/>
        <v xml:space="preserve"> </v>
      </c>
      <c r="Q51" s="395"/>
      <c r="R51" s="524" t="str">
        <f t="shared" si="34"/>
        <v xml:space="preserve"> </v>
      </c>
      <c r="S51" s="506"/>
      <c r="T51" s="337" t="str">
        <f t="shared" si="34"/>
        <v xml:space="preserve"> </v>
      </c>
      <c r="U51" s="395"/>
      <c r="V51" s="337" t="str">
        <f t="shared" si="34"/>
        <v xml:space="preserve"> </v>
      </c>
      <c r="W51" s="395"/>
      <c r="X51" s="337" t="str">
        <f t="shared" si="34"/>
        <v xml:space="preserve"> </v>
      </c>
      <c r="Y51" s="395"/>
      <c r="Z51" s="337" t="str">
        <f t="shared" si="34"/>
        <v xml:space="preserve"> </v>
      </c>
      <c r="AA51" s="395"/>
      <c r="AB51" s="337" t="str">
        <f t="shared" si="34"/>
        <v xml:space="preserve"> </v>
      </c>
      <c r="AC51" s="1539"/>
      <c r="AD51" s="1542">
        <f>+E51+G51+I51+K51+M51+O51+Q51+S51+U51+W51+Y51+AA51</f>
        <v>0</v>
      </c>
      <c r="AE51" s="396">
        <f t="shared" ref="AE51" si="49">D51-AD51</f>
        <v>0</v>
      </c>
      <c r="AF51" s="764"/>
      <c r="AG51" s="1543" t="str">
        <f t="shared" si="47"/>
        <v/>
      </c>
      <c r="AH51" s="1635"/>
    </row>
    <row r="52" spans="1:34" ht="15.4" thickBot="1">
      <c r="A52" s="69" t="s">
        <v>511</v>
      </c>
      <c r="B52" s="367"/>
      <c r="C52" s="70"/>
      <c r="D52" s="1051">
        <f>D44+D45+D46+D47-D48-D49-D50-D51</f>
        <v>897051</v>
      </c>
      <c r="E52" s="762">
        <f>E44+E45+E46+E47-E48-E49-E50-E51</f>
        <v>704437</v>
      </c>
      <c r="F52" s="530"/>
      <c r="G52" s="762">
        <f>G44+G45+G46+G47-G48-G49-G50-G51</f>
        <v>192614</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763">
        <f>AD44+AD45+AD46+AD47-AD48-AD49-AD50-AD51</f>
        <v>897051</v>
      </c>
      <c r="AE52" s="763">
        <f>AE44+AE45+AE46+AE47-AE48-AE49-AE50-AE51</f>
        <v>0</v>
      </c>
      <c r="AF52" s="764"/>
      <c r="AH52" s="132"/>
    </row>
    <row r="53" spans="1:34" ht="15.6" customHeight="1">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 si="50">IF($AE55&lt;1," ",IF(E55&lt;1," ",(E55)/$AE55))</f>
        <v xml:space="preserve"> </v>
      </c>
      <c r="G55" s="395"/>
      <c r="H55" s="337" t="str">
        <f t="shared" ref="H55" si="51">IF($AE55&lt;1," ",IF(G55&lt;1," ",(G55)/$AE55))</f>
        <v xml:space="preserve"> </v>
      </c>
      <c r="I55" s="395"/>
      <c r="J55" s="337" t="str">
        <f t="shared" ref="J55" si="52">IF($AE55&lt;1," ",IF(I55&lt;1," ",(I55)/$AE55))</f>
        <v xml:space="preserve"> </v>
      </c>
      <c r="K55" s="395"/>
      <c r="L55" s="337" t="str">
        <f t="shared" ref="L55" si="53">IF($AE55&lt;1," ",IF(K55&lt;1," ",(K55)/$AE55))</f>
        <v xml:space="preserve"> </v>
      </c>
      <c r="M55" s="395"/>
      <c r="N55" s="524" t="str">
        <f t="shared" ref="N55" si="54">IF($AE55&lt;1," ",IF(M55&lt;1," ",(M55)/$AE55))</f>
        <v xml:space="preserve"> </v>
      </c>
      <c r="O55" s="395"/>
      <c r="P55" s="337" t="str">
        <f t="shared" ref="P55" si="55">IF($AE55&lt;1," ",IF(O55&lt;1," ",(O55)/$AE55))</f>
        <v xml:space="preserve"> </v>
      </c>
      <c r="Q55" s="395"/>
      <c r="R55" s="524" t="str">
        <f t="shared" ref="R55" si="56">IF($AE55&lt;1," ",IF(Q55&lt;1," ",(Q55)/$AE55))</f>
        <v xml:space="preserve"> </v>
      </c>
      <c r="S55" s="506"/>
      <c r="T55" s="337" t="str">
        <f t="shared" ref="T55" si="57">IF($AE55&lt;1," ",IF(S55&lt;1," ",(S55)/$AE55))</f>
        <v xml:space="preserve"> </v>
      </c>
      <c r="U55" s="395"/>
      <c r="V55" s="337" t="str">
        <f t="shared" ref="V55" si="58">IF($AE55&lt;1," ",IF(U55&lt;1," ",(U55)/$AE55))</f>
        <v xml:space="preserve"> </v>
      </c>
      <c r="W55" s="395"/>
      <c r="X55" s="337" t="str">
        <f t="shared" ref="X55" si="59">IF($AE55&lt;1," ",IF(W55&lt;1," ",(W55)/$AE55))</f>
        <v xml:space="preserve"> </v>
      </c>
      <c r="Y55" s="395"/>
      <c r="Z55" s="337" t="str">
        <f t="shared" ref="Z55" si="60">IF($AE55&lt;1," ",IF(Y55&lt;1," ",(Y55)/$AE55))</f>
        <v xml:space="preserve"> </v>
      </c>
      <c r="AA55" s="395"/>
      <c r="AB55" s="337" t="str">
        <f t="shared" ref="AB55" si="61">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ref="F56:F61" si="62">IF($AE56&lt;1," ",IF(E56&lt;1," ",(E56)/$AE56))</f>
        <v xml:space="preserve"> </v>
      </c>
      <c r="G56" s="395"/>
      <c r="H56" s="337" t="str">
        <f t="shared" ref="H56:H61" si="63">IF($AE56&lt;1," ",IF(G56&lt;1," ",(G56)/$AE56))</f>
        <v xml:space="preserve"> </v>
      </c>
      <c r="I56" s="395"/>
      <c r="J56" s="337" t="str">
        <f t="shared" ref="J56:J61" si="64">IF($AE56&lt;1," ",IF(I56&lt;1," ",(I56)/$AE56))</f>
        <v xml:space="preserve"> </v>
      </c>
      <c r="K56" s="395"/>
      <c r="L56" s="337" t="str">
        <f t="shared" ref="L56:L61" si="65">IF($AE56&lt;1," ",IF(K56&lt;1," ",(K56)/$AE56))</f>
        <v xml:space="preserve"> </v>
      </c>
      <c r="M56" s="395"/>
      <c r="N56" s="524" t="str">
        <f t="shared" ref="N56:N61" si="66">IF($AE56&lt;1," ",IF(M56&lt;1," ",(M56)/$AE56))</f>
        <v xml:space="preserve"> </v>
      </c>
      <c r="O56" s="395"/>
      <c r="P56" s="337" t="str">
        <f t="shared" ref="P56:P61" si="67">IF($AE56&lt;1," ",IF(O56&lt;1," ",(O56)/$AE56))</f>
        <v xml:space="preserve"> </v>
      </c>
      <c r="Q56" s="395"/>
      <c r="R56" s="524" t="str">
        <f t="shared" ref="R56:R61" si="68">IF($AE56&lt;1," ",IF(Q56&lt;1," ",(Q56)/$AE56))</f>
        <v xml:space="preserve"> </v>
      </c>
      <c r="S56" s="506"/>
      <c r="T56" s="337" t="str">
        <f t="shared" ref="T56:T61" si="69">IF($AE56&lt;1," ",IF(S56&lt;1," ",(S56)/$AE56))</f>
        <v xml:space="preserve"> </v>
      </c>
      <c r="U56" s="395"/>
      <c r="V56" s="337" t="str">
        <f t="shared" ref="V56:V61" si="70">IF($AE56&lt;1," ",IF(U56&lt;1," ",(U56)/$AE56))</f>
        <v xml:space="preserve"> </v>
      </c>
      <c r="W56" s="395"/>
      <c r="X56" s="337" t="str">
        <f t="shared" ref="X56:X61" si="71">IF($AE56&lt;1," ",IF(W56&lt;1," ",(W56)/$AE56))</f>
        <v xml:space="preserve"> </v>
      </c>
      <c r="Y56" s="395"/>
      <c r="Z56" s="337" t="str">
        <f t="shared" ref="Z56:Z61" si="72">IF($AE56&lt;1," ",IF(Y56&lt;1," ",(Y56)/$AE56))</f>
        <v xml:space="preserve"> </v>
      </c>
      <c r="AA56" s="395"/>
      <c r="AB56" s="337" t="str">
        <f t="shared" ref="AB56:AB61" si="73">IF($AE56&lt;1," ",IF(AA56&lt;1," ",(AA56)/$AE56))</f>
        <v xml:space="preserve"> </v>
      </c>
      <c r="AC56" s="1539"/>
      <c r="AD56" s="1630">
        <f t="shared" ref="AD56:AD61" si="74">E56+G56+I56+K56+M56+O56+Q56+S56+U56+W56+Y56+AA56+AC56</f>
        <v>0</v>
      </c>
      <c r="AE56" s="1631">
        <f t="shared" ref="AE56:AE61" si="75">D56-AD56</f>
        <v>0</v>
      </c>
      <c r="AF56" s="765"/>
      <c r="AG56" s="1177"/>
      <c r="AH56" s="132"/>
    </row>
    <row r="57" spans="1:34" ht="15">
      <c r="A57" s="1832"/>
      <c r="B57" s="1833"/>
      <c r="C57" s="374"/>
      <c r="D57" s="1570"/>
      <c r="E57" s="394"/>
      <c r="F57" s="337" t="str">
        <f t="shared" si="62"/>
        <v xml:space="preserve"> </v>
      </c>
      <c r="G57" s="395"/>
      <c r="H57" s="337" t="str">
        <f t="shared" si="63"/>
        <v xml:space="preserve"> </v>
      </c>
      <c r="I57" s="395"/>
      <c r="J57" s="337" t="str">
        <f t="shared" si="64"/>
        <v xml:space="preserve"> </v>
      </c>
      <c r="K57" s="395"/>
      <c r="L57" s="337" t="str">
        <f t="shared" si="65"/>
        <v xml:space="preserve"> </v>
      </c>
      <c r="M57" s="395"/>
      <c r="N57" s="524" t="str">
        <f t="shared" si="66"/>
        <v xml:space="preserve"> </v>
      </c>
      <c r="O57" s="395"/>
      <c r="P57" s="337" t="str">
        <f t="shared" si="67"/>
        <v xml:space="preserve"> </v>
      </c>
      <c r="Q57" s="395"/>
      <c r="R57" s="524" t="str">
        <f t="shared" si="68"/>
        <v xml:space="preserve"> </v>
      </c>
      <c r="S57" s="506"/>
      <c r="T57" s="337" t="str">
        <f t="shared" si="69"/>
        <v xml:space="preserve"> </v>
      </c>
      <c r="U57" s="395"/>
      <c r="V57" s="337" t="str">
        <f t="shared" si="70"/>
        <v xml:space="preserve"> </v>
      </c>
      <c r="W57" s="395"/>
      <c r="X57" s="337" t="str">
        <f t="shared" si="71"/>
        <v xml:space="preserve"> </v>
      </c>
      <c r="Y57" s="395"/>
      <c r="Z57" s="337" t="str">
        <f t="shared" si="72"/>
        <v xml:space="preserve"> </v>
      </c>
      <c r="AA57" s="395"/>
      <c r="AB57" s="337" t="str">
        <f t="shared" si="73"/>
        <v xml:space="preserve"> </v>
      </c>
      <c r="AC57" s="1539"/>
      <c r="AD57" s="1630">
        <f t="shared" si="74"/>
        <v>0</v>
      </c>
      <c r="AE57" s="1631">
        <f t="shared" si="75"/>
        <v>0</v>
      </c>
      <c r="AF57" s="765"/>
      <c r="AG57" s="1177"/>
      <c r="AH57" s="132"/>
    </row>
    <row r="58" spans="1:34" ht="15">
      <c r="A58" s="1832"/>
      <c r="B58" s="1833"/>
      <c r="C58" s="374"/>
      <c r="D58" s="1570"/>
      <c r="E58" s="394"/>
      <c r="F58" s="337" t="str">
        <f t="shared" si="62"/>
        <v xml:space="preserve"> </v>
      </c>
      <c r="G58" s="395"/>
      <c r="H58" s="337" t="str">
        <f t="shared" si="63"/>
        <v xml:space="preserve"> </v>
      </c>
      <c r="I58" s="395"/>
      <c r="J58" s="337" t="str">
        <f t="shared" si="64"/>
        <v xml:space="preserve"> </v>
      </c>
      <c r="K58" s="395"/>
      <c r="L58" s="337" t="str">
        <f t="shared" si="65"/>
        <v xml:space="preserve"> </v>
      </c>
      <c r="M58" s="395"/>
      <c r="N58" s="524" t="str">
        <f t="shared" si="66"/>
        <v xml:space="preserve"> </v>
      </c>
      <c r="O58" s="395"/>
      <c r="P58" s="337" t="str">
        <f t="shared" si="67"/>
        <v xml:space="preserve"> </v>
      </c>
      <c r="Q58" s="395"/>
      <c r="R58" s="524" t="str">
        <f t="shared" si="68"/>
        <v xml:space="preserve"> </v>
      </c>
      <c r="S58" s="506"/>
      <c r="T58" s="337" t="str">
        <f t="shared" si="69"/>
        <v xml:space="preserve"> </v>
      </c>
      <c r="U58" s="395"/>
      <c r="V58" s="337" t="str">
        <f t="shared" si="70"/>
        <v xml:space="preserve"> </v>
      </c>
      <c r="W58" s="395"/>
      <c r="X58" s="337" t="str">
        <f t="shared" si="71"/>
        <v xml:space="preserve"> </v>
      </c>
      <c r="Y58" s="395"/>
      <c r="Z58" s="337" t="str">
        <f t="shared" si="72"/>
        <v xml:space="preserve"> </v>
      </c>
      <c r="AA58" s="395"/>
      <c r="AB58" s="337" t="str">
        <f t="shared" si="73"/>
        <v xml:space="preserve"> </v>
      </c>
      <c r="AC58" s="1539"/>
      <c r="AD58" s="1630">
        <f t="shared" si="74"/>
        <v>0</v>
      </c>
      <c r="AE58" s="1631">
        <f t="shared" si="75"/>
        <v>0</v>
      </c>
      <c r="AF58" s="765"/>
      <c r="AG58" s="1177"/>
      <c r="AH58" s="132"/>
    </row>
    <row r="59" spans="1:34" ht="15">
      <c r="A59" s="1832"/>
      <c r="B59" s="1833"/>
      <c r="C59" s="374"/>
      <c r="D59" s="1570"/>
      <c r="E59" s="394"/>
      <c r="F59" s="337" t="str">
        <f t="shared" si="62"/>
        <v xml:space="preserve"> </v>
      </c>
      <c r="G59" s="395"/>
      <c r="H59" s="337" t="str">
        <f t="shared" si="63"/>
        <v xml:space="preserve"> </v>
      </c>
      <c r="I59" s="395"/>
      <c r="J59" s="337" t="str">
        <f t="shared" si="64"/>
        <v xml:space="preserve"> </v>
      </c>
      <c r="K59" s="395"/>
      <c r="L59" s="337" t="str">
        <f t="shared" si="65"/>
        <v xml:space="preserve"> </v>
      </c>
      <c r="M59" s="395"/>
      <c r="N59" s="524" t="str">
        <f t="shared" si="66"/>
        <v xml:space="preserve"> </v>
      </c>
      <c r="O59" s="395"/>
      <c r="P59" s="337" t="str">
        <f t="shared" si="67"/>
        <v xml:space="preserve"> </v>
      </c>
      <c r="Q59" s="395"/>
      <c r="R59" s="524" t="str">
        <f t="shared" si="68"/>
        <v xml:space="preserve"> </v>
      </c>
      <c r="S59" s="506"/>
      <c r="T59" s="337" t="str">
        <f t="shared" si="69"/>
        <v xml:space="preserve"> </v>
      </c>
      <c r="U59" s="395"/>
      <c r="V59" s="337" t="str">
        <f t="shared" si="70"/>
        <v xml:space="preserve"> </v>
      </c>
      <c r="W59" s="395"/>
      <c r="X59" s="337" t="str">
        <f t="shared" si="71"/>
        <v xml:space="preserve"> </v>
      </c>
      <c r="Y59" s="395"/>
      <c r="Z59" s="337" t="str">
        <f t="shared" si="72"/>
        <v xml:space="preserve"> </v>
      </c>
      <c r="AA59" s="395"/>
      <c r="AB59" s="337" t="str">
        <f t="shared" si="73"/>
        <v xml:space="preserve"> </v>
      </c>
      <c r="AC59" s="1539"/>
      <c r="AD59" s="1630">
        <f t="shared" si="74"/>
        <v>0</v>
      </c>
      <c r="AE59" s="1631">
        <f t="shared" si="75"/>
        <v>0</v>
      </c>
      <c r="AF59" s="765"/>
      <c r="AG59" s="1177"/>
      <c r="AH59" s="132"/>
    </row>
    <row r="60" spans="1:34" ht="15">
      <c r="A60" s="1832"/>
      <c r="B60" s="1833"/>
      <c r="C60" s="374"/>
      <c r="D60" s="1570"/>
      <c r="E60" s="394"/>
      <c r="F60" s="337" t="str">
        <f t="shared" si="62"/>
        <v xml:space="preserve"> </v>
      </c>
      <c r="G60" s="395"/>
      <c r="H60" s="337" t="str">
        <f t="shared" si="63"/>
        <v xml:space="preserve"> </v>
      </c>
      <c r="I60" s="395"/>
      <c r="J60" s="337" t="str">
        <f t="shared" si="64"/>
        <v xml:space="preserve"> </v>
      </c>
      <c r="K60" s="395"/>
      <c r="L60" s="337" t="str">
        <f t="shared" si="65"/>
        <v xml:space="preserve"> </v>
      </c>
      <c r="M60" s="395"/>
      <c r="N60" s="524" t="str">
        <f t="shared" si="66"/>
        <v xml:space="preserve"> </v>
      </c>
      <c r="O60" s="395"/>
      <c r="P60" s="337" t="str">
        <f t="shared" si="67"/>
        <v xml:space="preserve"> </v>
      </c>
      <c r="Q60" s="395"/>
      <c r="R60" s="524" t="str">
        <f t="shared" si="68"/>
        <v xml:space="preserve"> </v>
      </c>
      <c r="S60" s="506"/>
      <c r="T60" s="337" t="str">
        <f t="shared" si="69"/>
        <v xml:space="preserve"> </v>
      </c>
      <c r="U60" s="395"/>
      <c r="V60" s="337" t="str">
        <f t="shared" si="70"/>
        <v xml:space="preserve"> </v>
      </c>
      <c r="W60" s="395"/>
      <c r="X60" s="337" t="str">
        <f t="shared" si="71"/>
        <v xml:space="preserve"> </v>
      </c>
      <c r="Y60" s="395"/>
      <c r="Z60" s="337" t="str">
        <f t="shared" si="72"/>
        <v xml:space="preserve"> </v>
      </c>
      <c r="AA60" s="395"/>
      <c r="AB60" s="337" t="str">
        <f t="shared" si="73"/>
        <v xml:space="preserve"> </v>
      </c>
      <c r="AC60" s="1539"/>
      <c r="AD60" s="1630">
        <f t="shared" si="74"/>
        <v>0</v>
      </c>
      <c r="AE60" s="1631">
        <f t="shared" si="75"/>
        <v>0</v>
      </c>
      <c r="AF60" s="765"/>
      <c r="AG60" s="1177"/>
      <c r="AH60" s="132"/>
    </row>
    <row r="61" spans="1:34" ht="15">
      <c r="A61" s="1832"/>
      <c r="B61" s="1833"/>
      <c r="C61" s="374"/>
      <c r="D61" s="1570"/>
      <c r="E61" s="394"/>
      <c r="F61" s="337" t="str">
        <f t="shared" si="62"/>
        <v xml:space="preserve"> </v>
      </c>
      <c r="G61" s="395"/>
      <c r="H61" s="337" t="str">
        <f t="shared" si="63"/>
        <v xml:space="preserve"> </v>
      </c>
      <c r="I61" s="395"/>
      <c r="J61" s="337" t="str">
        <f t="shared" si="64"/>
        <v xml:space="preserve"> </v>
      </c>
      <c r="K61" s="395"/>
      <c r="L61" s="337" t="str">
        <f t="shared" si="65"/>
        <v xml:space="preserve"> </v>
      </c>
      <c r="M61" s="395"/>
      <c r="N61" s="524" t="str">
        <f t="shared" si="66"/>
        <v xml:space="preserve"> </v>
      </c>
      <c r="O61" s="395"/>
      <c r="P61" s="337" t="str">
        <f t="shared" si="67"/>
        <v xml:space="preserve"> </v>
      </c>
      <c r="Q61" s="395"/>
      <c r="R61" s="524" t="str">
        <f t="shared" si="68"/>
        <v xml:space="preserve"> </v>
      </c>
      <c r="S61" s="506"/>
      <c r="T61" s="337" t="str">
        <f t="shared" si="69"/>
        <v xml:space="preserve"> </v>
      </c>
      <c r="U61" s="395"/>
      <c r="V61" s="337" t="str">
        <f t="shared" si="70"/>
        <v xml:space="preserve"> </v>
      </c>
      <c r="W61" s="395"/>
      <c r="X61" s="337" t="str">
        <f t="shared" si="71"/>
        <v xml:space="preserve"> </v>
      </c>
      <c r="Y61" s="395"/>
      <c r="Z61" s="337" t="str">
        <f t="shared" si="72"/>
        <v xml:space="preserve"> </v>
      </c>
      <c r="AA61" s="395"/>
      <c r="AB61" s="337" t="str">
        <f t="shared" si="73"/>
        <v xml:space="preserve"> </v>
      </c>
      <c r="AC61" s="1539"/>
      <c r="AD61" s="1630">
        <f t="shared" si="74"/>
        <v>0</v>
      </c>
      <c r="AE61" s="1631">
        <f t="shared" si="75"/>
        <v>0</v>
      </c>
      <c r="AF61" s="765"/>
      <c r="AG61" s="1177"/>
      <c r="AH61" s="132"/>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c r="AH62" s="132"/>
    </row>
    <row r="63" spans="1:34" ht="15">
      <c r="A63" s="769"/>
      <c r="B63" s="770"/>
      <c r="C63" s="371"/>
      <c r="D63" s="371"/>
      <c r="E63" s="538"/>
      <c r="F63" s="478"/>
      <c r="G63" s="518"/>
      <c r="H63" s="478"/>
      <c r="I63" s="518"/>
      <c r="J63" s="478"/>
      <c r="K63" s="518"/>
      <c r="L63" s="478"/>
      <c r="M63" s="518"/>
      <c r="N63" s="478"/>
      <c r="O63" s="518"/>
      <c r="P63" s="478"/>
      <c r="Q63" s="518"/>
      <c r="R63" s="478"/>
      <c r="S63" s="518"/>
      <c r="T63" s="478"/>
      <c r="U63" s="518"/>
      <c r="V63" s="478"/>
      <c r="W63" s="518"/>
      <c r="X63" s="478"/>
      <c r="Y63" s="518"/>
      <c r="Z63" s="478"/>
      <c r="AA63" s="518"/>
      <c r="AB63" s="478"/>
      <c r="AC63" s="1540"/>
      <c r="AD63" s="1018"/>
      <c r="AE63" s="1019"/>
      <c r="AF63" s="1024"/>
      <c r="AG63" s="1177"/>
      <c r="AH63" s="132"/>
    </row>
    <row r="64" spans="1:34" ht="15.4" thickBot="1">
      <c r="A64" s="1611" t="s">
        <v>112</v>
      </c>
      <c r="B64" s="380"/>
      <c r="C64" s="381"/>
      <c r="D64" s="1049"/>
      <c r="E64" s="760">
        <f>+E23-E35+E40+E52+E62</f>
        <v>-46309</v>
      </c>
      <c r="F64" s="382"/>
      <c r="G64" s="761">
        <f>+G23-G35+G40+G52+G62</f>
        <v>-221570</v>
      </c>
      <c r="H64" s="382"/>
      <c r="I64" s="761">
        <f>+I23-I35+I40+I52+I62</f>
        <v>-347345</v>
      </c>
      <c r="J64" s="382"/>
      <c r="K64" s="761">
        <f>+K23-K35+K40+K52+K62</f>
        <v>78741</v>
      </c>
      <c r="L64" s="382"/>
      <c r="M64" s="761">
        <f>+M23-M35+M40+M52+M62</f>
        <v>-96284</v>
      </c>
      <c r="N64" s="526"/>
      <c r="O64" s="761">
        <f>+O23-O35+O40+O52+O62</f>
        <v>-75030</v>
      </c>
      <c r="P64" s="382"/>
      <c r="Q64" s="761">
        <f>+Q23-Q35+Q40+Q52+Q62</f>
        <v>32390</v>
      </c>
      <c r="R64" s="526"/>
      <c r="S64" s="762">
        <f>+S23-S35+S40+S52+S62</f>
        <v>-96284</v>
      </c>
      <c r="T64" s="382"/>
      <c r="U64" s="761">
        <f>+U23-U35+U40+U52+U62</f>
        <v>-74577</v>
      </c>
      <c r="V64" s="382"/>
      <c r="W64" s="761">
        <f>+W23-W35+W40+W52+W62</f>
        <v>30323</v>
      </c>
      <c r="X64" s="382"/>
      <c r="Y64" s="761">
        <f>+Y23-Y35+Y40+Y52+Y62</f>
        <v>-98351</v>
      </c>
      <c r="Z64" s="382"/>
      <c r="AA64" s="761">
        <f>+AA23-AA35+AA40+AA52+AA62</f>
        <v>-43777</v>
      </c>
      <c r="AB64" s="382"/>
      <c r="AC64" s="1536">
        <f>+AC23-AC35+AC40+AC52+AC62</f>
        <v>1548623.56027</v>
      </c>
      <c r="AD64" s="1629">
        <f>+AD23-AD35+AD40+AD52+AD62</f>
        <v>590550.56027000025</v>
      </c>
      <c r="AE64" s="766"/>
      <c r="AF64" s="767"/>
      <c r="AG64" s="1177"/>
    </row>
    <row r="65" spans="1:33" ht="15.4" thickBot="1">
      <c r="A65" s="69"/>
      <c r="B65" s="367"/>
      <c r="C65" s="70"/>
      <c r="D65" s="70"/>
      <c r="E65" s="48"/>
      <c r="F65" s="194"/>
      <c r="G65" s="22"/>
      <c r="H65" s="194"/>
      <c r="I65" s="22"/>
      <c r="J65" s="194"/>
      <c r="K65" s="22"/>
      <c r="L65" s="194"/>
      <c r="M65" s="22"/>
      <c r="N65" s="194"/>
      <c r="O65" s="22"/>
      <c r="P65" s="194"/>
      <c r="Q65" s="22"/>
      <c r="R65" s="194"/>
      <c r="S65" s="22"/>
      <c r="T65" s="194"/>
      <c r="U65" s="22"/>
      <c r="V65" s="194"/>
      <c r="W65" s="22"/>
      <c r="X65" s="194"/>
      <c r="Y65" s="22"/>
      <c r="Z65" s="194"/>
      <c r="AA65" s="22"/>
      <c r="AB65" s="194"/>
      <c r="AC65" s="1541"/>
      <c r="AD65" s="1634"/>
      <c r="AE65" s="1633"/>
      <c r="AF65" s="767"/>
      <c r="AG65" s="1177"/>
    </row>
    <row r="66" spans="1:33" ht="15.4" thickBot="1">
      <c r="A66" s="69" t="s">
        <v>110</v>
      </c>
      <c r="B66" s="367"/>
      <c r="C66" s="70"/>
      <c r="D66" s="70"/>
      <c r="E66" s="760">
        <f>+E6+E64</f>
        <v>994712</v>
      </c>
      <c r="F66" s="382"/>
      <c r="G66" s="761">
        <f>+G6+G64</f>
        <v>773142</v>
      </c>
      <c r="H66" s="382"/>
      <c r="I66" s="761">
        <f>+I6+I64</f>
        <v>425797</v>
      </c>
      <c r="J66" s="382"/>
      <c r="K66" s="761">
        <f>+K6+K64</f>
        <v>504538</v>
      </c>
      <c r="L66" s="382"/>
      <c r="M66" s="761">
        <f>+M6+M64</f>
        <v>408254</v>
      </c>
      <c r="N66" s="985"/>
      <c r="O66" s="986">
        <f>+O6+O64</f>
        <v>333224</v>
      </c>
      <c r="P66" s="382"/>
      <c r="Q66" s="761">
        <f>+Q6+Q64</f>
        <v>365614</v>
      </c>
      <c r="R66" s="526"/>
      <c r="S66" s="762">
        <f>+S6+S64</f>
        <v>269330</v>
      </c>
      <c r="T66" s="382"/>
      <c r="U66" s="761">
        <f>+U6+U64</f>
        <v>194753</v>
      </c>
      <c r="V66" s="382"/>
      <c r="W66" s="761">
        <f>+W6+W64</f>
        <v>225076</v>
      </c>
      <c r="X66" s="382"/>
      <c r="Y66" s="761">
        <f>+Y6+Y64</f>
        <v>126725</v>
      </c>
      <c r="Z66" s="382"/>
      <c r="AA66" s="761">
        <f>+AA6+AA64</f>
        <v>82948</v>
      </c>
      <c r="AB66" s="382"/>
      <c r="AC66" s="1648">
        <f>+AC6+AC64+AE52</f>
        <v>1631571.56027</v>
      </c>
      <c r="AD66" s="1020"/>
      <c r="AE66" s="1628"/>
      <c r="AF66" s="1025"/>
      <c r="AG66" s="1177"/>
    </row>
    <row r="68" spans="1:33" ht="13.5">
      <c r="AB68" s="1545" t="s">
        <v>490</v>
      </c>
      <c r="AC68" s="1546">
        <f>'Budget-Summary MYP'!F56</f>
        <v>4253245.1947099995</v>
      </c>
    </row>
    <row r="69" spans="1:33" ht="14.25" thickBot="1">
      <c r="AB69" s="1650" t="s">
        <v>517</v>
      </c>
      <c r="AC69" s="1548">
        <f>AC66-AC68</f>
        <v>-2621673.6344399992</v>
      </c>
      <c r="AD69" s="1612" t="str">
        <f>IF(ROUND(D52+E6,0)=ROUND('Budget-Summary MYP'!F50,0),"","If not balancing, check to ensure Beg Cash (E6) + Total Beg Balance Sheet (D52) Must equal Beg Fund Balance (1st Interim-Summary MYP F50)")</f>
        <v>If not balancing, check to ensure Beg Cash (E6) + Total Beg Balance Sheet (D52) Must equal Beg Fund Balance (1st Interim-Summary MYP F50)</v>
      </c>
    </row>
    <row r="70" spans="1:33" ht="13.9" thickTop="1">
      <c r="AA70" s="1544"/>
    </row>
    <row r="71" spans="1:33" ht="15">
      <c r="AA71" s="969"/>
    </row>
    <row r="72" spans="1:33">
      <c r="AB72" s="1639" t="s">
        <v>515</v>
      </c>
      <c r="AC72" s="173">
        <f>D52+E6</f>
        <v>1938072</v>
      </c>
    </row>
    <row r="73" spans="1:33">
      <c r="AB73" s="1639" t="s">
        <v>516</v>
      </c>
      <c r="AC73" s="173">
        <f>'Budget-Summary MYP'!F50</f>
        <v>4559746.05</v>
      </c>
    </row>
    <row r="74" spans="1:33" ht="13.15" thickBot="1">
      <c r="AB74" s="134" t="s">
        <v>96</v>
      </c>
      <c r="AC74" s="1640">
        <f>AC72-AC73</f>
        <v>-2621674.0499999998</v>
      </c>
    </row>
    <row r="75" spans="1:33" ht="13.15" thickTop="1"/>
    <row r="76" spans="1:33">
      <c r="AC76" s="173">
        <f>AC74-AC69</f>
        <v>-0.41556000057607889</v>
      </c>
    </row>
  </sheetData>
  <sheetProtection algorithmName="SHA-512" hashValue="NMNHUAAKRA1p+smXdB6+cTayBioRV1JxrVIRN/0w1qp8mn/X4NqKPzSLSHe8uSgJS8xSrfvtKcesSE7y9P3vhw==" saltValue="av7AS8D3MhD8Kj4pXO4A7Q==" spinCount="100000" sheet="1" objects="1" scenarios="1"/>
  <mergeCells count="13">
    <mergeCell ref="A61:B61"/>
    <mergeCell ref="G2:K2"/>
    <mergeCell ref="D41:D43"/>
    <mergeCell ref="AE41:AE43"/>
    <mergeCell ref="F1:L1"/>
    <mergeCell ref="T1:Z1"/>
    <mergeCell ref="A55:B55"/>
    <mergeCell ref="A58:B58"/>
    <mergeCell ref="A59:B59"/>
    <mergeCell ref="A60:B60"/>
    <mergeCell ref="A56:B56"/>
    <mergeCell ref="A57:B57"/>
    <mergeCell ref="AE53:AE54"/>
  </mergeCells>
  <conditionalFormatting sqref="E66 G66 I66 K66 M66 O66 Q66 S66 U66 W66 Y66 AA66">
    <cfRule type="expression" dxfId="253" priority="22" stopIfTrue="1">
      <formula>"&lt;0"</formula>
    </cfRule>
  </conditionalFormatting>
  <conditionalFormatting sqref="F1">
    <cfRule type="containsText" dxfId="252" priority="24" stopIfTrue="1" operator="containsText" text="Enter">
      <formula>NOT(ISERROR(SEARCH("Enter",F1)))</formula>
    </cfRule>
  </conditionalFormatting>
  <conditionalFormatting sqref="T1">
    <cfRule type="containsText" dxfId="251" priority="23" stopIfTrue="1" operator="containsText" text="Enter">
      <formula>NOT(ISERROR(SEARCH("Enter",T1)))</formula>
    </cfRule>
  </conditionalFormatting>
  <conditionalFormatting sqref="AD45">
    <cfRule type="cellIs" dxfId="250" priority="5" stopIfTrue="1" operator="notEqual">
      <formula>$D$45</formula>
    </cfRule>
  </conditionalFormatting>
  <conditionalFormatting sqref="AD46">
    <cfRule type="cellIs" dxfId="249" priority="1" stopIfTrue="1" operator="notEqual">
      <formula>$D$46</formula>
    </cfRule>
  </conditionalFormatting>
  <conditionalFormatting sqref="AD48">
    <cfRule type="cellIs" dxfId="248" priority="4" stopIfTrue="1" operator="notEqual">
      <formula>$D$48</formula>
    </cfRule>
  </conditionalFormatting>
  <conditionalFormatting sqref="AD49">
    <cfRule type="cellIs" dxfId="247" priority="3" stopIfTrue="1" operator="notEqual">
      <formula>$D$49</formula>
    </cfRule>
  </conditionalFormatting>
  <conditionalFormatting sqref="AD50">
    <cfRule type="cellIs" dxfId="246" priority="2" stopIfTrue="1" operator="notEqual">
      <formula>$D$50</formula>
    </cfRule>
  </conditionalFormatting>
  <pageMargins left="0.7" right="0.7" top="0.75" bottom="0.75" header="0.3" footer="0.3"/>
  <pageSetup scale="49" fitToWidth="0" orientation="landscape" r:id="rId1"/>
  <headerFooter>
    <oddHeader>&amp;RPage &amp;P of &amp;N</oddHeader>
  </headerFooter>
  <colBreaks count="1" manualBreakCount="1">
    <brk id="18"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6" tint="-0.249977111117893"/>
    <pageSetUpPr fitToPage="1"/>
  </sheetPr>
  <dimension ref="A1:AH76"/>
  <sheetViews>
    <sheetView showGridLines="0" view="pageBreakPreview" zoomScale="80" zoomScaleNormal="70" zoomScaleSheetLayoutView="80" workbookViewId="0">
      <pane xSplit="4" ySplit="6" topLeftCell="E7" activePane="bottomRight" state="frozen"/>
      <selection pane="topRight" activeCell="E1" sqref="E1"/>
      <selection pane="bottomLeft" activeCell="A7" sqref="A7"/>
      <selection pane="bottomRight" activeCell="E7" sqref="E7"/>
    </sheetView>
  </sheetViews>
  <sheetFormatPr defaultRowHeight="12.75"/>
  <cols>
    <col min="1" max="1" width="2.53125" customWidth="1"/>
    <col min="2" max="2" width="45.86328125" customWidth="1"/>
    <col min="3" max="3" width="14.6640625" customWidth="1"/>
    <col min="4" max="4" width="12.86328125" customWidth="1"/>
    <col min="5" max="5" width="13.1328125" customWidth="1"/>
    <col min="6" max="6" width="8.6640625" customWidth="1"/>
    <col min="7" max="7" width="13.1328125" customWidth="1"/>
    <col min="8" max="8" width="8.6640625" customWidth="1"/>
    <col min="9" max="9" width="13.1328125" customWidth="1"/>
    <col min="10" max="10" width="8.6640625" customWidth="1"/>
    <col min="11" max="11" width="13.1328125" customWidth="1"/>
    <col min="12" max="12" width="8.6640625" customWidth="1"/>
    <col min="13" max="13" width="13.1328125" customWidth="1"/>
    <col min="14" max="14" width="8.6640625" customWidth="1"/>
    <col min="15" max="15" width="13.1328125" customWidth="1"/>
    <col min="16" max="16" width="8.6640625" customWidth="1"/>
    <col min="17" max="17" width="13.1328125" customWidth="1"/>
    <col min="18" max="18" width="8.6640625" customWidth="1"/>
    <col min="19" max="19" width="13.46484375" customWidth="1"/>
    <col min="20" max="20" width="9.1328125" customWidth="1"/>
    <col min="21" max="21" width="13.46484375" customWidth="1"/>
    <col min="22" max="22" width="9.1328125" customWidth="1"/>
    <col min="23" max="23" width="13.46484375" customWidth="1"/>
    <col min="24" max="24" width="9.1328125" customWidth="1"/>
    <col min="25" max="25" width="13.46484375" customWidth="1"/>
    <col min="26" max="26" width="9.1328125" customWidth="1"/>
    <col min="27" max="27" width="13.46484375" customWidth="1"/>
    <col min="28" max="28" width="9.1328125" customWidth="1"/>
    <col min="29" max="29" width="15.46484375" style="173" customWidth="1"/>
    <col min="30" max="30" width="16.53125" style="173" customWidth="1"/>
    <col min="31" max="32" width="13.6640625" style="173" customWidth="1"/>
    <col min="33" max="33" width="70.53125" hidden="1" customWidth="1"/>
    <col min="34" max="34" width="66.6640625" customWidth="1"/>
  </cols>
  <sheetData>
    <row r="1" spans="1:33" ht="15.4" thickBot="1">
      <c r="A1" s="175"/>
      <c r="B1" s="175"/>
      <c r="C1" s="175"/>
      <c r="D1" s="175"/>
      <c r="E1" s="1003"/>
      <c r="F1" s="1841" t="str">
        <f>IF('BUDGET-CERTIFICATION'!$H$1="","CHARTER NAME: Enter Charter Name on BUDGET-CERTIFICATION Worksheet",(CONCATENATE("CHARTER NAME: ",'BUDGET-CERTIFICATION'!$H$1)))</f>
        <v>CHARTER NAME: Encor Jr./Sr. High School for the Performing and Visual Arts</v>
      </c>
      <c r="G1" s="1841"/>
      <c r="H1" s="1841"/>
      <c r="I1" s="1841"/>
      <c r="J1" s="1841"/>
      <c r="K1" s="1841"/>
      <c r="L1" s="1841"/>
      <c r="M1" s="1012"/>
      <c r="N1" s="177"/>
      <c r="O1" s="1013"/>
      <c r="P1" s="177"/>
      <c r="Q1" s="1003"/>
      <c r="R1" s="177"/>
      <c r="S1" s="1012"/>
      <c r="T1" s="1841" t="str">
        <f>IF('BUDGET-CERTIFICATION'!$H$1="","CHARTER NAME: Enter Charter Name on BUDGET-CERTIFICATION Worksheet",(CONCATENATE("CHARTER NAME: ",'BUDGET-CERTIFICATION'!$H$1)))</f>
        <v>CHARTER NAME: Encor Jr./Sr. High School for the Performing and Visual Arts</v>
      </c>
      <c r="U1" s="1841"/>
      <c r="V1" s="1841"/>
      <c r="W1" s="1841"/>
      <c r="X1" s="1841"/>
      <c r="Y1" s="1841"/>
      <c r="Z1" s="1841"/>
      <c r="AA1" s="173"/>
      <c r="AD1" s="1006"/>
      <c r="AE1" s="1006"/>
      <c r="AF1" s="1006"/>
      <c r="AG1" s="1177"/>
    </row>
    <row r="2" spans="1:33" ht="15">
      <c r="B2" s="182" t="s">
        <v>114</v>
      </c>
      <c r="C2" s="95">
        <v>45464</v>
      </c>
      <c r="D2" s="183"/>
      <c r="E2" s="173"/>
      <c r="G2" s="1834" t="str">
        <f>""&amp;'Budget-ADA'!N7&amp;"  Budget Cash Flow"</f>
        <v>2025-26  Budget Cash Flow</v>
      </c>
      <c r="H2" s="1834"/>
      <c r="I2" s="1834"/>
      <c r="J2" s="1834"/>
      <c r="K2" s="1834"/>
      <c r="M2" s="1012"/>
      <c r="O2" s="1003"/>
      <c r="Q2" s="1006"/>
      <c r="S2" s="173"/>
      <c r="U2" s="1003"/>
      <c r="W2" s="1012" t="str">
        <f>+G2</f>
        <v>2025-26  Budget Cash Flow</v>
      </c>
      <c r="Y2" s="1003"/>
      <c r="AA2" s="1012"/>
      <c r="AC2" s="1006"/>
      <c r="AD2" s="1006"/>
      <c r="AE2" s="1006"/>
      <c r="AF2" s="1006"/>
      <c r="AG2" s="1177"/>
    </row>
    <row r="3" spans="1:33" ht="15.4" thickBot="1">
      <c r="A3" s="1557" t="str">
        <f>Instructions!H1</f>
        <v>Form Revised (revision date here if revised)</v>
      </c>
      <c r="B3" s="1057"/>
      <c r="C3" s="23"/>
      <c r="D3" s="23"/>
      <c r="E3" s="21"/>
      <c r="F3" s="25"/>
      <c r="G3" s="1006"/>
      <c r="H3" s="25"/>
      <c r="I3" s="1006"/>
      <c r="J3" s="25"/>
      <c r="K3" s="1006"/>
      <c r="L3" s="25"/>
      <c r="M3" s="1006"/>
      <c r="N3" s="25"/>
      <c r="O3" s="1006"/>
      <c r="P3" s="25"/>
      <c r="Q3" s="1006"/>
      <c r="R3" s="25"/>
      <c r="S3" s="1006"/>
      <c r="T3" s="25"/>
      <c r="U3" s="1006"/>
      <c r="V3" s="25"/>
      <c r="W3" s="1006"/>
      <c r="X3" s="25"/>
      <c r="Y3" s="1006"/>
      <c r="Z3" s="25"/>
      <c r="AA3" s="1006"/>
      <c r="AB3" s="25"/>
      <c r="AC3" s="1006"/>
      <c r="AD3" s="1006"/>
      <c r="AE3" s="1006"/>
      <c r="AF3" s="1006"/>
      <c r="AG3" s="1177"/>
    </row>
    <row r="4" spans="1:33" ht="15">
      <c r="A4" s="399"/>
      <c r="B4" s="71"/>
      <c r="C4" s="71"/>
      <c r="D4" s="71"/>
      <c r="E4" s="1054" t="s">
        <v>79</v>
      </c>
      <c r="F4" s="400" t="s">
        <v>80</v>
      </c>
      <c r="G4" s="1007" t="s">
        <v>81</v>
      </c>
      <c r="H4" s="400" t="s">
        <v>80</v>
      </c>
      <c r="I4" s="1007" t="s">
        <v>83</v>
      </c>
      <c r="J4" s="400" t="s">
        <v>80</v>
      </c>
      <c r="K4" s="1007" t="s">
        <v>84</v>
      </c>
      <c r="L4" s="400" t="s">
        <v>80</v>
      </c>
      <c r="M4" s="1007" t="s">
        <v>85</v>
      </c>
      <c r="N4" s="400" t="s">
        <v>80</v>
      </c>
      <c r="O4" s="1007" t="s">
        <v>86</v>
      </c>
      <c r="P4" s="400" t="s">
        <v>80</v>
      </c>
      <c r="Q4" s="1007" t="s">
        <v>87</v>
      </c>
      <c r="R4" s="987" t="s">
        <v>80</v>
      </c>
      <c r="S4" s="1007" t="s">
        <v>88</v>
      </c>
      <c r="T4" s="400" t="s">
        <v>80</v>
      </c>
      <c r="U4" s="1007" t="s">
        <v>89</v>
      </c>
      <c r="V4" s="400" t="s">
        <v>80</v>
      </c>
      <c r="W4" s="1007" t="s">
        <v>90</v>
      </c>
      <c r="X4" s="400" t="s">
        <v>80</v>
      </c>
      <c r="Y4" s="1007" t="s">
        <v>91</v>
      </c>
      <c r="Z4" s="400" t="s">
        <v>80</v>
      </c>
      <c r="AA4" s="1007" t="s">
        <v>92</v>
      </c>
      <c r="AB4" s="400" t="s">
        <v>80</v>
      </c>
      <c r="AC4" s="1007" t="s">
        <v>93</v>
      </c>
      <c r="AD4" s="1015"/>
      <c r="AE4" s="1015" t="s">
        <v>19</v>
      </c>
      <c r="AF4" s="1015"/>
      <c r="AG4" s="1177"/>
    </row>
    <row r="5" spans="1:33" ht="15.4" thickBot="1">
      <c r="A5" s="185"/>
      <c r="B5" s="23"/>
      <c r="C5" s="23"/>
      <c r="D5" s="23"/>
      <c r="E5" s="1055" t="s">
        <v>93</v>
      </c>
      <c r="F5" s="60" t="s">
        <v>94</v>
      </c>
      <c r="G5" s="1008" t="s">
        <v>93</v>
      </c>
      <c r="H5" s="60" t="s">
        <v>94</v>
      </c>
      <c r="I5" s="1008" t="s">
        <v>93</v>
      </c>
      <c r="J5" s="60" t="s">
        <v>94</v>
      </c>
      <c r="K5" s="1008" t="s">
        <v>93</v>
      </c>
      <c r="L5" s="60" t="s">
        <v>94</v>
      </c>
      <c r="M5" s="1008" t="s">
        <v>93</v>
      </c>
      <c r="N5" s="60" t="s">
        <v>94</v>
      </c>
      <c r="O5" s="1008" t="s">
        <v>93</v>
      </c>
      <c r="P5" s="60" t="s">
        <v>94</v>
      </c>
      <c r="Q5" s="1008" t="s">
        <v>93</v>
      </c>
      <c r="R5" s="988" t="s">
        <v>94</v>
      </c>
      <c r="S5" s="1008" t="s">
        <v>93</v>
      </c>
      <c r="T5" s="60" t="s">
        <v>94</v>
      </c>
      <c r="U5" s="1008" t="s">
        <v>93</v>
      </c>
      <c r="V5" s="60" t="s">
        <v>94</v>
      </c>
      <c r="W5" s="1008" t="s">
        <v>93</v>
      </c>
      <c r="X5" s="60" t="s">
        <v>94</v>
      </c>
      <c r="Y5" s="1008" t="s">
        <v>93</v>
      </c>
      <c r="Z5" s="60" t="s">
        <v>94</v>
      </c>
      <c r="AA5" s="1008" t="s">
        <v>93</v>
      </c>
      <c r="AB5" s="60" t="s">
        <v>94</v>
      </c>
      <c r="AC5" s="1008" t="s">
        <v>95</v>
      </c>
      <c r="AD5" s="1016" t="s">
        <v>0</v>
      </c>
      <c r="AE5" s="1016" t="s">
        <v>16</v>
      </c>
      <c r="AF5" s="1016" t="s">
        <v>96</v>
      </c>
      <c r="AG5" s="1177"/>
    </row>
    <row r="6" spans="1:33" ht="15.75" thickTop="1" thickBot="1">
      <c r="A6" s="188" t="s">
        <v>97</v>
      </c>
      <c r="B6" s="179"/>
      <c r="D6" s="409" t="str">
        <f>""&amp;'Budget-DEBT'!$D$12&amp;" Cash="</f>
        <v>July 1, Cash=</v>
      </c>
      <c r="E6" s="1215">
        <f>'Budget-Cash Flow Year 1'!AA66</f>
        <v>82948</v>
      </c>
      <c r="F6" s="61"/>
      <c r="G6" s="387">
        <f>+E66</f>
        <v>858906</v>
      </c>
      <c r="H6" s="61"/>
      <c r="I6" s="387">
        <f>+G66</f>
        <v>459361</v>
      </c>
      <c r="J6" s="61"/>
      <c r="K6" s="387">
        <f>+I66</f>
        <v>122001</v>
      </c>
      <c r="L6" s="61"/>
      <c r="M6" s="387">
        <f>+K66</f>
        <v>240196</v>
      </c>
      <c r="N6" s="61"/>
      <c r="O6" s="387">
        <f>+M66</f>
        <v>182561</v>
      </c>
      <c r="P6" s="61"/>
      <c r="Q6" s="387">
        <f>+O66</f>
        <v>146337</v>
      </c>
      <c r="R6" s="989"/>
      <c r="S6" s="387">
        <f>+Q66</f>
        <v>195710</v>
      </c>
      <c r="T6" s="61"/>
      <c r="U6" s="387">
        <f>+S66</f>
        <v>138075</v>
      </c>
      <c r="V6" s="61"/>
      <c r="W6" s="387">
        <f>+U66</f>
        <v>102845</v>
      </c>
      <c r="X6" s="61"/>
      <c r="Y6" s="387">
        <f>+W66</f>
        <v>150084</v>
      </c>
      <c r="Z6" s="61"/>
      <c r="AA6" s="387">
        <f>+Y66</f>
        <v>90315</v>
      </c>
      <c r="AB6" s="61"/>
      <c r="AC6" s="387">
        <f>+AA66</f>
        <v>86795</v>
      </c>
      <c r="AD6" s="57"/>
      <c r="AE6" s="57"/>
      <c r="AF6" s="57"/>
      <c r="AG6" s="1177"/>
    </row>
    <row r="7" spans="1:33" ht="15.4" thickTop="1">
      <c r="A7" s="401"/>
      <c r="B7" s="366"/>
      <c r="C7" s="64"/>
      <c r="D7" s="64"/>
      <c r="E7" s="1056"/>
      <c r="F7" s="62"/>
      <c r="G7" s="1009"/>
      <c r="H7" s="62"/>
      <c r="I7" s="1009"/>
      <c r="J7" s="62"/>
      <c r="K7" s="1009"/>
      <c r="L7" s="62"/>
      <c r="M7" s="1009"/>
      <c r="N7" s="62"/>
      <c r="O7" s="1009"/>
      <c r="P7" s="62"/>
      <c r="Q7" s="1009"/>
      <c r="R7" s="62"/>
      <c r="S7" s="1009"/>
      <c r="T7" s="62"/>
      <c r="U7" s="1009"/>
      <c r="V7" s="62"/>
      <c r="W7" s="1009"/>
      <c r="X7" s="62"/>
      <c r="Y7" s="1009"/>
      <c r="Z7" s="62"/>
      <c r="AA7" s="1009"/>
      <c r="AB7" s="62"/>
      <c r="AC7" s="1009"/>
      <c r="AD7" s="1009"/>
      <c r="AE7" s="1009"/>
      <c r="AF7" s="1021"/>
      <c r="AG7" s="1177"/>
    </row>
    <row r="8" spans="1:33" ht="15">
      <c r="A8" s="66" t="s">
        <v>98</v>
      </c>
      <c r="B8" s="515"/>
      <c r="C8" s="371"/>
      <c r="D8" s="371"/>
      <c r="E8" s="538"/>
      <c r="F8" s="164"/>
      <c r="G8" s="1010"/>
      <c r="H8" s="164"/>
      <c r="I8" s="1010"/>
      <c r="J8" s="164"/>
      <c r="K8" s="1010"/>
      <c r="L8" s="164"/>
      <c r="M8" s="1010"/>
      <c r="N8" s="164"/>
      <c r="O8" s="1010"/>
      <c r="P8" s="164"/>
      <c r="Q8" s="1010"/>
      <c r="R8" s="164"/>
      <c r="S8" s="1010"/>
      <c r="T8" s="164"/>
      <c r="U8" s="1010"/>
      <c r="V8" s="164"/>
      <c r="W8" s="1010"/>
      <c r="X8" s="164"/>
      <c r="Y8" s="1010"/>
      <c r="Z8" s="164"/>
      <c r="AA8" s="1010"/>
      <c r="AB8" s="164"/>
      <c r="AC8" s="1010"/>
      <c r="AD8" s="1010"/>
      <c r="AE8" s="1010"/>
      <c r="AF8" s="1018"/>
      <c r="AG8" s="1177"/>
    </row>
    <row r="9" spans="1:33" ht="15">
      <c r="A9" s="403" t="s">
        <v>303</v>
      </c>
      <c r="B9" s="139"/>
      <c r="C9" s="139"/>
      <c r="D9" s="374"/>
      <c r="E9" s="379"/>
      <c r="F9" s="384"/>
      <c r="G9" s="1011"/>
      <c r="H9" s="384"/>
      <c r="I9" s="1011"/>
      <c r="J9" s="384"/>
      <c r="K9" s="1011"/>
      <c r="L9" s="384"/>
      <c r="M9" s="1011"/>
      <c r="N9" s="384"/>
      <c r="O9" s="1011"/>
      <c r="P9" s="384"/>
      <c r="Q9" s="1011"/>
      <c r="R9" s="384"/>
      <c r="S9" s="1014"/>
      <c r="T9" s="384"/>
      <c r="U9" s="1011"/>
      <c r="V9" s="384"/>
      <c r="W9" s="1011"/>
      <c r="X9" s="384"/>
      <c r="Y9" s="1011"/>
      <c r="Z9" s="384"/>
      <c r="AA9" s="1011"/>
      <c r="AB9" s="384"/>
      <c r="AC9" s="1014"/>
      <c r="AD9" s="1014"/>
      <c r="AE9" s="1014"/>
      <c r="AF9" s="385"/>
      <c r="AG9" s="1177"/>
    </row>
    <row r="10" spans="1:33" ht="15">
      <c r="A10" s="403"/>
      <c r="B10" s="276" t="s">
        <v>152</v>
      </c>
      <c r="C10" s="275">
        <v>8011</v>
      </c>
      <c r="D10" s="374"/>
      <c r="E10" s="375">
        <v>0</v>
      </c>
      <c r="F10" s="337" t="str">
        <f>IF($AE10&lt;1," ",IF(E10&lt;1," ",(E10)/$AE10))</f>
        <v xml:space="preserve"> </v>
      </c>
      <c r="G10" s="388">
        <v>360321</v>
      </c>
      <c r="H10" s="337">
        <f>IF($AE10&lt;1," ",IF(G10&lt;1," ",(G10)/$AE10))</f>
        <v>7.0595862535942425E-2</v>
      </c>
      <c r="I10" s="388">
        <v>360321</v>
      </c>
      <c r="J10" s="337">
        <f>IF($AE10&lt;1," ",IF(I10&lt;1," ",(I10)/$AE10))</f>
        <v>7.0595862535942425E-2</v>
      </c>
      <c r="K10" s="388">
        <v>648579</v>
      </c>
      <c r="L10" s="337">
        <f>IF($AE10&lt;1," ",IF(K10&lt;1," ",(K10)/$AE10))</f>
        <v>0.12707278767459848</v>
      </c>
      <c r="M10" s="388">
        <v>648579</v>
      </c>
      <c r="N10" s="524">
        <f>IF($AE10&lt;1," ",IF(M10&lt;1," ",(M10)/$AE10))</f>
        <v>0.12707278767459848</v>
      </c>
      <c r="O10" s="388">
        <v>648579</v>
      </c>
      <c r="P10" s="337">
        <f>IF($AE10&lt;1," ",IF(O10&lt;1," ",(O10)/$AE10))</f>
        <v>0.12707278767459848</v>
      </c>
      <c r="Q10" s="388">
        <v>648579</v>
      </c>
      <c r="R10" s="524">
        <f>IF($AE10&lt;1," ",IF(Q10&lt;1," ",(Q10)/$AE10))</f>
        <v>0.12707278767459848</v>
      </c>
      <c r="S10" s="376">
        <v>648579</v>
      </c>
      <c r="T10" s="337">
        <f>IF($AE10&lt;1," ",IF(S10&lt;1," ",(S10)/$AE10))</f>
        <v>0.12707278767459848</v>
      </c>
      <c r="U10" s="388">
        <v>648579</v>
      </c>
      <c r="V10" s="337">
        <f>IF($AE10&lt;1," ",IF(U10&lt;1," ",(U10)/$AE10))</f>
        <v>0.12707278767459848</v>
      </c>
      <c r="W10" s="388">
        <v>648579</v>
      </c>
      <c r="X10" s="337">
        <f>IF($AE10&lt;1," ",IF(W10&lt;1," ",(W10)/$AE10))</f>
        <v>0.12707278767459848</v>
      </c>
      <c r="Y10" s="388">
        <v>648579</v>
      </c>
      <c r="Z10" s="337">
        <f>IF($AE10&lt;1," ",IF(Y10&lt;1," ",(Y10)/$AE10))</f>
        <v>0.12707278767459848</v>
      </c>
      <c r="AA10" s="388">
        <v>648579</v>
      </c>
      <c r="AB10" s="337">
        <f>IF($AE10&lt;1," ",IF(AA10&lt;1," ",(AA10)/$AE10))</f>
        <v>0.12707278767459848</v>
      </c>
      <c r="AC10" s="1534">
        <f>AE10-(E10+G10+I10+K10+M10+O10+Q10+S10+U10+W10+Y10+AA10)</f>
        <v>-1453857</v>
      </c>
      <c r="AD10" s="377">
        <f>+E10+G10+I10+K10+M10+O10+Q10+S10+U10+W10+Y10+AA10+AC10</f>
        <v>5103996</v>
      </c>
      <c r="AE10" s="377">
        <f>'Budget-Summary MYP'!H13</f>
        <v>5103996</v>
      </c>
      <c r="AF10" s="377">
        <f>+AE10-AD10</f>
        <v>0</v>
      </c>
      <c r="AG10" s="1177"/>
    </row>
    <row r="11" spans="1:33" ht="15">
      <c r="A11" s="403"/>
      <c r="B11" s="276" t="s">
        <v>153</v>
      </c>
      <c r="C11" s="275">
        <v>8012</v>
      </c>
      <c r="D11" s="374"/>
      <c r="E11" s="375">
        <v>0</v>
      </c>
      <c r="F11" s="337" t="str">
        <f>IF($AE11&lt;1," ",IF(E11&lt;1," ",(E11)/$AE11))</f>
        <v xml:space="preserve"> </v>
      </c>
      <c r="G11" s="388">
        <v>0</v>
      </c>
      <c r="H11" s="337" t="str">
        <f>IF($AE11&lt;1," ",IF(G11&lt;1," ",(G11)/$AE11))</f>
        <v xml:space="preserve"> </v>
      </c>
      <c r="I11" s="388">
        <v>0</v>
      </c>
      <c r="J11" s="337" t="str">
        <f>IF($AE11&lt;1," ",IF(I11&lt;1," ",(I11)/$AE11))</f>
        <v xml:space="preserve"> </v>
      </c>
      <c r="K11" s="388">
        <v>25830</v>
      </c>
      <c r="L11" s="337">
        <f>IF($AE11&lt;1," ",IF(K11&lt;1," ",(K11)/$AE11))</f>
        <v>1.3093165246086117E-2</v>
      </c>
      <c r="M11" s="388">
        <v>0</v>
      </c>
      <c r="N11" s="524" t="str">
        <f>IF($AE11&lt;1," ",IF(M11&lt;1," ",(M11)/$AE11))</f>
        <v xml:space="preserve"> </v>
      </c>
      <c r="O11" s="388">
        <v>0</v>
      </c>
      <c r="P11" s="337" t="str">
        <f>IF($AE11&lt;1," ",IF(O11&lt;1," ",(O11)/$AE11))</f>
        <v xml:space="preserve"> </v>
      </c>
      <c r="Q11" s="388">
        <v>25830</v>
      </c>
      <c r="R11" s="524">
        <f>IF($AE11&lt;1," ",IF(Q11&lt;1," ",(Q11)/$AE11))</f>
        <v>1.3093165246086117E-2</v>
      </c>
      <c r="S11" s="376">
        <v>0</v>
      </c>
      <c r="T11" s="337" t="str">
        <f>IF($AE11&lt;1," ",IF(S11&lt;1," ",(S11)/$AE11))</f>
        <v xml:space="preserve"> </v>
      </c>
      <c r="U11" s="388">
        <v>0</v>
      </c>
      <c r="V11" s="337" t="str">
        <f>IF($AE11&lt;1," ",IF(U11&lt;1," ",(U11)/$AE11))</f>
        <v xml:space="preserve"> </v>
      </c>
      <c r="W11" s="388">
        <v>25830</v>
      </c>
      <c r="X11" s="337">
        <f>IF($AE11&lt;1," ",IF(W11&lt;1," ",(W11)/$AE11))</f>
        <v>1.3093165246086117E-2</v>
      </c>
      <c r="Y11" s="388">
        <v>0</v>
      </c>
      <c r="Z11" s="337" t="str">
        <f>IF($AE11&lt;1," ",IF(Y11&lt;1," ",(Y11)/$AE11))</f>
        <v xml:space="preserve"> </v>
      </c>
      <c r="AA11" s="388">
        <v>0</v>
      </c>
      <c r="AB11" s="337" t="str">
        <f>IF($AE11&lt;1," ",IF(AA11&lt;1," ",(AA11)/$AE11))</f>
        <v xml:space="preserve"> </v>
      </c>
      <c r="AC11" s="1534">
        <f t="shared" ref="AC11:AC22" si="0">AE11-(E11+G11+I11+K11+M11+O11+Q11+S11+U11+W11+Y11+AA11)</f>
        <v>1895295</v>
      </c>
      <c r="AD11" s="377">
        <f>+E11+G11+I11+K11+M11+O11+Q11+S11+U11+W11+Y11+AA11+AC11</f>
        <v>1972785</v>
      </c>
      <c r="AE11" s="377">
        <f>'Budget-Summary MYP'!H14</f>
        <v>1972785</v>
      </c>
      <c r="AF11" s="377">
        <f>+AE11-AD11</f>
        <v>0</v>
      </c>
      <c r="AG11" s="1177"/>
    </row>
    <row r="12" spans="1:33" ht="15">
      <c r="A12" s="403"/>
      <c r="B12" s="276" t="s">
        <v>301</v>
      </c>
      <c r="C12" s="275">
        <v>8019</v>
      </c>
      <c r="D12" s="343"/>
      <c r="E12" s="375">
        <v>0</v>
      </c>
      <c r="F12" s="337" t="str">
        <f>IF($AE12&lt;1," ",IF(E12&lt;1," ",(E12)/$AE12))</f>
        <v xml:space="preserve"> </v>
      </c>
      <c r="G12" s="388">
        <v>0</v>
      </c>
      <c r="H12" s="337" t="str">
        <f>IF($AE12&lt;1," ",IF(G12&lt;1," ",(G12)/$AE12))</f>
        <v xml:space="preserve"> </v>
      </c>
      <c r="I12" s="388">
        <v>0</v>
      </c>
      <c r="J12" s="337" t="str">
        <f>IF($AE12&lt;1," ",IF(I12&lt;1," ",(I12)/$AE12))</f>
        <v xml:space="preserve"> </v>
      </c>
      <c r="K12" s="388">
        <v>0</v>
      </c>
      <c r="L12" s="337" t="str">
        <f>IF($AE12&lt;1," ",IF(K12&lt;1," ",(K12)/$AE12))</f>
        <v xml:space="preserve"> </v>
      </c>
      <c r="M12" s="388">
        <v>0</v>
      </c>
      <c r="N12" s="524" t="str">
        <f>IF($AE12&lt;1," ",IF(M12&lt;1," ",(M12)/$AE12))</f>
        <v xml:space="preserve"> </v>
      </c>
      <c r="O12" s="388">
        <v>0</v>
      </c>
      <c r="P12" s="337" t="str">
        <f>IF($AE12&lt;1," ",IF(O12&lt;1," ",(O12)/$AE12))</f>
        <v xml:space="preserve"> </v>
      </c>
      <c r="Q12" s="388">
        <v>0</v>
      </c>
      <c r="R12" s="524" t="str">
        <f>IF($AE12&lt;1," ",IF(Q12&lt;1," ",(Q12)/$AE12))</f>
        <v xml:space="preserve"> </v>
      </c>
      <c r="S12" s="376">
        <v>0</v>
      </c>
      <c r="T12" s="337" t="str">
        <f>IF($AE12&lt;1," ",IF(S12&lt;1," ",(S12)/$AE12))</f>
        <v xml:space="preserve"> </v>
      </c>
      <c r="U12" s="388">
        <v>0</v>
      </c>
      <c r="V12" s="337" t="str">
        <f>IF($AE12&lt;1," ",IF(U12&lt;1," ",(U12)/$AE12))</f>
        <v xml:space="preserve"> </v>
      </c>
      <c r="W12" s="388">
        <v>0</v>
      </c>
      <c r="X12" s="337" t="str">
        <f>IF($AE12&lt;1," ",IF(W12&lt;1," ",(W12)/$AE12))</f>
        <v xml:space="preserve"> </v>
      </c>
      <c r="Y12" s="388">
        <v>0</v>
      </c>
      <c r="Z12" s="337" t="str">
        <f>IF($AE12&lt;1," ",IF(Y12&lt;1," ",(Y12)/$AE12))</f>
        <v xml:space="preserve"> </v>
      </c>
      <c r="AA12" s="388">
        <v>0</v>
      </c>
      <c r="AB12" s="337" t="str">
        <f>IF($AE12&lt;1," ",IF(AA12&lt;1," ",(AA12)/$AE12))</f>
        <v xml:space="preserve"> </v>
      </c>
      <c r="AC12" s="1534">
        <f t="shared" si="0"/>
        <v>0</v>
      </c>
      <c r="AD12" s="377">
        <f>+E12+G12+I12+K12+M12+O12+Q12+S12+U12+W12+Y12+AA12+AC12</f>
        <v>0</v>
      </c>
      <c r="AE12" s="378">
        <f>'Budget-Summary MYP'!H15</f>
        <v>0</v>
      </c>
      <c r="AF12" s="377">
        <f>+AE12-AD12</f>
        <v>0</v>
      </c>
      <c r="AG12" s="1177"/>
    </row>
    <row r="13" spans="1:33" ht="15">
      <c r="A13" s="403"/>
      <c r="B13" s="276" t="s">
        <v>302</v>
      </c>
      <c r="C13" s="275">
        <v>8096</v>
      </c>
      <c r="D13" s="343"/>
      <c r="E13" s="375">
        <v>0</v>
      </c>
      <c r="F13" s="337" t="str">
        <f>IF($AE13&lt;1," ",IF(E13&lt;1," ",(E13)/$AE13))</f>
        <v xml:space="preserve"> </v>
      </c>
      <c r="G13" s="388">
        <v>12800</v>
      </c>
      <c r="H13" s="337">
        <f>IF($AE13&lt;1," ",IF(G13&lt;1," ",(G13)/$AE13))</f>
        <v>6.1929690448312903E-2</v>
      </c>
      <c r="I13" s="388">
        <v>25600</v>
      </c>
      <c r="J13" s="337">
        <f>IF($AE13&lt;1," ",IF(I13&lt;1," ",(I13)/$AE13))</f>
        <v>0.12385938089662581</v>
      </c>
      <c r="K13" s="388">
        <v>17067</v>
      </c>
      <c r="L13" s="337">
        <f>IF($AE13&lt;1," ",IF(K13&lt;1," ",(K13)/$AE13))</f>
        <v>8.2574533350105964E-2</v>
      </c>
      <c r="M13" s="388">
        <v>17067</v>
      </c>
      <c r="N13" s="524">
        <f>IF($AE13&lt;1," ",IF(M13&lt;1," ",(M13)/$AE13))</f>
        <v>8.2574533350105964E-2</v>
      </c>
      <c r="O13" s="388">
        <v>17067</v>
      </c>
      <c r="P13" s="337">
        <f>IF($AE13&lt;1," ",IF(O13&lt;1," ",(O13)/$AE13))</f>
        <v>8.2574533350105964E-2</v>
      </c>
      <c r="Q13" s="388">
        <v>17067</v>
      </c>
      <c r="R13" s="524">
        <f>IF($AE13&lt;1," ",IF(Q13&lt;1," ",(Q13)/$AE13))</f>
        <v>8.2574533350105964E-2</v>
      </c>
      <c r="S13" s="376">
        <v>17067</v>
      </c>
      <c r="T13" s="337">
        <f>IF($AE13&lt;1," ",IF(S13&lt;1," ",(S13)/$AE13))</f>
        <v>8.2574533350105964E-2</v>
      </c>
      <c r="U13" s="388">
        <v>14933</v>
      </c>
      <c r="V13" s="337">
        <f>IF($AE13&lt;1," ",IF(U13&lt;1," ",(U13)/$AE13))</f>
        <v>7.2249692770676291E-2</v>
      </c>
      <c r="W13" s="388">
        <v>14933</v>
      </c>
      <c r="X13" s="337">
        <f>IF($AE13&lt;1," ",IF(W13&lt;1," ",(W13)/$AE13))</f>
        <v>7.2249692770676291E-2</v>
      </c>
      <c r="Y13" s="388">
        <v>14933</v>
      </c>
      <c r="Z13" s="337">
        <f>IF($AE13&lt;1," ",IF(Y13&lt;1," ",(Y13)/$AE13))</f>
        <v>7.2249692770676291E-2</v>
      </c>
      <c r="AA13" s="388">
        <v>14933</v>
      </c>
      <c r="AB13" s="337">
        <f>IF($AE13&lt;1," ",IF(AA13&lt;1," ",(AA13)/$AE13))</f>
        <v>7.2249692770676291E-2</v>
      </c>
      <c r="AC13" s="1534">
        <f t="shared" si="0"/>
        <v>23219</v>
      </c>
      <c r="AD13" s="377">
        <f>+E13+G13+I13+K13+M13+O13+Q13+S13+U13+W13+Y13+AA13+AC13</f>
        <v>206686</v>
      </c>
      <c r="AE13" s="377">
        <f>'Budget-Summary MYP'!H16</f>
        <v>206686</v>
      </c>
      <c r="AF13" s="377">
        <f>+AE13-AD13</f>
        <v>0</v>
      </c>
      <c r="AG13" s="1177"/>
    </row>
    <row r="14" spans="1:33" ht="15">
      <c r="A14" s="402" t="s">
        <v>304</v>
      </c>
      <c r="B14" s="274"/>
      <c r="C14" s="275" t="s">
        <v>99</v>
      </c>
      <c r="D14" s="374"/>
      <c r="E14" s="375">
        <v>0</v>
      </c>
      <c r="F14" s="337" t="str">
        <f>IF($AE14&lt;1," ",IF(E14&lt;1," ",(E14)/$AE14))</f>
        <v xml:space="preserve"> </v>
      </c>
      <c r="G14" s="388">
        <v>0</v>
      </c>
      <c r="H14" s="337" t="str">
        <f>IF($AE14&lt;1," ",IF(G14&lt;1," ",(G14)/$AE14))</f>
        <v xml:space="preserve"> </v>
      </c>
      <c r="I14" s="388">
        <v>14626</v>
      </c>
      <c r="J14" s="337">
        <f>IF($AE14&lt;1," ",IF(I14&lt;1," ",(I14)/$AE14))</f>
        <v>3.5832230878533981E-2</v>
      </c>
      <c r="K14" s="388">
        <v>14626</v>
      </c>
      <c r="L14" s="337">
        <f>IF($AE14&lt;1," ",IF(K14&lt;1," ",(K14)/$AE14))</f>
        <v>3.5832230878533981E-2</v>
      </c>
      <c r="M14" s="388">
        <v>14626</v>
      </c>
      <c r="N14" s="524">
        <f>IF($AE14&lt;1," ",IF(M14&lt;1," ",(M14)/$AE14))</f>
        <v>3.5832230878533981E-2</v>
      </c>
      <c r="O14" s="388">
        <v>14626</v>
      </c>
      <c r="P14" s="337">
        <f>IF($AE14&lt;1," ",IF(O14&lt;1," ",(O14)/$AE14))</f>
        <v>3.5832230878533981E-2</v>
      </c>
      <c r="Q14" s="388">
        <v>62216</v>
      </c>
      <c r="R14" s="524">
        <f>IF($AE14&lt;1," ",IF(Q14&lt;1," ",(Q14)/$AE14))</f>
        <v>0.15242295065902298</v>
      </c>
      <c r="S14" s="376">
        <v>14626</v>
      </c>
      <c r="T14" s="337">
        <f>IF($AE14&lt;1," ",IF(S14&lt;1," ",(S14)/$AE14))</f>
        <v>3.5832230878533981E-2</v>
      </c>
      <c r="U14" s="388">
        <v>39165</v>
      </c>
      <c r="V14" s="337">
        <f>IF($AE14&lt;1," ",IF(U14&lt;1," ",(U14)/$AE14))</f>
        <v>9.5950316037042488E-2</v>
      </c>
      <c r="W14" s="388">
        <v>62216</v>
      </c>
      <c r="X14" s="337">
        <f>IF($AE14&lt;1," ",IF(W14&lt;1," ",(W14)/$AE14))</f>
        <v>0.15242295065902298</v>
      </c>
      <c r="Y14" s="388">
        <v>14626</v>
      </c>
      <c r="Z14" s="337">
        <f>IF($AE14&lt;1," ",IF(Y14&lt;1," ",(Y14)/$AE14))</f>
        <v>3.5832230878533981E-2</v>
      </c>
      <c r="AA14" s="388">
        <v>70903</v>
      </c>
      <c r="AB14" s="337">
        <f>IF($AE14&lt;1," ",IF(AA14&lt;1," ",(AA14)/$AE14))</f>
        <v>0.17370522808564848</v>
      </c>
      <c r="AC14" s="1534">
        <f t="shared" si="0"/>
        <v>85924</v>
      </c>
      <c r="AD14" s="377">
        <f>+E14+G14+I14+K14+M14+O14+Q14+S14+U14+W14+Y14+AA14+AC14</f>
        <v>408180</v>
      </c>
      <c r="AE14" s="377">
        <f>'Budget-Summary MYP'!H17</f>
        <v>408180</v>
      </c>
      <c r="AF14" s="377">
        <f t="shared" ref="AF14:AF22" si="1">+AE14-AD14</f>
        <v>0</v>
      </c>
      <c r="AG14" s="1177"/>
    </row>
    <row r="15" spans="1:33" ht="15">
      <c r="A15" s="403" t="s">
        <v>305</v>
      </c>
      <c r="B15" s="139"/>
      <c r="C15" s="139"/>
      <c r="D15" s="374"/>
      <c r="E15" s="379"/>
      <c r="F15" s="337"/>
      <c r="G15" s="505"/>
      <c r="H15" s="337"/>
      <c r="I15" s="505"/>
      <c r="J15" s="337"/>
      <c r="K15" s="505"/>
      <c r="L15" s="337"/>
      <c r="M15" s="505"/>
      <c r="N15" s="337"/>
      <c r="O15" s="505"/>
      <c r="P15" s="337"/>
      <c r="Q15" s="505"/>
      <c r="R15" s="337"/>
      <c r="S15" s="505"/>
      <c r="T15" s="337"/>
      <c r="U15" s="505"/>
      <c r="V15" s="337"/>
      <c r="W15" s="505"/>
      <c r="X15" s="337"/>
      <c r="Y15" s="505"/>
      <c r="Z15" s="337"/>
      <c r="AA15" s="505"/>
      <c r="AB15" s="337"/>
      <c r="AC15" s="1535"/>
      <c r="AD15" s="377"/>
      <c r="AE15" s="377"/>
      <c r="AF15" s="377"/>
      <c r="AG15" s="1177"/>
    </row>
    <row r="16" spans="1:33" ht="15">
      <c r="A16" s="403"/>
      <c r="B16" s="139" t="s">
        <v>306</v>
      </c>
      <c r="C16" s="275">
        <v>8560</v>
      </c>
      <c r="D16" s="374"/>
      <c r="E16" s="375">
        <v>0</v>
      </c>
      <c r="F16" s="337" t="str">
        <f>IF($AE16&lt;1," ",IF(E16&lt;1," ",(E16)/$AE16))</f>
        <v xml:space="preserve"> </v>
      </c>
      <c r="G16" s="388">
        <v>0</v>
      </c>
      <c r="H16" s="337" t="str">
        <f>IF($AE16&lt;1," ",IF(G16&lt;1," ",(G16)/$AE16))</f>
        <v xml:space="preserve"> </v>
      </c>
      <c r="I16" s="388">
        <v>0</v>
      </c>
      <c r="J16" s="337" t="str">
        <f>IF($AE16&lt;1," ",IF(I16&lt;1," ",(I16)/$AE16))</f>
        <v xml:space="preserve"> </v>
      </c>
      <c r="K16" s="388">
        <v>0</v>
      </c>
      <c r="L16" s="337" t="str">
        <f>IF($AE16&lt;1," ",IF(K16&lt;1," ",(K16)/$AE16))</f>
        <v xml:space="preserve"> </v>
      </c>
      <c r="M16" s="388">
        <v>0</v>
      </c>
      <c r="N16" s="524" t="str">
        <f>IF($AE16&lt;1," ",IF(M16&lt;1," ",(M16)/$AE16))</f>
        <v xml:space="preserve"> </v>
      </c>
      <c r="O16" s="388">
        <v>0</v>
      </c>
      <c r="P16" s="337" t="str">
        <f>IF($AE16&lt;1," ",IF(O16&lt;1," ",(O16)/$AE16))</f>
        <v xml:space="preserve"> </v>
      </c>
      <c r="Q16" s="388">
        <v>23876</v>
      </c>
      <c r="R16" s="524">
        <f>IF($AE16&lt;1," ",IF(Q16&lt;1," ",(Q16)/$AE16))</f>
        <v>0.25804319451154067</v>
      </c>
      <c r="S16" s="376">
        <v>0</v>
      </c>
      <c r="T16" s="337" t="str">
        <f>IF($AE16&lt;1," ",IF(S16&lt;1," ",(S16)/$AE16))</f>
        <v xml:space="preserve"> </v>
      </c>
      <c r="U16" s="388">
        <v>0</v>
      </c>
      <c r="V16" s="337" t="str">
        <f>IF($AE16&lt;1," ",IF(U16&lt;1," ",(U16)/$AE16))</f>
        <v xml:space="preserve"> </v>
      </c>
      <c r="W16" s="388">
        <v>23876</v>
      </c>
      <c r="X16" s="337">
        <f>IF($AE16&lt;1," ",IF(W16&lt;1," ",(W16)/$AE16))</f>
        <v>0.25804319451154067</v>
      </c>
      <c r="Y16" s="388">
        <v>0</v>
      </c>
      <c r="Z16" s="337" t="str">
        <f>IF($AE16&lt;1," ",IF(Y16&lt;1," ",(Y16)/$AE16))</f>
        <v xml:space="preserve"> </v>
      </c>
      <c r="AA16" s="388">
        <v>0</v>
      </c>
      <c r="AB16" s="337" t="str">
        <f>IF($AE16&lt;1," ",IF(AA16&lt;1," ",(AA16)/$AE16))</f>
        <v xml:space="preserve"> </v>
      </c>
      <c r="AC16" s="1534">
        <f t="shared" si="0"/>
        <v>44775.144709999993</v>
      </c>
      <c r="AD16" s="377">
        <f>+E16+G16+I16+K16+M16+O16+Q16+S16+U16+W16+Y16+AA16+AC16</f>
        <v>92527.144709999993</v>
      </c>
      <c r="AE16" s="377">
        <f>'Budget-Summary MYP'!H19</f>
        <v>92527.144709999993</v>
      </c>
      <c r="AF16" s="377">
        <f t="shared" si="1"/>
        <v>0</v>
      </c>
      <c r="AG16" s="1177"/>
    </row>
    <row r="17" spans="1:33" ht="15">
      <c r="A17" s="403"/>
      <c r="B17" s="139" t="s">
        <v>307</v>
      </c>
      <c r="C17" s="275">
        <v>8560</v>
      </c>
      <c r="D17" s="374"/>
      <c r="E17" s="375">
        <v>0</v>
      </c>
      <c r="F17" s="337" t="str">
        <f>IF($AE17&lt;1," ",IF(E17&lt;1," ",(E17)/$AE17))</f>
        <v xml:space="preserve"> </v>
      </c>
      <c r="G17" s="388">
        <v>0</v>
      </c>
      <c r="H17" s="337" t="str">
        <f>IF($AE17&lt;1," ",IF(G17&lt;1," ",(G17)/$AE17))</f>
        <v xml:space="preserve"> </v>
      </c>
      <c r="I17" s="388">
        <v>0</v>
      </c>
      <c r="J17" s="337" t="str">
        <f>IF($AE17&lt;1," ",IF(I17&lt;1," ",(I17)/$AE17))</f>
        <v xml:space="preserve"> </v>
      </c>
      <c r="K17" s="388">
        <v>0</v>
      </c>
      <c r="L17" s="337" t="str">
        <f>IF($AE17&lt;1," ",IF(K17&lt;1," ",(K17)/$AE17))</f>
        <v xml:space="preserve"> </v>
      </c>
      <c r="M17" s="388">
        <v>0</v>
      </c>
      <c r="N17" s="524" t="str">
        <f>IF($AE17&lt;1," ",IF(M17&lt;1," ",(M17)/$AE17))</f>
        <v xml:space="preserve"> </v>
      </c>
      <c r="O17" s="388">
        <v>0</v>
      </c>
      <c r="P17" s="337" t="str">
        <f>IF($AE17&lt;1," ",IF(O17&lt;1," ",(O17)/$AE17))</f>
        <v xml:space="preserve"> </v>
      </c>
      <c r="Q17" s="388">
        <v>9712</v>
      </c>
      <c r="R17" s="524">
        <f>IF($AE17&lt;1," ",IF(Q17&lt;1," ",(Q17)/$AE17))</f>
        <v>0.25803598941871353</v>
      </c>
      <c r="S17" s="376">
        <v>0</v>
      </c>
      <c r="T17" s="337" t="str">
        <f>IF($AE17&lt;1," ",IF(S17&lt;1," ",(S17)/$AE17))</f>
        <v xml:space="preserve"> </v>
      </c>
      <c r="U17" s="388">
        <v>0</v>
      </c>
      <c r="V17" s="337" t="str">
        <f>IF($AE17&lt;1," ",IF(U17&lt;1," ",(U17)/$AE17))</f>
        <v xml:space="preserve"> </v>
      </c>
      <c r="W17" s="388">
        <v>9712</v>
      </c>
      <c r="X17" s="337">
        <f>IF($AE17&lt;1," ",IF(W17&lt;1," ",(W17)/$AE17))</f>
        <v>0.25803598941871353</v>
      </c>
      <c r="Y17" s="388">
        <v>0</v>
      </c>
      <c r="Z17" s="337" t="str">
        <f>IF($AE17&lt;1," ",IF(Y17&lt;1," ",(Y17)/$AE17))</f>
        <v xml:space="preserve"> </v>
      </c>
      <c r="AA17" s="388">
        <v>0</v>
      </c>
      <c r="AB17" s="337" t="str">
        <f>IF($AE17&lt;1," ",IF(AA17&lt;1," ",(AA17)/$AE17))</f>
        <v xml:space="preserve"> </v>
      </c>
      <c r="AC17" s="1534">
        <f t="shared" si="0"/>
        <v>18214.160559999997</v>
      </c>
      <c r="AD17" s="377">
        <f>+E17+G17+I17+K17+M17+O17+Q17+S17+U17+W17+Y17+AA17+AC17</f>
        <v>37638.160559999997</v>
      </c>
      <c r="AE17" s="377">
        <f>'Budget-Summary MYP'!H20</f>
        <v>37638.160559999997</v>
      </c>
      <c r="AF17" s="377">
        <f>+AE17-AD17</f>
        <v>0</v>
      </c>
      <c r="AG17" s="1177"/>
    </row>
    <row r="18" spans="1:33" ht="15">
      <c r="A18" s="403"/>
      <c r="B18" s="139" t="s">
        <v>308</v>
      </c>
      <c r="C18" s="275" t="s">
        <v>100</v>
      </c>
      <c r="D18" s="374"/>
      <c r="E18" s="375">
        <v>22922</v>
      </c>
      <c r="F18" s="337">
        <f>IF($AE18&lt;1," ",IF(E18&lt;1," ",(E18)/$AE18))</f>
        <v>1.5304505272586344E-2</v>
      </c>
      <c r="G18" s="388">
        <v>22922</v>
      </c>
      <c r="H18" s="337">
        <f>IF($AE18&lt;1," ",IF(G18&lt;1," ",(G18)/$AE18))</f>
        <v>1.5304505272586344E-2</v>
      </c>
      <c r="I18" s="388">
        <v>56681</v>
      </c>
      <c r="J18" s="337">
        <f>IF($AE18&lt;1," ",IF(I18&lt;1," ",(I18)/$AE18))</f>
        <v>3.7844632377430701E-2</v>
      </c>
      <c r="K18" s="388">
        <v>56681</v>
      </c>
      <c r="L18" s="337">
        <f>IF($AE18&lt;1," ",IF(K18&lt;1," ",(K18)/$AE18))</f>
        <v>3.7844632377430701E-2</v>
      </c>
      <c r="M18" s="388">
        <v>56681</v>
      </c>
      <c r="N18" s="524">
        <f>IF($AE18&lt;1," ",IF(M18&lt;1," ",(M18)/$AE18))</f>
        <v>3.7844632377430701E-2</v>
      </c>
      <c r="O18" s="388">
        <v>78092</v>
      </c>
      <c r="P18" s="337">
        <f>IF($AE18&lt;1," ",IF(O18&lt;1," ",(O18)/$AE18))</f>
        <v>5.214027684088704E-2</v>
      </c>
      <c r="Q18" s="388">
        <v>56681</v>
      </c>
      <c r="R18" s="524">
        <f>IF($AE18&lt;1," ",IF(Q18&lt;1," ",(Q18)/$AE18))</f>
        <v>3.7844632377430701E-2</v>
      </c>
      <c r="S18" s="376">
        <v>56681</v>
      </c>
      <c r="T18" s="337">
        <f>IF($AE18&lt;1," ",IF(S18&lt;1," ",(S18)/$AE18))</f>
        <v>3.7844632377430701E-2</v>
      </c>
      <c r="U18" s="388">
        <v>56681</v>
      </c>
      <c r="V18" s="337">
        <f>IF($AE18&lt;1," ",IF(U18&lt;1," ",(U18)/$AE18))</f>
        <v>3.7844632377430701E-2</v>
      </c>
      <c r="W18" s="388">
        <v>56681</v>
      </c>
      <c r="X18" s="337">
        <f>IF($AE18&lt;1," ",IF(W18&lt;1," ",(W18)/$AE18))</f>
        <v>3.7844632377430701E-2</v>
      </c>
      <c r="Y18" s="388">
        <v>56681</v>
      </c>
      <c r="Z18" s="337">
        <f>IF($AE18&lt;1," ",IF(Y18&lt;1," ",(Y18)/$AE18))</f>
        <v>3.7844632377430701E-2</v>
      </c>
      <c r="AA18" s="388">
        <v>56680</v>
      </c>
      <c r="AB18" s="337">
        <f>IF($AE18&lt;1," ",IF(AA18&lt;1," ",(AA18)/$AE18))</f>
        <v>3.7843964699860136E-2</v>
      </c>
      <c r="AC18" s="1534">
        <f t="shared" si="0"/>
        <v>863664.91000000015</v>
      </c>
      <c r="AD18" s="377">
        <f>+E18+G18+I18+K18+M18+O18+Q18+S18+U18+W18+Y18+AA18+AC18</f>
        <v>1497728.9100000001</v>
      </c>
      <c r="AE18" s="377">
        <f>'Budget-Summary MYP'!H21</f>
        <v>1497728.9100000001</v>
      </c>
      <c r="AF18" s="377">
        <f t="shared" si="1"/>
        <v>0</v>
      </c>
      <c r="AG18" s="1177"/>
    </row>
    <row r="19" spans="1:33" ht="15">
      <c r="A19" s="403" t="s">
        <v>309</v>
      </c>
      <c r="B19" s="139"/>
      <c r="C19" s="139"/>
      <c r="D19" s="374"/>
      <c r="E19" s="379"/>
      <c r="F19" s="337"/>
      <c r="G19" s="505"/>
      <c r="H19" s="337"/>
      <c r="I19" s="505"/>
      <c r="J19" s="337"/>
      <c r="K19" s="505"/>
      <c r="L19" s="337"/>
      <c r="M19" s="505"/>
      <c r="N19" s="337"/>
      <c r="O19" s="505"/>
      <c r="P19" s="337"/>
      <c r="Q19" s="505"/>
      <c r="R19" s="337"/>
      <c r="S19" s="505"/>
      <c r="T19" s="337"/>
      <c r="U19" s="505"/>
      <c r="V19" s="337"/>
      <c r="W19" s="505"/>
      <c r="X19" s="337"/>
      <c r="Y19" s="505"/>
      <c r="Z19" s="337"/>
      <c r="AA19" s="505"/>
      <c r="AB19" s="337"/>
      <c r="AC19" s="1535"/>
      <c r="AD19" s="377"/>
      <c r="AE19" s="377"/>
      <c r="AF19" s="377"/>
      <c r="AG19" s="1177"/>
    </row>
    <row r="20" spans="1:33" ht="15">
      <c r="A20" s="403"/>
      <c r="B20" s="139" t="s">
        <v>236</v>
      </c>
      <c r="C20" s="275">
        <v>8660</v>
      </c>
      <c r="D20" s="374"/>
      <c r="E20" s="375">
        <v>0</v>
      </c>
      <c r="F20" s="337" t="str">
        <f>IF($AE20&lt;1," ",IF(E20&lt;1," ",(E20)/$AE20))</f>
        <v xml:space="preserve"> </v>
      </c>
      <c r="G20" s="388">
        <v>0</v>
      </c>
      <c r="H20" s="337" t="str">
        <f>IF($AE20&lt;1," ",IF(G20&lt;1," ",(G20)/$AE20))</f>
        <v xml:space="preserve"> </v>
      </c>
      <c r="I20" s="388">
        <v>0</v>
      </c>
      <c r="J20" s="337" t="str">
        <f>IF($AE20&lt;1," ",IF(I20&lt;1," ",(I20)/$AE20))</f>
        <v xml:space="preserve"> </v>
      </c>
      <c r="K20" s="388">
        <v>0</v>
      </c>
      <c r="L20" s="337" t="str">
        <f>IF($AE20&lt;1," ",IF(K20&lt;1," ",(K20)/$AE20))</f>
        <v xml:space="preserve"> </v>
      </c>
      <c r="M20" s="388">
        <v>0</v>
      </c>
      <c r="N20" s="524" t="str">
        <f>IF($AE20&lt;1," ",IF(M20&lt;1," ",(M20)/$AE20))</f>
        <v xml:space="preserve"> </v>
      </c>
      <c r="O20" s="388">
        <v>0</v>
      </c>
      <c r="P20" s="337" t="str">
        <f>IF($AE20&lt;1," ",IF(O20&lt;1," ",(O20)/$AE20))</f>
        <v xml:space="preserve"> </v>
      </c>
      <c r="Q20" s="388">
        <v>0</v>
      </c>
      <c r="R20" s="524" t="str">
        <f>IF($AE20&lt;1," ",IF(Q20&lt;1," ",(Q20)/$AE20))</f>
        <v xml:space="preserve"> </v>
      </c>
      <c r="S20" s="376">
        <v>0</v>
      </c>
      <c r="T20" s="337" t="str">
        <f>IF($AE20&lt;1," ",IF(S20&lt;1," ",(S20)/$AE20))</f>
        <v xml:space="preserve"> </v>
      </c>
      <c r="U20" s="388">
        <v>0</v>
      </c>
      <c r="V20" s="337" t="str">
        <f>IF($AE20&lt;1," ",IF(U20&lt;1," ",(U20)/$AE20))</f>
        <v xml:space="preserve"> </v>
      </c>
      <c r="W20" s="388">
        <v>0</v>
      </c>
      <c r="X20" s="337" t="str">
        <f>IF($AE20&lt;1," ",IF(W20&lt;1," ",(W20)/$AE20))</f>
        <v xml:space="preserve"> </v>
      </c>
      <c r="Y20" s="388">
        <v>0</v>
      </c>
      <c r="Z20" s="337" t="str">
        <f>IF($AE20&lt;1," ",IF(Y20&lt;1," ",(Y20)/$AE20))</f>
        <v xml:space="preserve"> </v>
      </c>
      <c r="AA20" s="388">
        <v>0</v>
      </c>
      <c r="AB20" s="337" t="str">
        <f>IF($AE20&lt;1," ",IF(AA20&lt;1," ",(AA20)/$AE20))</f>
        <v xml:space="preserve"> </v>
      </c>
      <c r="AC20" s="1534">
        <f t="shared" si="0"/>
        <v>0</v>
      </c>
      <c r="AD20" s="377">
        <f>+E20+G20+I20+K20+M20+O20+Q20+S20+U20+W20+Y20+AA20+AC20</f>
        <v>0</v>
      </c>
      <c r="AE20" s="377">
        <f>'Budget-Summary MYP'!H23</f>
        <v>0</v>
      </c>
      <c r="AF20" s="377">
        <f t="shared" si="1"/>
        <v>0</v>
      </c>
      <c r="AG20" s="1177"/>
    </row>
    <row r="21" spans="1:33" ht="15">
      <c r="A21" s="403"/>
      <c r="B21" s="139" t="s">
        <v>310</v>
      </c>
      <c r="C21" s="275">
        <v>8792</v>
      </c>
      <c r="D21" s="374"/>
      <c r="E21" s="375">
        <v>0</v>
      </c>
      <c r="F21" s="337" t="str">
        <f>IF($AE21&lt;1," ",IF(E21&lt;1," ",(E21)/$AE21))</f>
        <v xml:space="preserve"> </v>
      </c>
      <c r="G21" s="388">
        <v>0</v>
      </c>
      <c r="H21" s="337" t="str">
        <f>IF($AE21&lt;1," ",IF(G21&lt;1," ",(G21)/$AE21))</f>
        <v xml:space="preserve"> </v>
      </c>
      <c r="I21" s="388">
        <v>0</v>
      </c>
      <c r="J21" s="337" t="str">
        <f>IF($AE21&lt;1," ",IF(I21&lt;1," ",(I21)/$AE21))</f>
        <v xml:space="preserve"> </v>
      </c>
      <c r="K21" s="388">
        <v>0</v>
      </c>
      <c r="L21" s="337" t="str">
        <f>IF($AE21&lt;1," ",IF(K21&lt;1," ",(K21)/$AE21))</f>
        <v xml:space="preserve"> </v>
      </c>
      <c r="M21" s="388">
        <v>0</v>
      </c>
      <c r="N21" s="524" t="str">
        <f>IF($AE21&lt;1," ",IF(M21&lt;1," ",(M21)/$AE21))</f>
        <v xml:space="preserve"> </v>
      </c>
      <c r="O21" s="388">
        <v>0</v>
      </c>
      <c r="P21" s="337" t="str">
        <f>IF($AE21&lt;1," ",IF(O21&lt;1," ",(O21)/$AE21))</f>
        <v xml:space="preserve"> </v>
      </c>
      <c r="Q21" s="388">
        <v>0</v>
      </c>
      <c r="R21" s="524" t="str">
        <f>IF($AE21&lt;1," ",IF(Q21&lt;1," ",(Q21)/$AE21))</f>
        <v xml:space="preserve"> </v>
      </c>
      <c r="S21" s="376">
        <v>0</v>
      </c>
      <c r="T21" s="337" t="str">
        <f>IF($AE21&lt;1," ",IF(S21&lt;1," ",(S21)/$AE21))</f>
        <v xml:space="preserve"> </v>
      </c>
      <c r="U21" s="388">
        <v>0</v>
      </c>
      <c r="V21" s="337" t="str">
        <f>IF($AE21&lt;1," ",IF(U21&lt;1," ",(U21)/$AE21))</f>
        <v xml:space="preserve"> </v>
      </c>
      <c r="W21" s="388">
        <v>0</v>
      </c>
      <c r="X21" s="337" t="str">
        <f>IF($AE21&lt;1," ",IF(W21&lt;1," ",(W21)/$AE21))</f>
        <v xml:space="preserve"> </v>
      </c>
      <c r="Y21" s="388">
        <v>0</v>
      </c>
      <c r="Z21" s="337" t="str">
        <f>IF($AE21&lt;1," ",IF(Y21&lt;1," ",(Y21)/$AE21))</f>
        <v xml:space="preserve"> </v>
      </c>
      <c r="AA21" s="388">
        <v>0</v>
      </c>
      <c r="AB21" s="337" t="str">
        <f>IF($AE21&lt;1," ",IF(AA21&lt;1," ",(AA21)/$AE21))</f>
        <v xml:space="preserve"> </v>
      </c>
      <c r="AC21" s="1534">
        <f t="shared" si="0"/>
        <v>0</v>
      </c>
      <c r="AD21" s="377">
        <f>+E21+G21+I21+K21+M21+O21+Q21+S21+U21+W21+Y21+AA21+AC21</f>
        <v>0</v>
      </c>
      <c r="AE21" s="377">
        <f>'Budget-Summary MYP'!H24</f>
        <v>0</v>
      </c>
      <c r="AF21" s="377">
        <f t="shared" si="1"/>
        <v>0</v>
      </c>
      <c r="AG21" s="1177"/>
    </row>
    <row r="22" spans="1:33" ht="15">
      <c r="A22" s="403"/>
      <c r="B22" s="139" t="s">
        <v>311</v>
      </c>
      <c r="C22" s="275" t="s">
        <v>101</v>
      </c>
      <c r="D22" s="374"/>
      <c r="E22" s="375">
        <v>0</v>
      </c>
      <c r="F22" s="337" t="str">
        <f>IF($AE22&lt;1," ",IF(E22&lt;1," ",(E22)/$AE22))</f>
        <v xml:space="preserve"> </v>
      </c>
      <c r="G22" s="388">
        <v>0</v>
      </c>
      <c r="H22" s="337" t="str">
        <f>IF($AE22&lt;1," ",IF(G22&lt;1," ",(G22)/$AE22))</f>
        <v xml:space="preserve"> </v>
      </c>
      <c r="I22" s="388">
        <v>1000</v>
      </c>
      <c r="J22" s="337">
        <f>IF($AE22&lt;1," ",IF(I22&lt;1," ",(I22)/$AE22))</f>
        <v>6.2500000000000003E-3</v>
      </c>
      <c r="K22" s="388">
        <v>151000</v>
      </c>
      <c r="L22" s="337">
        <f>IF($AE22&lt;1," ",IF(K22&lt;1," ",(K22)/$AE22))</f>
        <v>0.94374999999999998</v>
      </c>
      <c r="M22" s="388">
        <v>1000</v>
      </c>
      <c r="N22" s="524">
        <f>IF($AE22&lt;1," ",IF(M22&lt;1," ",(M22)/$AE22))</f>
        <v>6.2500000000000003E-3</v>
      </c>
      <c r="O22" s="388">
        <v>1000</v>
      </c>
      <c r="P22" s="337">
        <f>IF($AE22&lt;1," ",IF(O22&lt;1," ",(O22)/$AE22))</f>
        <v>6.2500000000000003E-3</v>
      </c>
      <c r="Q22" s="388">
        <v>1000</v>
      </c>
      <c r="R22" s="524">
        <f>IF($AE22&lt;1," ",IF(Q22&lt;1," ",(Q22)/$AE22))</f>
        <v>6.2500000000000003E-3</v>
      </c>
      <c r="S22" s="376">
        <v>1000</v>
      </c>
      <c r="T22" s="337">
        <f>IF($AE22&lt;1," ",IF(S22&lt;1," ",(S22)/$AE22))</f>
        <v>6.2500000000000003E-3</v>
      </c>
      <c r="U22" s="388">
        <v>1000</v>
      </c>
      <c r="V22" s="337">
        <f>IF($AE22&lt;1," ",IF(U22&lt;1," ",(U22)/$AE22))</f>
        <v>6.2500000000000003E-3</v>
      </c>
      <c r="W22" s="388">
        <v>1000</v>
      </c>
      <c r="X22" s="337">
        <f>IF($AE22&lt;1," ",IF(W22&lt;1," ",(W22)/$AE22))</f>
        <v>6.2500000000000003E-3</v>
      </c>
      <c r="Y22" s="388">
        <v>1000</v>
      </c>
      <c r="Z22" s="337">
        <f>IF($AE22&lt;1," ",IF(Y22&lt;1," ",(Y22)/$AE22))</f>
        <v>6.2500000000000003E-3</v>
      </c>
      <c r="AA22" s="388">
        <v>1000</v>
      </c>
      <c r="AB22" s="337">
        <f>IF($AE22&lt;1," ",IF(AA22&lt;1," ",(AA22)/$AE22))</f>
        <v>6.2500000000000003E-3</v>
      </c>
      <c r="AC22" s="1534">
        <f t="shared" si="0"/>
        <v>0</v>
      </c>
      <c r="AD22" s="377">
        <f>+E22+G22+I22+K22+M22+O22+Q22+S22+U22+W22+Y22+AA22+AC22</f>
        <v>160000</v>
      </c>
      <c r="AE22" s="377">
        <f>'Budget-Summary MYP'!H25</f>
        <v>160000</v>
      </c>
      <c r="AF22" s="377">
        <f t="shared" si="1"/>
        <v>0</v>
      </c>
      <c r="AG22" s="1177"/>
    </row>
    <row r="23" spans="1:33" ht="15.4" thickBot="1">
      <c r="A23" s="402" t="s">
        <v>312</v>
      </c>
      <c r="B23" s="380"/>
      <c r="C23" s="381"/>
      <c r="D23" s="381"/>
      <c r="E23" s="760">
        <f>SUM(E10:E22)</f>
        <v>22922</v>
      </c>
      <c r="F23" s="382">
        <f>IF($AE23&lt;1," ",IF(E23&lt;1," ",(E23)/$AE23))</f>
        <v>2.41804951099072E-3</v>
      </c>
      <c r="G23" s="761">
        <f>SUM(G10:G22)</f>
        <v>396043</v>
      </c>
      <c r="H23" s="382">
        <f>IF($AE23&lt;1," ",IF(G23&lt;1," ",(G23)/$AE23))</f>
        <v>4.1778709644939266E-2</v>
      </c>
      <c r="I23" s="761">
        <f>SUM(I10:I22)</f>
        <v>458228</v>
      </c>
      <c r="J23" s="382">
        <f>IF($AE23&lt;1," ",IF(I23&lt;1," ",(I23)/$AE23))</f>
        <v>4.8338626268312354E-2</v>
      </c>
      <c r="K23" s="761">
        <f>SUM(K10:K22)</f>
        <v>913783</v>
      </c>
      <c r="L23" s="382">
        <f>IF($AE23&lt;1," ",IF(K23&lt;1," ",(K23)/$AE23))</f>
        <v>9.6395276865091764E-2</v>
      </c>
      <c r="M23" s="761">
        <f>SUM(M10:M22)</f>
        <v>737953</v>
      </c>
      <c r="N23" s="526">
        <f>IF($AE23&lt;1," ",IF(M23&lt;1," ",(M23)/$AE23))</f>
        <v>7.7846910862234317E-2</v>
      </c>
      <c r="O23" s="761">
        <f>SUM(O10:O22)</f>
        <v>759364</v>
      </c>
      <c r="P23" s="382">
        <f>IF($AE23&lt;1," ",IF(O23&lt;1," ",(O23)/$AE23))</f>
        <v>8.0105564473604271E-2</v>
      </c>
      <c r="Q23" s="761">
        <f>SUM(Q10:Q22)</f>
        <v>844961</v>
      </c>
      <c r="R23" s="526">
        <f>IF($AE23&lt;1," ",IF(Q23&lt;1," ",(Q23)/$AE23))</f>
        <v>8.9135220873232265E-2</v>
      </c>
      <c r="S23" s="762">
        <f>SUM(S10:S22)</f>
        <v>737953</v>
      </c>
      <c r="T23" s="382">
        <f>IF($AE23&lt;1," ",IF(S23&lt;1," ",(S23)/$AE23))</f>
        <v>7.7846910862234317E-2</v>
      </c>
      <c r="U23" s="761">
        <f>SUM(U10:U22)</f>
        <v>760358</v>
      </c>
      <c r="V23" s="382">
        <f>IF($AE23&lt;1," ",IF(U23&lt;1," ",(U23)/$AE23))</f>
        <v>8.0210421868854465E-2</v>
      </c>
      <c r="W23" s="761">
        <f>SUM(W10:W22)</f>
        <v>842827</v>
      </c>
      <c r="X23" s="382">
        <f>IF($AE23&lt;1," ",IF(W23&lt;1," ",(W23)/$AE23))</f>
        <v>8.8910104493489905E-2</v>
      </c>
      <c r="Y23" s="761">
        <f>SUM(Y10:Y22)</f>
        <v>735819</v>
      </c>
      <c r="Z23" s="382">
        <f>IF($AE23&lt;1," ",IF(Y23&lt;1," ",(Y23)/$AE23))</f>
        <v>7.7621794482491957E-2</v>
      </c>
      <c r="AA23" s="761">
        <f>SUM(AA10:AA22)</f>
        <v>792095</v>
      </c>
      <c r="AB23" s="382">
        <f>IF($AE23&lt;1," ",IF(AA23&lt;1," ",(AA23)/$AE23))</f>
        <v>8.3558368702913985E-2</v>
      </c>
      <c r="AC23" s="1536">
        <f>SUM(AC10:AC22)</f>
        <v>1477235.21527</v>
      </c>
      <c r="AD23" s="763">
        <f>SUM(AD10:AD22)</f>
        <v>9479541.2152699996</v>
      </c>
      <c r="AE23" s="763">
        <f>SUM(AE10:AE22)</f>
        <v>9479541.2152699996</v>
      </c>
      <c r="AF23" s="763">
        <f>SUM(AF10:AF22)</f>
        <v>0</v>
      </c>
      <c r="AG23" s="1177"/>
    </row>
    <row r="24" spans="1:33" ht="15">
      <c r="A24" s="404"/>
      <c r="B24" s="368"/>
      <c r="C24" s="71"/>
      <c r="D24" s="71"/>
      <c r="E24" s="72"/>
      <c r="F24" s="192"/>
      <c r="G24" s="73"/>
      <c r="H24" s="192"/>
      <c r="I24" s="73"/>
      <c r="J24" s="192"/>
      <c r="K24" s="73"/>
      <c r="L24" s="192"/>
      <c r="M24" s="73"/>
      <c r="N24" s="192"/>
      <c r="O24" s="73"/>
      <c r="P24" s="192"/>
      <c r="Q24" s="73"/>
      <c r="R24" s="192"/>
      <c r="S24" s="73"/>
      <c r="T24" s="192"/>
      <c r="U24" s="73"/>
      <c r="V24" s="192"/>
      <c r="W24" s="73"/>
      <c r="X24" s="192"/>
      <c r="Y24" s="73"/>
      <c r="Z24" s="192"/>
      <c r="AA24" s="73"/>
      <c r="AB24" s="192"/>
      <c r="AC24" s="1006"/>
      <c r="AD24" s="1006"/>
      <c r="AE24" s="1006"/>
      <c r="AF24" s="1022"/>
      <c r="AG24" s="1177"/>
    </row>
    <row r="25" spans="1:33" ht="15">
      <c r="A25" s="66" t="s">
        <v>3</v>
      </c>
      <c r="B25" s="179"/>
      <c r="C25" s="371"/>
      <c r="D25" s="371"/>
      <c r="E25" s="538"/>
      <c r="F25" s="478"/>
      <c r="G25" s="518"/>
      <c r="H25" s="478"/>
      <c r="I25" s="518"/>
      <c r="J25" s="478"/>
      <c r="K25" s="518"/>
      <c r="L25" s="478"/>
      <c r="M25" s="518"/>
      <c r="N25" s="478"/>
      <c r="O25" s="518"/>
      <c r="P25" s="478"/>
      <c r="Q25" s="518"/>
      <c r="R25" s="478"/>
      <c r="S25" s="518"/>
      <c r="T25" s="478"/>
      <c r="U25" s="518"/>
      <c r="V25" s="478"/>
      <c r="W25" s="518"/>
      <c r="X25" s="478"/>
      <c r="Y25" s="518"/>
      <c r="Z25" s="478"/>
      <c r="AA25" s="518"/>
      <c r="AB25" s="478"/>
      <c r="AC25" s="1010"/>
      <c r="AD25" s="1010"/>
      <c r="AE25" s="1010"/>
      <c r="AF25" s="1018"/>
      <c r="AG25" s="1177"/>
    </row>
    <row r="26" spans="1:33" ht="15">
      <c r="A26" s="403" t="s">
        <v>4</v>
      </c>
      <c r="B26" s="139"/>
      <c r="C26" s="275" t="s">
        <v>102</v>
      </c>
      <c r="D26" s="374"/>
      <c r="E26" s="375">
        <v>235645</v>
      </c>
      <c r="F26" s="337">
        <f>IF($AE$26&lt;1," ",IF(E26&lt;1," ",(E26)/$AE$26))</f>
        <v>9.2294020168424001E-2</v>
      </c>
      <c r="G26" s="388">
        <v>235645</v>
      </c>
      <c r="H26" s="337">
        <f>IF($AE$26&lt;1," ",IF(G26&lt;1," ",(G26)/$AE$26))</f>
        <v>9.2294020168424001E-2</v>
      </c>
      <c r="I26" s="388">
        <v>235645</v>
      </c>
      <c r="J26" s="337">
        <f>IF($AE$26&lt;1," ",IF(I26&lt;1," ",(I26)/$AE$26))</f>
        <v>9.2294020168424001E-2</v>
      </c>
      <c r="K26" s="388">
        <v>235645</v>
      </c>
      <c r="L26" s="337">
        <f>IF($AE$26&lt;1," ",IF(K26&lt;1," ",(K26)/$AE$26))</f>
        <v>9.2294020168424001E-2</v>
      </c>
      <c r="M26" s="388">
        <v>235645</v>
      </c>
      <c r="N26" s="524">
        <f>IF($AE$26&lt;1," ",IF(M26&lt;1," ",(M26)/$AE$26))</f>
        <v>9.2294020168424001E-2</v>
      </c>
      <c r="O26" s="388">
        <v>235645</v>
      </c>
      <c r="P26" s="524">
        <f>IF($AE$26&lt;1," ",IF(O26&lt;1," ",(O26)/$AE$26))</f>
        <v>9.2294020168424001E-2</v>
      </c>
      <c r="Q26" s="388">
        <v>235645</v>
      </c>
      <c r="R26" s="524">
        <f>IF($AE$26&lt;1," ",IF(Q26&lt;1," ",(Q26)/$AE$26))</f>
        <v>9.2294020168424001E-2</v>
      </c>
      <c r="S26" s="376">
        <v>235645</v>
      </c>
      <c r="T26" s="337">
        <f>IF($AE$26&lt;1," ",IF(S26&lt;1," ",(S26)/$AE$26))</f>
        <v>9.2294020168424001E-2</v>
      </c>
      <c r="U26" s="388">
        <v>235645</v>
      </c>
      <c r="V26" s="337">
        <f>IF($AE$26&lt;1," ",IF(U26&lt;1," ",(U26)/$AE$26))</f>
        <v>9.2294020168424001E-2</v>
      </c>
      <c r="W26" s="388">
        <v>235645</v>
      </c>
      <c r="X26" s="337">
        <f>IF($AE$26&lt;1," ",IF(W26&lt;1," ",(W26)/$AE$26))</f>
        <v>9.2294020168424001E-2</v>
      </c>
      <c r="Y26" s="388">
        <v>235645</v>
      </c>
      <c r="Z26" s="337">
        <f>IF($AE$26&lt;1," ",IF(Y26&lt;1," ",(Y26)/$AE$26))</f>
        <v>9.2294020168424001E-2</v>
      </c>
      <c r="AA26" s="388">
        <v>235650</v>
      </c>
      <c r="AB26" s="337">
        <f>IF($AE$26&lt;1," ",IF(AA26&lt;1," ",(AA26)/$AE$26))</f>
        <v>9.2295978495996592E-2</v>
      </c>
      <c r="AC26" s="1537">
        <f t="shared" ref="AC26:AC31" si="2">AE26-(E26+G26+I26+K26+M26+O26+Q26+S26+U26+W26+Y26+AA26)</f>
        <v>-274546</v>
      </c>
      <c r="AD26" s="385">
        <f t="shared" ref="AD26:AD31" si="3">+E26+G26+I26+K26+M26+O26+Q26+S26+U26+W26+Y26+AA26+AC26</f>
        <v>2553199</v>
      </c>
      <c r="AE26" s="385">
        <f>'Budget-Summary MYP'!H29</f>
        <v>2553199</v>
      </c>
      <c r="AF26" s="385">
        <f t="shared" ref="AF26:AF31" si="4">+AE26-AD26</f>
        <v>0</v>
      </c>
      <c r="AG26" s="1177"/>
    </row>
    <row r="27" spans="1:33" ht="15">
      <c r="A27" s="403" t="s">
        <v>23</v>
      </c>
      <c r="B27" s="139"/>
      <c r="C27" s="275" t="s">
        <v>103</v>
      </c>
      <c r="D27" s="374"/>
      <c r="E27" s="375">
        <v>114217</v>
      </c>
      <c r="F27" s="337">
        <f t="shared" ref="F27:F31" si="5">IF($AE27&lt;1," ",IF(E27&lt;1," ",(E27)/$AE27))</f>
        <v>9.5838686047477556E-2</v>
      </c>
      <c r="G27" s="388">
        <v>114217</v>
      </c>
      <c r="H27" s="337">
        <f t="shared" ref="H27:H31" si="6">IF($AE27&lt;1," ",IF(G27&lt;1," ",(G27)/$AE27))</f>
        <v>9.5838686047477556E-2</v>
      </c>
      <c r="I27" s="388">
        <v>114217</v>
      </c>
      <c r="J27" s="337">
        <f t="shared" ref="J27:J31" si="7">IF($AE27&lt;1," ",IF(I27&lt;1," ",(I27)/$AE27))</f>
        <v>9.5838686047477556E-2</v>
      </c>
      <c r="K27" s="388">
        <v>114217</v>
      </c>
      <c r="L27" s="337">
        <f t="shared" ref="L27:L31" si="8">IF($AE27&lt;1," ",IF(K27&lt;1," ",(K27)/$AE27))</f>
        <v>9.5838686047477556E-2</v>
      </c>
      <c r="M27" s="388">
        <v>114217</v>
      </c>
      <c r="N27" s="337">
        <f t="shared" ref="N27:N31" si="9">IF($AE27&lt;1," ",IF(M27&lt;1," ",(M27)/$AE27))</f>
        <v>9.5838686047477556E-2</v>
      </c>
      <c r="O27" s="388">
        <v>114217</v>
      </c>
      <c r="P27" s="337">
        <f t="shared" ref="P27:P31" si="10">IF($AE27&lt;1," ",IF(O27&lt;1," ",(O27)/$AE27))</f>
        <v>9.5838686047477556E-2</v>
      </c>
      <c r="Q27" s="388">
        <v>114217</v>
      </c>
      <c r="R27" s="337">
        <f t="shared" ref="R27:R31" si="11">IF($AE27&lt;1," ",IF(Q27&lt;1," ",(Q27)/$AE27))</f>
        <v>9.5838686047477556E-2</v>
      </c>
      <c r="S27" s="376">
        <v>114217</v>
      </c>
      <c r="T27" s="337">
        <f t="shared" ref="T27:T31" si="12">IF($AE27&lt;1," ",IF(S27&lt;1," ",(S27)/$AE27))</f>
        <v>9.5838686047477556E-2</v>
      </c>
      <c r="U27" s="388">
        <v>114217</v>
      </c>
      <c r="V27" s="337">
        <f t="shared" ref="V27:V31" si="13">IF($AE27&lt;1," ",IF(U27&lt;1," ",(U27)/$AE27))</f>
        <v>9.5838686047477556E-2</v>
      </c>
      <c r="W27" s="388">
        <v>114217</v>
      </c>
      <c r="X27" s="337">
        <f t="shared" ref="X27:X31" si="14">IF($AE27&lt;1," ",IF(W27&lt;1," ",(W27)/$AE27))</f>
        <v>9.5838686047477556E-2</v>
      </c>
      <c r="Y27" s="388">
        <v>114217</v>
      </c>
      <c r="Z27" s="337">
        <f t="shared" ref="Z27:Z31" si="15">IF($AE27&lt;1," ",IF(Y27&lt;1," ",(Y27)/$AE27))</f>
        <v>9.5838686047477556E-2</v>
      </c>
      <c r="AA27" s="388">
        <v>114227</v>
      </c>
      <c r="AB27" s="337">
        <f t="shared" ref="AB27:AB31" si="16">IF($AE27&lt;1," ",IF(AA27&lt;1," ",(AA27)/$AE27))</f>
        <v>9.5847076977553416E-2</v>
      </c>
      <c r="AC27" s="1537">
        <f t="shared" si="2"/>
        <v>-178851</v>
      </c>
      <c r="AD27" s="385">
        <f t="shared" si="3"/>
        <v>1191763</v>
      </c>
      <c r="AE27" s="385">
        <f>'Budget-Summary MYP'!H30</f>
        <v>1191763</v>
      </c>
      <c r="AF27" s="385">
        <f t="shared" si="4"/>
        <v>0</v>
      </c>
      <c r="AG27" s="1177"/>
    </row>
    <row r="28" spans="1:33" ht="15">
      <c r="A28" s="403" t="s">
        <v>24</v>
      </c>
      <c r="B28" s="139"/>
      <c r="C28" s="275" t="s">
        <v>104</v>
      </c>
      <c r="D28" s="374"/>
      <c r="E28" s="375">
        <v>124991</v>
      </c>
      <c r="F28" s="337">
        <f t="shared" si="5"/>
        <v>9.3249447550496342E-2</v>
      </c>
      <c r="G28" s="388">
        <v>124991</v>
      </c>
      <c r="H28" s="337">
        <f t="shared" si="6"/>
        <v>9.3249447550496342E-2</v>
      </c>
      <c r="I28" s="388">
        <v>124991</v>
      </c>
      <c r="J28" s="337">
        <f t="shared" si="7"/>
        <v>9.3249447550496342E-2</v>
      </c>
      <c r="K28" s="388">
        <v>124991</v>
      </c>
      <c r="L28" s="337">
        <f t="shared" si="8"/>
        <v>9.3249447550496342E-2</v>
      </c>
      <c r="M28" s="388">
        <v>124991</v>
      </c>
      <c r="N28" s="337">
        <f t="shared" si="9"/>
        <v>9.3249447550496342E-2</v>
      </c>
      <c r="O28" s="388">
        <v>124991</v>
      </c>
      <c r="P28" s="337">
        <f t="shared" si="10"/>
        <v>9.3249447550496342E-2</v>
      </c>
      <c r="Q28" s="388">
        <v>124991</v>
      </c>
      <c r="R28" s="337">
        <f t="shared" si="11"/>
        <v>9.3249447550496342E-2</v>
      </c>
      <c r="S28" s="376">
        <v>124991</v>
      </c>
      <c r="T28" s="337">
        <f t="shared" si="12"/>
        <v>9.3249447550496342E-2</v>
      </c>
      <c r="U28" s="388">
        <v>124991</v>
      </c>
      <c r="V28" s="337">
        <f t="shared" si="13"/>
        <v>9.3249447550496342E-2</v>
      </c>
      <c r="W28" s="388">
        <v>124991</v>
      </c>
      <c r="X28" s="337">
        <f t="shared" si="14"/>
        <v>9.3249447550496342E-2</v>
      </c>
      <c r="Y28" s="388">
        <v>124991</v>
      </c>
      <c r="Z28" s="337">
        <f t="shared" si="15"/>
        <v>9.3249447550496342E-2</v>
      </c>
      <c r="AA28" s="388">
        <v>124988</v>
      </c>
      <c r="AB28" s="337">
        <f t="shared" si="16"/>
        <v>9.3247209402608486E-2</v>
      </c>
      <c r="AC28" s="1537">
        <f t="shared" si="2"/>
        <v>-159495</v>
      </c>
      <c r="AD28" s="385">
        <f t="shared" si="3"/>
        <v>1340394</v>
      </c>
      <c r="AE28" s="385">
        <f>'Budget-Summary MYP'!H31</f>
        <v>1340394</v>
      </c>
      <c r="AF28" s="385">
        <f t="shared" si="4"/>
        <v>0</v>
      </c>
      <c r="AG28" s="1177"/>
    </row>
    <row r="29" spans="1:33" ht="15">
      <c r="A29" s="403" t="s">
        <v>25</v>
      </c>
      <c r="B29" s="139"/>
      <c r="C29" s="275" t="s">
        <v>105</v>
      </c>
      <c r="D29" s="374"/>
      <c r="E29" s="375">
        <v>53920</v>
      </c>
      <c r="F29" s="337">
        <f t="shared" si="5"/>
        <v>8.3332303013068584E-2</v>
      </c>
      <c r="G29" s="388">
        <v>53920</v>
      </c>
      <c r="H29" s="337">
        <f t="shared" si="6"/>
        <v>8.3332303013068584E-2</v>
      </c>
      <c r="I29" s="388">
        <v>53920</v>
      </c>
      <c r="J29" s="337">
        <f t="shared" si="7"/>
        <v>8.3332303013068584E-2</v>
      </c>
      <c r="K29" s="388">
        <v>53920</v>
      </c>
      <c r="L29" s="337">
        <f t="shared" si="8"/>
        <v>8.3332303013068584E-2</v>
      </c>
      <c r="M29" s="388">
        <v>53920</v>
      </c>
      <c r="N29" s="337">
        <f t="shared" si="9"/>
        <v>8.3332303013068584E-2</v>
      </c>
      <c r="O29" s="388">
        <v>53920</v>
      </c>
      <c r="P29" s="337">
        <f t="shared" si="10"/>
        <v>8.3332303013068584E-2</v>
      </c>
      <c r="Q29" s="388">
        <v>53920</v>
      </c>
      <c r="R29" s="337">
        <f t="shared" si="11"/>
        <v>8.3332303013068584E-2</v>
      </c>
      <c r="S29" s="376">
        <v>53920</v>
      </c>
      <c r="T29" s="337">
        <f t="shared" si="12"/>
        <v>8.3332303013068584E-2</v>
      </c>
      <c r="U29" s="388">
        <v>53920</v>
      </c>
      <c r="V29" s="337">
        <f t="shared" si="13"/>
        <v>8.3332303013068584E-2</v>
      </c>
      <c r="W29" s="388">
        <v>53920</v>
      </c>
      <c r="X29" s="337">
        <f t="shared" si="14"/>
        <v>8.3332303013068584E-2</v>
      </c>
      <c r="Y29" s="388">
        <v>53920</v>
      </c>
      <c r="Z29" s="337">
        <f t="shared" si="15"/>
        <v>8.3332303013068584E-2</v>
      </c>
      <c r="AA29" s="388">
        <v>53928</v>
      </c>
      <c r="AB29" s="337">
        <f t="shared" si="16"/>
        <v>8.33446668562456E-2</v>
      </c>
      <c r="AC29" s="1537">
        <f t="shared" si="2"/>
        <v>0</v>
      </c>
      <c r="AD29" s="385">
        <f t="shared" si="3"/>
        <v>647048</v>
      </c>
      <c r="AE29" s="385">
        <f>'Budget-Summary MYP'!H32</f>
        <v>647048</v>
      </c>
      <c r="AF29" s="385">
        <f t="shared" si="4"/>
        <v>0</v>
      </c>
      <c r="AG29" s="1177"/>
    </row>
    <row r="30" spans="1:33" ht="15">
      <c r="A30" s="403" t="s">
        <v>26</v>
      </c>
      <c r="B30" s="139"/>
      <c r="C30" s="275" t="s">
        <v>106</v>
      </c>
      <c r="D30" s="374"/>
      <c r="E30" s="375">
        <v>254315</v>
      </c>
      <c r="F30" s="337">
        <f t="shared" si="5"/>
        <v>6.7912664604394005E-2</v>
      </c>
      <c r="G30" s="388">
        <v>254315</v>
      </c>
      <c r="H30" s="337">
        <f t="shared" si="6"/>
        <v>6.7912664604394005E-2</v>
      </c>
      <c r="I30" s="388">
        <v>254315</v>
      </c>
      <c r="J30" s="337">
        <f t="shared" si="7"/>
        <v>6.7912664604394005E-2</v>
      </c>
      <c r="K30" s="388">
        <v>254315</v>
      </c>
      <c r="L30" s="337">
        <f t="shared" si="8"/>
        <v>6.7912664604394005E-2</v>
      </c>
      <c r="M30" s="388">
        <v>254315</v>
      </c>
      <c r="N30" s="337">
        <f t="shared" si="9"/>
        <v>6.7912664604394005E-2</v>
      </c>
      <c r="O30" s="388">
        <v>254315</v>
      </c>
      <c r="P30" s="337">
        <f t="shared" si="10"/>
        <v>6.7912664604394005E-2</v>
      </c>
      <c r="Q30" s="388">
        <v>254315</v>
      </c>
      <c r="R30" s="337">
        <f t="shared" si="11"/>
        <v>6.7912664604394005E-2</v>
      </c>
      <c r="S30" s="376">
        <v>254315</v>
      </c>
      <c r="T30" s="337">
        <f t="shared" si="12"/>
        <v>6.7912664604394005E-2</v>
      </c>
      <c r="U30" s="388">
        <v>254315</v>
      </c>
      <c r="V30" s="337">
        <f t="shared" si="13"/>
        <v>6.7912664604394005E-2</v>
      </c>
      <c r="W30" s="388">
        <v>254315</v>
      </c>
      <c r="X30" s="337">
        <f t="shared" si="14"/>
        <v>6.7912664604394005E-2</v>
      </c>
      <c r="Y30" s="388">
        <v>254315</v>
      </c>
      <c r="Z30" s="337">
        <f t="shared" si="15"/>
        <v>6.7912664604394005E-2</v>
      </c>
      <c r="AA30" s="388">
        <v>254322</v>
      </c>
      <c r="AB30" s="337">
        <f t="shared" si="16"/>
        <v>6.7914533895046272E-2</v>
      </c>
      <c r="AC30" s="1537">
        <f t="shared" si="2"/>
        <v>692949</v>
      </c>
      <c r="AD30" s="385">
        <f t="shared" si="3"/>
        <v>3744736</v>
      </c>
      <c r="AE30" s="385">
        <f>'Budget-Summary MYP'!H33</f>
        <v>3744736</v>
      </c>
      <c r="AF30" s="385">
        <f t="shared" si="4"/>
        <v>0</v>
      </c>
      <c r="AG30" s="1177"/>
    </row>
    <row r="31" spans="1:33" ht="15">
      <c r="A31" s="403" t="s">
        <v>508</v>
      </c>
      <c r="B31" s="139"/>
      <c r="C31" s="275" t="s">
        <v>107</v>
      </c>
      <c r="D31" s="374"/>
      <c r="E31" s="375">
        <v>0</v>
      </c>
      <c r="F31" s="337" t="str">
        <f t="shared" si="5"/>
        <v xml:space="preserve"> </v>
      </c>
      <c r="G31" s="388">
        <v>0</v>
      </c>
      <c r="H31" s="337" t="str">
        <f t="shared" si="6"/>
        <v xml:space="preserve"> </v>
      </c>
      <c r="I31" s="388">
        <v>0</v>
      </c>
      <c r="J31" s="337" t="str">
        <f t="shared" si="7"/>
        <v xml:space="preserve"> </v>
      </c>
      <c r="K31" s="388">
        <v>0</v>
      </c>
      <c r="L31" s="337" t="str">
        <f t="shared" si="8"/>
        <v xml:space="preserve"> </v>
      </c>
      <c r="M31" s="388">
        <v>0</v>
      </c>
      <c r="N31" s="337" t="str">
        <f t="shared" si="9"/>
        <v xml:space="preserve"> </v>
      </c>
      <c r="O31" s="388">
        <v>0</v>
      </c>
      <c r="P31" s="337" t="str">
        <f t="shared" si="10"/>
        <v xml:space="preserve"> </v>
      </c>
      <c r="Q31" s="388">
        <v>0</v>
      </c>
      <c r="R31" s="337" t="str">
        <f t="shared" si="11"/>
        <v xml:space="preserve"> </v>
      </c>
      <c r="S31" s="376">
        <v>0</v>
      </c>
      <c r="T31" s="337" t="str">
        <f t="shared" si="12"/>
        <v xml:space="preserve"> </v>
      </c>
      <c r="U31" s="388">
        <v>0</v>
      </c>
      <c r="V31" s="337" t="str">
        <f t="shared" si="13"/>
        <v xml:space="preserve"> </v>
      </c>
      <c r="W31" s="388">
        <v>0</v>
      </c>
      <c r="X31" s="337" t="str">
        <f t="shared" si="14"/>
        <v xml:space="preserve"> </v>
      </c>
      <c r="Y31" s="388">
        <v>0</v>
      </c>
      <c r="Z31" s="337" t="str">
        <f t="shared" si="15"/>
        <v xml:space="preserve"> </v>
      </c>
      <c r="AA31" s="388">
        <v>0</v>
      </c>
      <c r="AB31" s="337" t="str">
        <f t="shared" si="16"/>
        <v xml:space="preserve"> </v>
      </c>
      <c r="AC31" s="1537">
        <f t="shared" si="2"/>
        <v>0</v>
      </c>
      <c r="AD31" s="385">
        <f t="shared" si="3"/>
        <v>0</v>
      </c>
      <c r="AE31" s="385">
        <f>'Budget-Summary MYP'!H34</f>
        <v>0</v>
      </c>
      <c r="AF31" s="385">
        <f t="shared" si="4"/>
        <v>0</v>
      </c>
      <c r="AG31" s="1177"/>
    </row>
    <row r="32" spans="1:33" ht="15">
      <c r="A32" s="403" t="s">
        <v>507</v>
      </c>
      <c r="B32" s="139"/>
      <c r="C32" s="275">
        <v>6900</v>
      </c>
      <c r="D32" s="374"/>
      <c r="E32" s="375">
        <v>12500</v>
      </c>
      <c r="F32" s="337" t="str">
        <f>IF($AE32&lt;1," ",IF(E32&lt;1," ",(E32)/$AE32))</f>
        <v xml:space="preserve"> </v>
      </c>
      <c r="G32" s="388">
        <v>12500</v>
      </c>
      <c r="H32" s="337" t="str">
        <f>IF($AE32&lt;1," ",IF(G32&lt;1," ",(G32)/$AE32))</f>
        <v xml:space="preserve"> </v>
      </c>
      <c r="I32" s="388">
        <v>12500</v>
      </c>
      <c r="J32" s="337" t="str">
        <f>IF($AE32&lt;1," ",IF(I32&lt;1," ",(I32)/$AE32))</f>
        <v xml:space="preserve"> </v>
      </c>
      <c r="K32" s="388">
        <v>12500</v>
      </c>
      <c r="L32" s="337" t="str">
        <f>IF($AE32&lt;1," ",IF(K32&lt;1," ",(K32)/$AE32))</f>
        <v xml:space="preserve"> </v>
      </c>
      <c r="M32" s="388">
        <v>12500</v>
      </c>
      <c r="N32" s="337" t="str">
        <f>IF($AE32&lt;1," ",IF(M32&lt;1," ",(M32)/$AE32))</f>
        <v xml:space="preserve"> </v>
      </c>
      <c r="O32" s="388">
        <v>12500</v>
      </c>
      <c r="P32" s="337" t="str">
        <f>IF($AE32&lt;1," ",IF(O32&lt;1," ",(O32)/$AE32))</f>
        <v xml:space="preserve"> </v>
      </c>
      <c r="Q32" s="388">
        <v>12500</v>
      </c>
      <c r="R32" s="337" t="str">
        <f>IF($AE32&lt;1," ",IF(Q32&lt;1," ",(Q32)/$AE32))</f>
        <v xml:space="preserve"> </v>
      </c>
      <c r="S32" s="376">
        <v>12500</v>
      </c>
      <c r="T32" s="337" t="str">
        <f>IF($AE32&lt;1," ",IF(S32&lt;1," ",(S32)/$AE32))</f>
        <v xml:space="preserve"> </v>
      </c>
      <c r="U32" s="388">
        <v>12500</v>
      </c>
      <c r="V32" s="337" t="str">
        <f>IF($AE32&lt;1," ",IF(U32&lt;1," ",(U32)/$AE32))</f>
        <v xml:space="preserve"> </v>
      </c>
      <c r="W32" s="388">
        <v>12500</v>
      </c>
      <c r="X32" s="337" t="str">
        <f>IF($AE32&lt;1," ",IF(W32&lt;1," ",(W32)/$AE32))</f>
        <v xml:space="preserve"> </v>
      </c>
      <c r="Y32" s="388">
        <v>12500</v>
      </c>
      <c r="Z32" s="337" t="str">
        <f>IF($AE32&lt;1," ",IF(Y32&lt;1," ",(Y32)/$AE32))</f>
        <v xml:space="preserve"> </v>
      </c>
      <c r="AA32" s="388">
        <v>12500</v>
      </c>
      <c r="AB32" s="337" t="str">
        <f>IF($AE32&lt;1," ",IF(AA32&lt;1," ",(AA32)/$AE32))</f>
        <v xml:space="preserve"> </v>
      </c>
      <c r="AC32" s="1537">
        <f t="shared" ref="AC32" si="17">AE32-(E32+G32+I32+K32+M32+O32+Q32+S32+U32+W32+Y32+AA32)</f>
        <v>-150000</v>
      </c>
      <c r="AD32" s="385">
        <f t="shared" ref="AD32" si="18">+E32+G32+I32+K32+M32+O32+Q32+S32+U32+W32+Y32+AA32+AC32</f>
        <v>0</v>
      </c>
      <c r="AE32" s="385">
        <f>'Budget-Summary MYP'!H35</f>
        <v>0</v>
      </c>
      <c r="AF32" s="385">
        <f t="shared" ref="AF32" si="19">+AE32-AD32</f>
        <v>0</v>
      </c>
      <c r="AG32" s="1177"/>
    </row>
    <row r="33" spans="1:34" ht="15">
      <c r="A33" s="403" t="s">
        <v>27</v>
      </c>
      <c r="B33" s="139"/>
      <c r="C33" s="275" t="s">
        <v>108</v>
      </c>
      <c r="D33" s="374"/>
      <c r="E33" s="375">
        <v>0</v>
      </c>
      <c r="F33" s="337" t="str">
        <f t="shared" ref="F33:F34" si="20">IF($AE33&lt;1," ",IF(E33&lt;1," ",(E33)/$AE33))</f>
        <v xml:space="preserve"> </v>
      </c>
      <c r="G33" s="388">
        <v>0</v>
      </c>
      <c r="H33" s="337" t="str">
        <f t="shared" ref="H33:H34" si="21">IF($AE33&lt;1," ",IF(G33&lt;1," ",(G33)/$AE33))</f>
        <v xml:space="preserve"> </v>
      </c>
      <c r="I33" s="388">
        <v>0</v>
      </c>
      <c r="J33" s="337" t="str">
        <f t="shared" ref="J33:J34" si="22">IF($AE33&lt;1," ",IF(I33&lt;1," ",(I33)/$AE33))</f>
        <v xml:space="preserve"> </v>
      </c>
      <c r="K33" s="388">
        <v>0</v>
      </c>
      <c r="L33" s="337" t="str">
        <f t="shared" ref="L33:L34" si="23">IF($AE33&lt;1," ",IF(K33&lt;1," ",(K33)/$AE33))</f>
        <v xml:space="preserve"> </v>
      </c>
      <c r="M33" s="388">
        <v>0</v>
      </c>
      <c r="N33" s="337" t="str">
        <f t="shared" ref="N33:N34" si="24">IF($AE33&lt;1," ",IF(M33&lt;1," ",(M33)/$AE33))</f>
        <v xml:space="preserve"> </v>
      </c>
      <c r="O33" s="388">
        <v>0</v>
      </c>
      <c r="P33" s="337" t="str">
        <f t="shared" ref="P33:P34" si="25">IF($AE33&lt;1," ",IF(O33&lt;1," ",(O33)/$AE33))</f>
        <v xml:space="preserve"> </v>
      </c>
      <c r="Q33" s="388">
        <v>0</v>
      </c>
      <c r="R33" s="337" t="str">
        <f t="shared" ref="R33:R34" si="26">IF($AE33&lt;1," ",IF(Q33&lt;1," ",(Q33)/$AE33))</f>
        <v xml:space="preserve"> </v>
      </c>
      <c r="S33" s="376">
        <v>0</v>
      </c>
      <c r="T33" s="337" t="str">
        <f t="shared" ref="T33:T34" si="27">IF($AE33&lt;1," ",IF(S33&lt;1," ",(S33)/$AE33))</f>
        <v xml:space="preserve"> </v>
      </c>
      <c r="U33" s="388">
        <v>0</v>
      </c>
      <c r="V33" s="337" t="str">
        <f t="shared" ref="V33:V34" si="28">IF($AE33&lt;1," ",IF(U33&lt;1," ",(U33)/$AE33))</f>
        <v xml:space="preserve"> </v>
      </c>
      <c r="W33" s="388">
        <v>0</v>
      </c>
      <c r="X33" s="337" t="str">
        <f t="shared" ref="X33:X34" si="29">IF($AE33&lt;1," ",IF(W33&lt;1," ",(W33)/$AE33))</f>
        <v xml:space="preserve"> </v>
      </c>
      <c r="Y33" s="388">
        <v>0</v>
      </c>
      <c r="Z33" s="337" t="str">
        <f t="shared" ref="Z33:Z34" si="30">IF($AE33&lt;1," ",IF(Y33&lt;1," ",(Y33)/$AE33))</f>
        <v xml:space="preserve"> </v>
      </c>
      <c r="AA33" s="388">
        <v>0</v>
      </c>
      <c r="AB33" s="337" t="str">
        <f t="shared" ref="AB33:AB34" si="31">IF($AE33&lt;1," ",IF(AA33&lt;1," ",(AA33)/$AE33))</f>
        <v xml:space="preserve"> </v>
      </c>
      <c r="AC33" s="1537">
        <f t="shared" ref="AC33:AC34" si="32">AE33-(E33+G33+I33+K33+M33+O33+Q33+S33+U33+W33+Y33+AA33)</f>
        <v>0</v>
      </c>
      <c r="AD33" s="385">
        <f t="shared" ref="AD33:AD34" si="33">+E33+G33+I33+K33+M33+O33+Q33+S33+U33+W33+Y33+AA33+AC33</f>
        <v>0</v>
      </c>
      <c r="AE33" s="385">
        <f>'Budget-Summary MYP'!H36</f>
        <v>0</v>
      </c>
      <c r="AF33" s="385">
        <f t="shared" ref="AF33:AF34" si="34">+AE33-AD33</f>
        <v>0</v>
      </c>
      <c r="AG33" s="1177"/>
    </row>
    <row r="34" spans="1:34" ht="15">
      <c r="A34" s="403" t="s">
        <v>146</v>
      </c>
      <c r="B34" s="139"/>
      <c r="C34" s="275" t="s">
        <v>111</v>
      </c>
      <c r="D34" s="374"/>
      <c r="E34" s="375">
        <v>0</v>
      </c>
      <c r="F34" s="337" t="str">
        <f t="shared" si="20"/>
        <v xml:space="preserve"> </v>
      </c>
      <c r="G34" s="388">
        <v>0</v>
      </c>
      <c r="H34" s="337" t="str">
        <f t="shared" si="21"/>
        <v xml:space="preserve"> </v>
      </c>
      <c r="I34" s="388">
        <v>0</v>
      </c>
      <c r="J34" s="337" t="str">
        <f t="shared" si="22"/>
        <v xml:space="preserve"> </v>
      </c>
      <c r="K34" s="388">
        <v>0</v>
      </c>
      <c r="L34" s="337" t="str">
        <f t="shared" si="23"/>
        <v xml:space="preserve"> </v>
      </c>
      <c r="M34" s="388">
        <v>0</v>
      </c>
      <c r="N34" s="337" t="str">
        <f t="shared" si="24"/>
        <v xml:space="preserve"> </v>
      </c>
      <c r="O34" s="388">
        <v>0</v>
      </c>
      <c r="P34" s="337" t="str">
        <f t="shared" si="25"/>
        <v xml:space="preserve"> </v>
      </c>
      <c r="Q34" s="388">
        <v>0</v>
      </c>
      <c r="R34" s="337" t="str">
        <f t="shared" si="26"/>
        <v xml:space="preserve"> </v>
      </c>
      <c r="S34" s="376">
        <v>0</v>
      </c>
      <c r="T34" s="337" t="str">
        <f t="shared" si="27"/>
        <v xml:space="preserve"> </v>
      </c>
      <c r="U34" s="388">
        <v>0</v>
      </c>
      <c r="V34" s="337" t="str">
        <f t="shared" si="28"/>
        <v xml:space="preserve"> </v>
      </c>
      <c r="W34" s="388">
        <v>0</v>
      </c>
      <c r="X34" s="337" t="str">
        <f t="shared" si="29"/>
        <v xml:space="preserve"> </v>
      </c>
      <c r="Y34" s="388">
        <v>0</v>
      </c>
      <c r="Z34" s="337" t="str">
        <f t="shared" si="30"/>
        <v xml:space="preserve"> </v>
      </c>
      <c r="AA34" s="388">
        <v>0</v>
      </c>
      <c r="AB34" s="337" t="str">
        <f t="shared" si="31"/>
        <v xml:space="preserve"> </v>
      </c>
      <c r="AC34" s="1537">
        <f t="shared" si="32"/>
        <v>0</v>
      </c>
      <c r="AD34" s="385">
        <f t="shared" si="33"/>
        <v>0</v>
      </c>
      <c r="AE34" s="385">
        <f>'Budget-Summary MYP'!H37</f>
        <v>0</v>
      </c>
      <c r="AF34" s="385">
        <f t="shared" si="34"/>
        <v>0</v>
      </c>
      <c r="AG34" s="1177"/>
    </row>
    <row r="35" spans="1:34" ht="15.4" thickBot="1">
      <c r="A35" s="402" t="s">
        <v>28</v>
      </c>
      <c r="B35" s="380"/>
      <c r="C35" s="381"/>
      <c r="D35" s="381"/>
      <c r="E35" s="760">
        <f>+SUM(E26:E34)</f>
        <v>795588</v>
      </c>
      <c r="F35" s="382">
        <f>IF($AE35&lt;1," ",IF(E35&lt;1," ",(E35)/$AE35))</f>
        <v>8.3948110927980379E-2</v>
      </c>
      <c r="G35" s="761">
        <f>+SUM(G26:G34)</f>
        <v>795588</v>
      </c>
      <c r="H35" s="382">
        <f>IF($AE35&lt;1," ",IF(G35&lt;1," ",(G35)/$AE35))</f>
        <v>8.3948110927980379E-2</v>
      </c>
      <c r="I35" s="761">
        <f>+SUM(I26:I34)</f>
        <v>795588</v>
      </c>
      <c r="J35" s="382">
        <f>IF($AE35&lt;1," ",IF(I35&lt;1," ",(I35)/$AE35))</f>
        <v>8.3948110927980379E-2</v>
      </c>
      <c r="K35" s="761">
        <f>+SUM(K26:K34)</f>
        <v>795588</v>
      </c>
      <c r="L35" s="382">
        <f>IF($AE35&lt;1," ",IF(K35&lt;1," ",(K35)/$AE35))</f>
        <v>8.3948110927980379E-2</v>
      </c>
      <c r="M35" s="761">
        <f>+SUM(M26:M34)</f>
        <v>795588</v>
      </c>
      <c r="N35" s="526">
        <f>IF($AE35&lt;1," ",IF(M35&lt;1," ",(M35)/$AE35))</f>
        <v>8.3948110927980379E-2</v>
      </c>
      <c r="O35" s="761">
        <f>+SUM(O26:O34)</f>
        <v>795588</v>
      </c>
      <c r="P35" s="382">
        <f>IF($AE35&lt;1," ",IF(O35&lt;1," ",(O35)/$AE35))</f>
        <v>8.3948110927980379E-2</v>
      </c>
      <c r="Q35" s="761">
        <f>+SUM(Q26:Q34)</f>
        <v>795588</v>
      </c>
      <c r="R35" s="526">
        <f>IF($AE35&lt;1," ",IF(Q35&lt;1," ",(Q35)/$AE35))</f>
        <v>8.3948110927980379E-2</v>
      </c>
      <c r="S35" s="762">
        <f>+SUM(S26:S34)</f>
        <v>795588</v>
      </c>
      <c r="T35" s="382">
        <f>IF($AE35&lt;1," ",IF(S35&lt;1," ",(S35)/$AE35))</f>
        <v>8.3948110927980379E-2</v>
      </c>
      <c r="U35" s="761">
        <f>+SUM(U26:U34)</f>
        <v>795588</v>
      </c>
      <c r="V35" s="382">
        <f>IF($AE35&lt;1," ",IF(U35&lt;1," ",(U35)/$AE35))</f>
        <v>8.3948110927980379E-2</v>
      </c>
      <c r="W35" s="761">
        <f>+SUM(W26:W34)</f>
        <v>795588</v>
      </c>
      <c r="X35" s="382">
        <f>IF($AE35&lt;1," ",IF(W35&lt;1," ",(W35)/$AE35))</f>
        <v>8.3948110927980379E-2</v>
      </c>
      <c r="Y35" s="761">
        <f>+SUM(Y26:Y34)</f>
        <v>795588</v>
      </c>
      <c r="Z35" s="382">
        <f>IF($AE35&lt;1," ",IF(Y35&lt;1," ",(Y35)/$AE35))</f>
        <v>8.3948110927980379E-2</v>
      </c>
      <c r="AA35" s="761">
        <f>+SUM(AA26:AA34)</f>
        <v>795615</v>
      </c>
      <c r="AB35" s="382">
        <f>IF($AE35&lt;1," ",IF(AA35&lt;1," ",(AA35)/$AE35))</f>
        <v>8.3950959888742807E-2</v>
      </c>
      <c r="AC35" s="1536">
        <f>+SUM(AC26:AC34)</f>
        <v>-69943</v>
      </c>
      <c r="AD35" s="763">
        <f>+SUM(AD26:AD34)</f>
        <v>9477140</v>
      </c>
      <c r="AE35" s="763">
        <f>+SUM(AE26:AE34)</f>
        <v>9477140</v>
      </c>
      <c r="AF35" s="763">
        <f>+SUM(AF26:AF34)</f>
        <v>0</v>
      </c>
      <c r="AG35" s="1177"/>
    </row>
    <row r="36" spans="1:34" ht="15">
      <c r="A36" s="406"/>
      <c r="B36" s="369"/>
      <c r="C36" s="71"/>
      <c r="D36" s="71"/>
      <c r="E36" s="74"/>
      <c r="F36" s="193"/>
      <c r="G36" s="75"/>
      <c r="H36" s="193"/>
      <c r="I36" s="75"/>
      <c r="J36" s="193"/>
      <c r="K36" s="75"/>
      <c r="L36" s="193"/>
      <c r="M36" s="75"/>
      <c r="N36" s="193"/>
      <c r="O36" s="75"/>
      <c r="P36" s="193"/>
      <c r="Q36" s="75"/>
      <c r="R36" s="193"/>
      <c r="S36" s="75"/>
      <c r="T36" s="193"/>
      <c r="U36" s="75"/>
      <c r="V36" s="193"/>
      <c r="W36" s="75"/>
      <c r="X36" s="193"/>
      <c r="Y36" s="75"/>
      <c r="Z36" s="193"/>
      <c r="AA36" s="75"/>
      <c r="AB36" s="193"/>
      <c r="AC36" s="1006"/>
      <c r="AD36" s="1006"/>
      <c r="AE36" s="1006"/>
      <c r="AF36" s="1022"/>
      <c r="AG36" s="1177"/>
    </row>
    <row r="37" spans="1:34" ht="15">
      <c r="A37" s="66" t="s">
        <v>109</v>
      </c>
      <c r="B37" s="179"/>
      <c r="C37" s="371"/>
      <c r="D37" s="371"/>
      <c r="E37" s="538"/>
      <c r="F37" s="478"/>
      <c r="G37" s="518"/>
      <c r="H37" s="478"/>
      <c r="I37" s="518"/>
      <c r="J37" s="478"/>
      <c r="K37" s="518"/>
      <c r="L37" s="478"/>
      <c r="M37" s="518"/>
      <c r="N37" s="478"/>
      <c r="O37" s="518"/>
      <c r="P37" s="478"/>
      <c r="Q37" s="518"/>
      <c r="R37" s="478"/>
      <c r="S37" s="518"/>
      <c r="T37" s="478"/>
      <c r="U37" s="518"/>
      <c r="V37" s="478"/>
      <c r="W37" s="518"/>
      <c r="X37" s="478"/>
      <c r="Y37" s="518"/>
      <c r="Z37" s="478"/>
      <c r="AA37" s="518"/>
      <c r="AB37" s="478"/>
      <c r="AC37" s="1010"/>
      <c r="AD37" s="1010"/>
      <c r="AE37" s="1010"/>
      <c r="AF37" s="1018"/>
      <c r="AG37" s="1177"/>
    </row>
    <row r="38" spans="1:34" ht="15">
      <c r="A38" s="403" t="s">
        <v>124</v>
      </c>
      <c r="B38" s="139"/>
      <c r="C38" s="275">
        <v>8900</v>
      </c>
      <c r="D38" s="392"/>
      <c r="E38" s="375">
        <v>0</v>
      </c>
      <c r="F38" s="337" t="str">
        <f>IF($AE38&lt;1," ",IF(E38&lt;1," ",(E38)/$AE38))</f>
        <v xml:space="preserve"> </v>
      </c>
      <c r="G38" s="388">
        <v>0</v>
      </c>
      <c r="H38" s="337" t="str">
        <f>IF($AE38&lt;1," ",IF(G38&lt;1," ",(G38)/$AE38))</f>
        <v xml:space="preserve"> </v>
      </c>
      <c r="I38" s="388">
        <v>0</v>
      </c>
      <c r="J38" s="337" t="str">
        <f>IF($AE38&lt;1," ",IF(I38&lt;1," ",(I38)/$AE38))</f>
        <v xml:space="preserve"> </v>
      </c>
      <c r="K38" s="388">
        <v>0</v>
      </c>
      <c r="L38" s="337" t="str">
        <f>IF($AE38&lt;1," ",IF(K38&lt;1," ",(K38)/$AE38))</f>
        <v xml:space="preserve"> </v>
      </c>
      <c r="M38" s="388">
        <v>0</v>
      </c>
      <c r="N38" s="524" t="str">
        <f>IF($AE38&lt;1," ",IF(M38&lt;1," ",(M38)/$AE38))</f>
        <v xml:space="preserve"> </v>
      </c>
      <c r="O38" s="388">
        <v>0</v>
      </c>
      <c r="P38" s="337" t="str">
        <f>IF($AE38&lt;1," ",IF(O38&lt;1," ",(O38)/$AE38))</f>
        <v xml:space="preserve"> </v>
      </c>
      <c r="Q38" s="388">
        <v>0</v>
      </c>
      <c r="R38" s="337" t="str">
        <f>IF($AE38&lt;1," ",IF(Q38&lt;1," ",(Q38)/$AE38))</f>
        <v xml:space="preserve"> </v>
      </c>
      <c r="S38" s="388">
        <v>0</v>
      </c>
      <c r="T38" s="337" t="str">
        <f>IF($AE38&lt;1," ",IF(S38&lt;1," ",(S38)/$AE38))</f>
        <v xml:space="preserve"> </v>
      </c>
      <c r="U38" s="388">
        <v>0</v>
      </c>
      <c r="V38" s="337" t="str">
        <f>IF($AE38&lt;1," ",IF(U38&lt;1," ",(U38)/$AE38))</f>
        <v xml:space="preserve"> </v>
      </c>
      <c r="W38" s="388">
        <v>0</v>
      </c>
      <c r="X38" s="337" t="str">
        <f>IF($AE38&lt;1," ",IF(W38&lt;1," ",(W38)/$AE38))</f>
        <v xml:space="preserve"> </v>
      </c>
      <c r="Y38" s="388">
        <v>0</v>
      </c>
      <c r="Z38" s="337" t="str">
        <f>IF($AE38&lt;1," ",IF(Y38&lt;1," ",(Y38)/$AE38))</f>
        <v xml:space="preserve"> </v>
      </c>
      <c r="AA38" s="388">
        <v>0</v>
      </c>
      <c r="AB38" s="337" t="str">
        <f>IF($AE38&lt;1," ",IF(AA38&lt;1," ",(AA38)/$AE38))</f>
        <v xml:space="preserve"> </v>
      </c>
      <c r="AC38" s="1537">
        <f>AE38-(E38+G38+I38+K38+M38+O38+Q38+S38+U38+W38+Y38+AA38)</f>
        <v>0</v>
      </c>
      <c r="AD38" s="385">
        <f>+E38+G38+I38+K38+M38+O38+Q38+S38+U38+W38+Y38+AA38+AC38</f>
        <v>0</v>
      </c>
      <c r="AE38" s="385">
        <f>'Budget-Summary MYP'!H43</f>
        <v>0</v>
      </c>
      <c r="AF38" s="385">
        <f>+AE38-AD38</f>
        <v>0</v>
      </c>
      <c r="AG38" s="1177"/>
    </row>
    <row r="39" spans="1:34" ht="15">
      <c r="A39" s="403" t="s">
        <v>30</v>
      </c>
      <c r="B39" s="139"/>
      <c r="C39" s="275">
        <v>7600</v>
      </c>
      <c r="D39" s="392"/>
      <c r="E39" s="375">
        <v>0</v>
      </c>
      <c r="F39" s="337" t="str">
        <f>IF($AE39&lt;1," ",IF(E39&lt;1," ",(E39)/$AE39))</f>
        <v xml:space="preserve"> </v>
      </c>
      <c r="G39" s="388">
        <v>0</v>
      </c>
      <c r="H39" s="337" t="str">
        <f>IF($AE39&lt;1," ",IF(G39&lt;1," ",(G39)/$AE39))</f>
        <v xml:space="preserve"> </v>
      </c>
      <c r="I39" s="388">
        <v>0</v>
      </c>
      <c r="J39" s="337" t="str">
        <f>IF($AE39&lt;1," ",IF(I39&lt;1," ",(I39)/$AE39))</f>
        <v xml:space="preserve"> </v>
      </c>
      <c r="K39" s="388">
        <v>0</v>
      </c>
      <c r="L39" s="337" t="str">
        <f>IF($AE39&lt;1," ",IF(K39&lt;1," ",(K39)/$AE39))</f>
        <v xml:space="preserve"> </v>
      </c>
      <c r="M39" s="388">
        <v>0</v>
      </c>
      <c r="N39" s="524" t="str">
        <f>IF($AE39&lt;1," ",IF(M39&lt;1," ",(M39)/$AE39))</f>
        <v xml:space="preserve"> </v>
      </c>
      <c r="O39" s="388">
        <v>0</v>
      </c>
      <c r="P39" s="337" t="str">
        <f>IF($AE39&lt;1," ",IF(O39&lt;1," ",(O39)/$AE39))</f>
        <v xml:space="preserve"> </v>
      </c>
      <c r="Q39" s="388">
        <v>0</v>
      </c>
      <c r="R39" s="337" t="str">
        <f>IF($AE39&lt;1," ",IF(Q39&lt;1," ",(Q39)/$AE39))</f>
        <v xml:space="preserve"> </v>
      </c>
      <c r="S39" s="388">
        <v>0</v>
      </c>
      <c r="T39" s="337" t="str">
        <f>IF($AE39&lt;1," ",IF(S39&lt;1," ",(S39)/$AE39))</f>
        <v xml:space="preserve"> </v>
      </c>
      <c r="U39" s="388">
        <v>0</v>
      </c>
      <c r="V39" s="337" t="str">
        <f>IF($AE39&lt;1," ",IF(U39&lt;1," ",(U39)/$AE39))</f>
        <v xml:space="preserve"> </v>
      </c>
      <c r="W39" s="388">
        <v>0</v>
      </c>
      <c r="X39" s="337" t="str">
        <f>IF($AE39&lt;1," ",IF(W39&lt;1," ",(W39)/$AE39))</f>
        <v xml:space="preserve"> </v>
      </c>
      <c r="Y39" s="388">
        <v>0</v>
      </c>
      <c r="Z39" s="337" t="str">
        <f>IF($AE39&lt;1," ",IF(Y39&lt;1," ",(Y39)/$AE39))</f>
        <v xml:space="preserve"> </v>
      </c>
      <c r="AA39" s="388">
        <v>0</v>
      </c>
      <c r="AB39" s="337" t="str">
        <f>IF($AE39&lt;1," ",IF(AA39&lt;1," ",(AA39)/$AE39))</f>
        <v xml:space="preserve"> </v>
      </c>
      <c r="AC39" s="1537">
        <f>AE39-(E39+G39+I39+K39+M39+O39+Q39+S39+U39+W39+Y39+AA39)</f>
        <v>0</v>
      </c>
      <c r="AD39" s="385">
        <f>+E39+G39+I39+K39+M39+O39+Q39+S39+U39+W39+Y39+AA39+AC39</f>
        <v>0</v>
      </c>
      <c r="AE39" s="385">
        <f>'Budget-Summary MYP'!H44</f>
        <v>0</v>
      </c>
      <c r="AF39" s="385">
        <f>+AE39-AD39</f>
        <v>0</v>
      </c>
      <c r="AG39" s="1177"/>
    </row>
    <row r="40" spans="1:34" ht="15.4" thickBot="1">
      <c r="A40" s="407" t="s">
        <v>31</v>
      </c>
      <c r="B40" s="380"/>
      <c r="C40" s="381"/>
      <c r="D40" s="381"/>
      <c r="E40" s="760">
        <f>+E38-E39</f>
        <v>0</v>
      </c>
      <c r="F40" s="382" t="str">
        <f>IF($AE40&lt;1," ",IF(E40&lt;1," ",(E40)/$AE40))</f>
        <v xml:space="preserve"> </v>
      </c>
      <c r="G40" s="761">
        <f>+G38-G39</f>
        <v>0</v>
      </c>
      <c r="H40" s="382" t="str">
        <f>IF($AE40&lt;1," ",IF(G40&lt;1," ",(G40)/$AE40))</f>
        <v xml:space="preserve"> </v>
      </c>
      <c r="I40" s="761">
        <f>+I38-I39</f>
        <v>0</v>
      </c>
      <c r="J40" s="382" t="str">
        <f>IF($AE40&lt;1," ",IF(I40&lt;1," ",(I40)/$AE40))</f>
        <v xml:space="preserve"> </v>
      </c>
      <c r="K40" s="761">
        <f>+K38-K39</f>
        <v>0</v>
      </c>
      <c r="L40" s="382" t="str">
        <f>IF($AE40&lt;1," ",IF(K40&lt;1," ",(K40)/$AE40))</f>
        <v xml:space="preserve"> </v>
      </c>
      <c r="M40" s="761">
        <f>+M38-M39</f>
        <v>0</v>
      </c>
      <c r="N40" s="526" t="str">
        <f>IF($AE40&lt;1," ",IF(M40&lt;1," ",(M40)/$AE40))</f>
        <v xml:space="preserve"> </v>
      </c>
      <c r="O40" s="761">
        <f>+O38-O39</f>
        <v>0</v>
      </c>
      <c r="P40" s="382" t="str">
        <f>IF($AE40&lt;1," ",IF(O40&lt;1," ",(O40)/$AE40))</f>
        <v xml:space="preserve"> </v>
      </c>
      <c r="Q40" s="761">
        <f>+Q38-Q39</f>
        <v>0</v>
      </c>
      <c r="R40" s="526" t="str">
        <f>IF($AE40&lt;1," ",IF(Q40&lt;1," ",(Q40)/$AE40))</f>
        <v xml:space="preserve"> </v>
      </c>
      <c r="S40" s="762">
        <f>+S38-S39</f>
        <v>0</v>
      </c>
      <c r="T40" s="382" t="str">
        <f>IF($AE40&lt;1," ",IF(S40&lt;1," ",(S40)/$AE40))</f>
        <v xml:space="preserve"> </v>
      </c>
      <c r="U40" s="761">
        <f>+U38-U39</f>
        <v>0</v>
      </c>
      <c r="V40" s="382" t="str">
        <f>IF($AE40&lt;1," ",IF(U40&lt;1," ",(U40)/$AE40))</f>
        <v xml:space="preserve"> </v>
      </c>
      <c r="W40" s="761">
        <f>+W38-W39</f>
        <v>0</v>
      </c>
      <c r="X40" s="382" t="str">
        <f>IF($AE40&lt;1," ",IF(W40&lt;1," ",(W40)/$AE40))</f>
        <v xml:space="preserve"> </v>
      </c>
      <c r="Y40" s="761">
        <f>+Y38-Y39</f>
        <v>0</v>
      </c>
      <c r="Z40" s="382" t="str">
        <f>IF($AE40&lt;1," ",IF(Y40&lt;1," ",(Y40)/$AE40))</f>
        <v xml:space="preserve"> </v>
      </c>
      <c r="AA40" s="761">
        <f>+AA38-AA39</f>
        <v>0</v>
      </c>
      <c r="AB40" s="382" t="str">
        <f>IF($AE40&lt;1," ",IF(AA40&lt;1," ",(AA40)/$AE40))</f>
        <v xml:space="preserve"> </v>
      </c>
      <c r="AC40" s="1536">
        <f>+AC38-AC39</f>
        <v>0</v>
      </c>
      <c r="AD40" s="763">
        <f>+AD38-AD39</f>
        <v>0</v>
      </c>
      <c r="AE40" s="763">
        <f>+AE38-AE39</f>
        <v>0</v>
      </c>
      <c r="AF40" s="763">
        <f>+AF38-AF39</f>
        <v>0</v>
      </c>
      <c r="AG40" s="1177"/>
    </row>
    <row r="41" spans="1:34" ht="15.75"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636">
        <f>'Budget-Cash Flow Year 1'!AE44</f>
        <v>0</v>
      </c>
      <c r="E44" s="506"/>
      <c r="F44" s="337" t="str">
        <f t="shared" ref="F44:T51" si="35">IF($D44&lt;1," ",IF(E44&lt;1," ",(E44)/$D44))</f>
        <v xml:space="preserve"> </v>
      </c>
      <c r="G44" s="395"/>
      <c r="H44" s="337" t="str">
        <f t="shared" ref="H44:H50" si="36">IF($D44&lt;1," ",IF(G44&lt;1," ",(G44)/$D44))</f>
        <v xml:space="preserve"> </v>
      </c>
      <c r="I44" s="395"/>
      <c r="J44" s="337" t="str">
        <f t="shared" ref="J44:J50" si="37">IF($D44&lt;1," ",IF(I44&lt;1," ",(I44)/$D44))</f>
        <v xml:space="preserve"> </v>
      </c>
      <c r="K44" s="395"/>
      <c r="L44" s="337" t="str">
        <f t="shared" ref="L44:L50" si="38">IF($D44&lt;1," ",IF(K44&lt;1," ",(K44)/$D44))</f>
        <v xml:space="preserve"> </v>
      </c>
      <c r="M44" s="395"/>
      <c r="N44" s="524" t="str">
        <f t="shared" ref="N44:N50" si="39">IF($D44&lt;1," ",IF(M44&lt;1," ",(M44)/$D44))</f>
        <v xml:space="preserve"> </v>
      </c>
      <c r="O44" s="395"/>
      <c r="P44" s="337" t="str">
        <f t="shared" ref="P44:P50" si="40">IF($D44&lt;1," ",IF(O44&lt;1," ",(O44)/$D44))</f>
        <v xml:space="preserve"> </v>
      </c>
      <c r="Q44" s="395"/>
      <c r="R44" s="524" t="str">
        <f t="shared" ref="R44:R50" si="41">IF($D44&lt;1," ",IF(Q44&lt;1," ",(Q44)/$D44))</f>
        <v xml:space="preserve"> </v>
      </c>
      <c r="S44" s="506"/>
      <c r="T44" s="337" t="str">
        <f t="shared" ref="T44:T50" si="42">IF($D44&lt;1," ",IF(S44&lt;1," ",(S44)/$D44))</f>
        <v xml:space="preserve"> </v>
      </c>
      <c r="U44" s="395"/>
      <c r="V44" s="337" t="str">
        <f t="shared" ref="V44:AB51" si="43">IF($D44&lt;1," ",IF(U44&lt;1," ",(U44)/$D44))</f>
        <v xml:space="preserve"> </v>
      </c>
      <c r="W44" s="395"/>
      <c r="X44" s="337" t="str">
        <f t="shared" ref="X44:X50" si="44">IF($D44&lt;1," ",IF(W44&lt;1," ",(W44)/$D44))</f>
        <v xml:space="preserve"> </v>
      </c>
      <c r="Y44" s="395"/>
      <c r="Z44" s="337" t="str">
        <f t="shared" ref="Z44:Z50" si="45">IF($D44&lt;1," ",IF(Y44&lt;1," ",(Y44)/$D44))</f>
        <v xml:space="preserve"> </v>
      </c>
      <c r="AA44" s="1608"/>
      <c r="AB44" s="337" t="str">
        <f t="shared" ref="AB44:AB50" si="46">IF($D44&lt;1," ",IF(AA44&lt;1," ",(AA44)/$D44))</f>
        <v xml:space="preserve"> </v>
      </c>
      <c r="AC44" s="821"/>
      <c r="AD44" s="1542">
        <f>+E44+G44+I44+K44+M44+O44+Q44+S44+U44+W44+Y44+AA44+AC44</f>
        <v>0</v>
      </c>
      <c r="AE44" s="396">
        <f>D44-AD44</f>
        <v>0</v>
      </c>
      <c r="AF44" s="764"/>
      <c r="AG44" s="1543" t="str">
        <f t="shared" ref="AG44:AG50" si="47">IF(AD44=D44,"","Prior Year Transactions should be zero'd out by Year End")</f>
        <v/>
      </c>
    </row>
    <row r="45" spans="1:34" ht="15">
      <c r="A45" s="408" t="s">
        <v>327</v>
      </c>
      <c r="B45" s="393"/>
      <c r="C45" s="614">
        <v>9210</v>
      </c>
      <c r="D45" s="1637">
        <f>'Budget-Cash Flow Year 1'!AE45+'Budget-Cash Flow Year 1'!AC23</f>
        <v>1709071.56027</v>
      </c>
      <c r="E45" s="394">
        <v>1709072</v>
      </c>
      <c r="F45" s="337">
        <f t="shared" si="35"/>
        <v>1.0000002572917426</v>
      </c>
      <c r="G45" s="395"/>
      <c r="H45" s="337" t="str">
        <f t="shared" si="36"/>
        <v xml:space="preserve"> </v>
      </c>
      <c r="I45" s="395"/>
      <c r="J45" s="337" t="str">
        <f t="shared" si="37"/>
        <v xml:space="preserve"> </v>
      </c>
      <c r="K45" s="395"/>
      <c r="L45" s="337" t="str">
        <f t="shared" si="38"/>
        <v xml:space="preserve"> </v>
      </c>
      <c r="M45" s="395"/>
      <c r="N45" s="524" t="str">
        <f t="shared" si="39"/>
        <v xml:space="preserve"> </v>
      </c>
      <c r="O45" s="395"/>
      <c r="P45" s="337" t="str">
        <f t="shared" si="40"/>
        <v xml:space="preserve"> </v>
      </c>
      <c r="Q45" s="395"/>
      <c r="R45" s="524" t="str">
        <f t="shared" si="41"/>
        <v xml:space="preserve"> </v>
      </c>
      <c r="S45" s="506"/>
      <c r="T45" s="337" t="str">
        <f t="shared" si="42"/>
        <v xml:space="preserve"> </v>
      </c>
      <c r="U45" s="395"/>
      <c r="V45" s="337" t="str">
        <f t="shared" si="43"/>
        <v xml:space="preserve"> </v>
      </c>
      <c r="W45" s="395"/>
      <c r="X45" s="337" t="str">
        <f t="shared" si="44"/>
        <v xml:space="preserve"> </v>
      </c>
      <c r="Y45" s="395"/>
      <c r="Z45" s="337" t="str">
        <f t="shared" si="45"/>
        <v xml:space="preserve"> </v>
      </c>
      <c r="AA45" s="395"/>
      <c r="AB45" s="337" t="str">
        <f t="shared" si="46"/>
        <v xml:space="preserve"> </v>
      </c>
      <c r="AC45" s="1539"/>
      <c r="AD45" s="1542">
        <f t="shared" ref="AD45:AD50" si="48">+E45+G45+I45+K45+M45+O45+Q45+S45+U45+W45+Y45+AA45</f>
        <v>1709072</v>
      </c>
      <c r="AE45" s="396">
        <f t="shared" ref="AE45:AE51" si="49">D45-AD45</f>
        <v>-0.43972999998368323</v>
      </c>
      <c r="AF45" s="764"/>
      <c r="AG45" s="1543" t="str">
        <f t="shared" si="47"/>
        <v>Prior Year Transactions should be zero'd out by Year End</v>
      </c>
      <c r="AH45" s="1635" t="str">
        <f>IF(AD45=D45,"","Warning - Prior Year Transactions should be zero'd out by Year End")</f>
        <v>Warning - Prior Year Transactions should be zero'd out by Year End</v>
      </c>
    </row>
    <row r="46" spans="1:34" ht="15">
      <c r="A46" s="408" t="s">
        <v>11</v>
      </c>
      <c r="B46" s="393"/>
      <c r="C46" s="614">
        <v>9330</v>
      </c>
      <c r="D46" s="1637">
        <f>'Budget-Cash Flow Year 1'!AE46</f>
        <v>0</v>
      </c>
      <c r="E46" s="394"/>
      <c r="F46" s="337" t="str">
        <f t="shared" si="35"/>
        <v xml:space="preserve"> </v>
      </c>
      <c r="G46" s="395"/>
      <c r="H46" s="337" t="str">
        <f t="shared" si="36"/>
        <v xml:space="preserve"> </v>
      </c>
      <c r="I46" s="395"/>
      <c r="J46" s="337" t="str">
        <f t="shared" si="37"/>
        <v xml:space="preserve"> </v>
      </c>
      <c r="K46" s="395"/>
      <c r="L46" s="337" t="str">
        <f t="shared" si="38"/>
        <v xml:space="preserve"> </v>
      </c>
      <c r="M46" s="395"/>
      <c r="N46" s="524" t="str">
        <f t="shared" si="39"/>
        <v xml:space="preserve"> </v>
      </c>
      <c r="O46" s="395"/>
      <c r="P46" s="337" t="str">
        <f t="shared" si="40"/>
        <v xml:space="preserve"> </v>
      </c>
      <c r="Q46" s="395"/>
      <c r="R46" s="524" t="str">
        <f t="shared" si="41"/>
        <v xml:space="preserve"> </v>
      </c>
      <c r="S46" s="506"/>
      <c r="T46" s="337" t="str">
        <f t="shared" si="42"/>
        <v xml:space="preserve"> </v>
      </c>
      <c r="U46" s="395"/>
      <c r="V46" s="337" t="str">
        <f t="shared" si="43"/>
        <v xml:space="preserve"> </v>
      </c>
      <c r="W46" s="395"/>
      <c r="X46" s="337" t="str">
        <f t="shared" si="44"/>
        <v xml:space="preserve"> </v>
      </c>
      <c r="Y46" s="395"/>
      <c r="Z46" s="337" t="str">
        <f t="shared" si="45"/>
        <v xml:space="preserve"> </v>
      </c>
      <c r="AA46" s="395"/>
      <c r="AB46" s="337" t="str">
        <f t="shared" si="46"/>
        <v xml:space="preserve"> </v>
      </c>
      <c r="AC46" s="1539"/>
      <c r="AD46" s="1542">
        <f>+E46+G46+I46+K46+M46+O46+Q46+S46+U46+W46+Y46+AA46</f>
        <v>0</v>
      </c>
      <c r="AE46" s="396">
        <f t="shared" si="49"/>
        <v>0</v>
      </c>
      <c r="AF46" s="764"/>
      <c r="AG46" s="1543" t="str">
        <f t="shared" si="47"/>
        <v/>
      </c>
      <c r="AH46" s="1635" t="str">
        <f>IF(AD46=D46,"","Warning - Balances should only remain if Beg Bal included Pre-Paids for multiple years.")</f>
        <v/>
      </c>
    </row>
    <row r="47" spans="1:34" ht="15">
      <c r="A47" s="408" t="s">
        <v>513</v>
      </c>
      <c r="B47" s="393"/>
      <c r="C47" s="614"/>
      <c r="D47" s="1637">
        <f>'Budget-Cash Flow Year 1'!AE47</f>
        <v>0</v>
      </c>
      <c r="E47" s="394"/>
      <c r="F47" s="337" t="str">
        <f t="shared" si="35"/>
        <v xml:space="preserve"> </v>
      </c>
      <c r="G47" s="395"/>
      <c r="H47" s="337" t="str">
        <f t="shared" si="35"/>
        <v xml:space="preserve"> </v>
      </c>
      <c r="I47" s="395"/>
      <c r="J47" s="337" t="str">
        <f t="shared" si="35"/>
        <v xml:space="preserve"> </v>
      </c>
      <c r="K47" s="395"/>
      <c r="L47" s="337" t="str">
        <f t="shared" si="35"/>
        <v xml:space="preserve"> </v>
      </c>
      <c r="M47" s="395"/>
      <c r="N47" s="524" t="str">
        <f t="shared" si="35"/>
        <v xml:space="preserve"> </v>
      </c>
      <c r="O47" s="395"/>
      <c r="P47" s="337" t="str">
        <f t="shared" si="35"/>
        <v xml:space="preserve"> </v>
      </c>
      <c r="Q47" s="395"/>
      <c r="R47" s="524" t="str">
        <f t="shared" si="35"/>
        <v xml:space="preserve"> </v>
      </c>
      <c r="S47" s="506"/>
      <c r="T47" s="337" t="str">
        <f t="shared" si="35"/>
        <v xml:space="preserve"> </v>
      </c>
      <c r="U47" s="395"/>
      <c r="V47" s="337" t="str">
        <f t="shared" si="43"/>
        <v xml:space="preserve"> </v>
      </c>
      <c r="W47" s="395"/>
      <c r="X47" s="337" t="str">
        <f t="shared" si="43"/>
        <v xml:space="preserve"> </v>
      </c>
      <c r="Y47" s="395"/>
      <c r="Z47" s="337" t="str">
        <f t="shared" si="43"/>
        <v xml:space="preserve"> </v>
      </c>
      <c r="AA47" s="395"/>
      <c r="AB47" s="337" t="str">
        <f t="shared" si="43"/>
        <v xml:space="preserve"> </v>
      </c>
      <c r="AC47" s="1539"/>
      <c r="AD47" s="1542">
        <f>+E47+G47+I47+K47+M47+O47+Q47+S47+U47+W47+Y47+AA47</f>
        <v>0</v>
      </c>
      <c r="AE47" s="396">
        <f t="shared" si="49"/>
        <v>0</v>
      </c>
      <c r="AF47" s="764"/>
      <c r="AG47" s="1543"/>
      <c r="AH47" s="1635"/>
    </row>
    <row r="48" spans="1:34" ht="15">
      <c r="A48" s="408" t="s">
        <v>328</v>
      </c>
      <c r="B48" s="393"/>
      <c r="C48" s="614">
        <v>9510</v>
      </c>
      <c r="D48" s="1637">
        <f>'Budget-Cash Flow Year 1'!AE48+'Budget-Cash Flow Year 1'!AC35</f>
        <v>160448</v>
      </c>
      <c r="E48" s="394">
        <v>160448</v>
      </c>
      <c r="F48" s="337">
        <f t="shared" si="35"/>
        <v>1</v>
      </c>
      <c r="G48" s="395"/>
      <c r="H48" s="337" t="str">
        <f t="shared" si="36"/>
        <v xml:space="preserve"> </v>
      </c>
      <c r="I48" s="395"/>
      <c r="J48" s="337" t="str">
        <f t="shared" si="37"/>
        <v xml:space="preserve"> </v>
      </c>
      <c r="K48" s="395"/>
      <c r="L48" s="337" t="str">
        <f t="shared" si="38"/>
        <v xml:space="preserve"> </v>
      </c>
      <c r="M48" s="395"/>
      <c r="N48" s="524" t="str">
        <f t="shared" si="39"/>
        <v xml:space="preserve"> </v>
      </c>
      <c r="O48" s="395"/>
      <c r="P48" s="337" t="str">
        <f t="shared" si="40"/>
        <v xml:space="preserve"> </v>
      </c>
      <c r="Q48" s="395"/>
      <c r="R48" s="524" t="str">
        <f t="shared" si="41"/>
        <v xml:space="preserve"> </v>
      </c>
      <c r="S48" s="506"/>
      <c r="T48" s="337" t="str">
        <f t="shared" si="42"/>
        <v xml:space="preserve"> </v>
      </c>
      <c r="U48" s="395"/>
      <c r="V48" s="337" t="str">
        <f t="shared" si="43"/>
        <v xml:space="preserve"> </v>
      </c>
      <c r="W48" s="395"/>
      <c r="X48" s="337" t="str">
        <f t="shared" si="44"/>
        <v xml:space="preserve"> </v>
      </c>
      <c r="Y48" s="395"/>
      <c r="Z48" s="337" t="str">
        <f t="shared" si="45"/>
        <v xml:space="preserve"> </v>
      </c>
      <c r="AA48" s="395"/>
      <c r="AB48" s="337" t="str">
        <f t="shared" si="46"/>
        <v xml:space="preserve"> </v>
      </c>
      <c r="AC48" s="1539"/>
      <c r="AD48" s="1542">
        <f t="shared" si="48"/>
        <v>160448</v>
      </c>
      <c r="AE48" s="396">
        <f t="shared" si="49"/>
        <v>0</v>
      </c>
      <c r="AF48" s="764"/>
      <c r="AG48" s="1543" t="str">
        <f t="shared" si="47"/>
        <v/>
      </c>
      <c r="AH48" s="1635" t="str">
        <f>IF(AD48=D48,"","Warning - Prior Year Transactions should be zero'd out by Year End")</f>
        <v/>
      </c>
    </row>
    <row r="49" spans="1:34" ht="15">
      <c r="A49" s="408" t="s">
        <v>329</v>
      </c>
      <c r="B49" s="393"/>
      <c r="C49" s="615">
        <v>9640</v>
      </c>
      <c r="D49" s="1638">
        <f>'Budget-Cash Flow Year 1'!AE49</f>
        <v>0</v>
      </c>
      <c r="E49" s="394"/>
      <c r="F49" s="337" t="str">
        <f t="shared" si="35"/>
        <v xml:space="preserve"> </v>
      </c>
      <c r="G49" s="395"/>
      <c r="H49" s="337" t="str">
        <f t="shared" si="36"/>
        <v xml:space="preserve"> </v>
      </c>
      <c r="I49" s="395"/>
      <c r="J49" s="337" t="str">
        <f t="shared" si="37"/>
        <v xml:space="preserve"> </v>
      </c>
      <c r="K49" s="395"/>
      <c r="L49" s="337" t="str">
        <f t="shared" si="38"/>
        <v xml:space="preserve"> </v>
      </c>
      <c r="M49" s="395"/>
      <c r="N49" s="524" t="str">
        <f t="shared" si="39"/>
        <v xml:space="preserve"> </v>
      </c>
      <c r="O49" s="395"/>
      <c r="P49" s="337" t="str">
        <f t="shared" si="40"/>
        <v xml:space="preserve"> </v>
      </c>
      <c r="Q49" s="395"/>
      <c r="R49" s="524" t="str">
        <f t="shared" si="41"/>
        <v xml:space="preserve"> </v>
      </c>
      <c r="S49" s="506"/>
      <c r="T49" s="337" t="str">
        <f t="shared" si="42"/>
        <v xml:space="preserve"> </v>
      </c>
      <c r="U49" s="395"/>
      <c r="V49" s="337" t="str">
        <f t="shared" si="43"/>
        <v xml:space="preserve"> </v>
      </c>
      <c r="W49" s="395"/>
      <c r="X49" s="337" t="str">
        <f t="shared" si="44"/>
        <v xml:space="preserve"> </v>
      </c>
      <c r="Y49" s="395"/>
      <c r="Z49" s="337" t="str">
        <f t="shared" si="45"/>
        <v xml:space="preserve"> </v>
      </c>
      <c r="AA49" s="395"/>
      <c r="AB49" s="337" t="str">
        <f t="shared" si="46"/>
        <v xml:space="preserve"> </v>
      </c>
      <c r="AC49" s="1539"/>
      <c r="AD49" s="1542">
        <f t="shared" si="48"/>
        <v>0</v>
      </c>
      <c r="AE49" s="396">
        <f t="shared" si="49"/>
        <v>0</v>
      </c>
      <c r="AF49" s="764"/>
      <c r="AG49" s="1543" t="str">
        <f t="shared" si="47"/>
        <v/>
      </c>
      <c r="AH49" s="1635" t="str">
        <f>IF(AD49=D49,"","Warning - Review ending balance to ensure it is payable in the subsequent year.")</f>
        <v/>
      </c>
    </row>
    <row r="50" spans="1:34" ht="15">
      <c r="A50" s="408" t="s">
        <v>330</v>
      </c>
      <c r="B50" s="393"/>
      <c r="C50" s="614">
        <v>9650</v>
      </c>
      <c r="D50" s="1637">
        <f>'Budget-Cash Flow Year 1'!AE50</f>
        <v>0</v>
      </c>
      <c r="E50" s="394"/>
      <c r="F50" s="337" t="str">
        <f t="shared" si="35"/>
        <v xml:space="preserve"> </v>
      </c>
      <c r="G50" s="395"/>
      <c r="H50" s="337" t="str">
        <f t="shared" si="36"/>
        <v xml:space="preserve"> </v>
      </c>
      <c r="I50" s="395"/>
      <c r="J50" s="337" t="str">
        <f t="shared" si="37"/>
        <v xml:space="preserve"> </v>
      </c>
      <c r="K50" s="395"/>
      <c r="L50" s="337" t="str">
        <f t="shared" si="38"/>
        <v xml:space="preserve"> </v>
      </c>
      <c r="M50" s="395"/>
      <c r="N50" s="524" t="str">
        <f t="shared" si="39"/>
        <v xml:space="preserve"> </v>
      </c>
      <c r="O50" s="395"/>
      <c r="P50" s="337" t="str">
        <f t="shared" si="40"/>
        <v xml:space="preserve"> </v>
      </c>
      <c r="Q50" s="395"/>
      <c r="R50" s="524" t="str">
        <f t="shared" si="41"/>
        <v xml:space="preserve"> </v>
      </c>
      <c r="S50" s="506"/>
      <c r="T50" s="337" t="str">
        <f t="shared" si="42"/>
        <v xml:space="preserve"> </v>
      </c>
      <c r="U50" s="395"/>
      <c r="V50" s="337" t="str">
        <f t="shared" si="43"/>
        <v xml:space="preserve"> </v>
      </c>
      <c r="W50" s="395"/>
      <c r="X50" s="337" t="str">
        <f t="shared" si="44"/>
        <v xml:space="preserve"> </v>
      </c>
      <c r="Y50" s="395"/>
      <c r="Z50" s="337" t="str">
        <f t="shared" si="45"/>
        <v xml:space="preserve"> </v>
      </c>
      <c r="AA50" s="395"/>
      <c r="AB50" s="337" t="str">
        <f t="shared" si="46"/>
        <v xml:space="preserve"> </v>
      </c>
      <c r="AC50" s="1539"/>
      <c r="AD50" s="1542">
        <f t="shared" si="48"/>
        <v>0</v>
      </c>
      <c r="AE50" s="396">
        <f t="shared" si="49"/>
        <v>0</v>
      </c>
      <c r="AF50" s="764"/>
      <c r="AG50" s="1543" t="str">
        <f t="shared" si="47"/>
        <v/>
      </c>
      <c r="AH50" s="1635" t="str">
        <f>IF(AD50=D50,"","Warning - Balances should only remain if Beg Bal included Deferrals for multiple years.")</f>
        <v/>
      </c>
    </row>
    <row r="51" spans="1:34" ht="15">
      <c r="A51" s="408" t="s">
        <v>514</v>
      </c>
      <c r="B51" s="393"/>
      <c r="C51" s="614"/>
      <c r="D51" s="1637">
        <f>'Budget-Cash Flow Year 1'!AE51</f>
        <v>0</v>
      </c>
      <c r="E51" s="394"/>
      <c r="F51" s="337" t="str">
        <f t="shared" si="35"/>
        <v xml:space="preserve"> </v>
      </c>
      <c r="G51" s="395"/>
      <c r="H51" s="337" t="str">
        <f t="shared" si="35"/>
        <v xml:space="preserve"> </v>
      </c>
      <c r="I51" s="395"/>
      <c r="J51" s="337" t="str">
        <f t="shared" si="35"/>
        <v xml:space="preserve"> </v>
      </c>
      <c r="K51" s="395"/>
      <c r="L51" s="337" t="str">
        <f t="shared" si="35"/>
        <v xml:space="preserve"> </v>
      </c>
      <c r="M51" s="395"/>
      <c r="N51" s="524" t="str">
        <f t="shared" si="35"/>
        <v xml:space="preserve"> </v>
      </c>
      <c r="O51" s="395"/>
      <c r="P51" s="337" t="str">
        <f t="shared" si="35"/>
        <v xml:space="preserve"> </v>
      </c>
      <c r="Q51" s="395"/>
      <c r="R51" s="524" t="str">
        <f t="shared" si="35"/>
        <v xml:space="preserve"> </v>
      </c>
      <c r="S51" s="506"/>
      <c r="T51" s="337" t="str">
        <f t="shared" si="35"/>
        <v xml:space="preserve"> </v>
      </c>
      <c r="U51" s="395"/>
      <c r="V51" s="337" t="str">
        <f t="shared" si="43"/>
        <v xml:space="preserve"> </v>
      </c>
      <c r="W51" s="395"/>
      <c r="X51" s="337" t="str">
        <f t="shared" si="43"/>
        <v xml:space="preserve"> </v>
      </c>
      <c r="Y51" s="395"/>
      <c r="Z51" s="337" t="str">
        <f t="shared" si="43"/>
        <v xml:space="preserve"> </v>
      </c>
      <c r="AA51" s="395"/>
      <c r="AB51" s="337" t="str">
        <f t="shared" si="43"/>
        <v xml:space="preserve"> </v>
      </c>
      <c r="AC51" s="1539"/>
      <c r="AD51" s="1542">
        <f>+E51+G51+I51+K51+M51+O51+Q51+S51+U51+W51+Y51+AA51</f>
        <v>0</v>
      </c>
      <c r="AE51" s="396">
        <f t="shared" si="49"/>
        <v>0</v>
      </c>
      <c r="AF51" s="764"/>
      <c r="AG51" s="1543"/>
      <c r="AH51" s="1635"/>
    </row>
    <row r="52" spans="1:34" ht="15.4" thickBot="1">
      <c r="A52" s="69" t="s">
        <v>511</v>
      </c>
      <c r="B52" s="367"/>
      <c r="C52" s="70"/>
      <c r="D52" s="1051">
        <f>D44+D45+D46+D47-D48-D49-D50-D51</f>
        <v>1548623.56027</v>
      </c>
      <c r="E52" s="762">
        <f>E44+E45+E46+E47-E48-E49-E50-E51</f>
        <v>1548624</v>
      </c>
      <c r="F52" s="530"/>
      <c r="G52" s="762">
        <f>G44+G45+G46+G47-G48-G49-G50-G51</f>
        <v>0</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763">
        <f>AD44+AD45+AD46+AD47-AD48-AD49-AD50-AD51</f>
        <v>1548624</v>
      </c>
      <c r="AE52" s="763">
        <f>AE44+AE45+AE46+AE47-AE48-AE49-AE50-AE51</f>
        <v>-0.43972999998368323</v>
      </c>
      <c r="AF52" s="764"/>
      <c r="AH52" s="1649"/>
    </row>
    <row r="53" spans="1:34" ht="15">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 si="50">IF($AE55&lt;1," ",IF(E55&lt;1," ",(E55)/$AE55))</f>
        <v xml:space="preserve"> </v>
      </c>
      <c r="G55" s="395"/>
      <c r="H55" s="337" t="str">
        <f t="shared" ref="H55" si="51">IF($AE55&lt;1," ",IF(G55&lt;1," ",(G55)/$AE55))</f>
        <v xml:space="preserve"> </v>
      </c>
      <c r="I55" s="395"/>
      <c r="J55" s="337" t="str">
        <f t="shared" ref="J55" si="52">IF($AE55&lt;1," ",IF(I55&lt;1," ",(I55)/$AE55))</f>
        <v xml:space="preserve"> </v>
      </c>
      <c r="K55" s="395"/>
      <c r="L55" s="337" t="str">
        <f t="shared" ref="L55" si="53">IF($AE55&lt;1," ",IF(K55&lt;1," ",(K55)/$AE55))</f>
        <v xml:space="preserve"> </v>
      </c>
      <c r="M55" s="395"/>
      <c r="N55" s="524" t="str">
        <f t="shared" ref="N55" si="54">IF($AE55&lt;1," ",IF(M55&lt;1," ",(M55)/$AE55))</f>
        <v xml:space="preserve"> </v>
      </c>
      <c r="O55" s="395"/>
      <c r="P55" s="337" t="str">
        <f t="shared" ref="P55" si="55">IF($AE55&lt;1," ",IF(O55&lt;1," ",(O55)/$AE55))</f>
        <v xml:space="preserve"> </v>
      </c>
      <c r="Q55" s="395"/>
      <c r="R55" s="524" t="str">
        <f t="shared" ref="R55" si="56">IF($AE55&lt;1," ",IF(Q55&lt;1," ",(Q55)/$AE55))</f>
        <v xml:space="preserve"> </v>
      </c>
      <c r="S55" s="506"/>
      <c r="T55" s="337" t="str">
        <f t="shared" ref="T55" si="57">IF($AE55&lt;1," ",IF(S55&lt;1," ",(S55)/$AE55))</f>
        <v xml:space="preserve"> </v>
      </c>
      <c r="U55" s="395"/>
      <c r="V55" s="337" t="str">
        <f t="shared" ref="V55" si="58">IF($AE55&lt;1," ",IF(U55&lt;1," ",(U55)/$AE55))</f>
        <v xml:space="preserve"> </v>
      </c>
      <c r="W55" s="395"/>
      <c r="X55" s="337" t="str">
        <f t="shared" ref="X55" si="59">IF($AE55&lt;1," ",IF(W55&lt;1," ",(W55)/$AE55))</f>
        <v xml:space="preserve"> </v>
      </c>
      <c r="Y55" s="395"/>
      <c r="Z55" s="337" t="str">
        <f t="shared" ref="Z55" si="60">IF($AE55&lt;1," ",IF(Y55&lt;1," ",(Y55)/$AE55))</f>
        <v xml:space="preserve"> </v>
      </c>
      <c r="AA55" s="395"/>
      <c r="AB55" s="337" t="str">
        <f t="shared" ref="AB55" si="61">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ref="F56:F61" si="62">IF($AE56&lt;1," ",IF(E56&lt;1," ",(E56)/$AE56))</f>
        <v xml:space="preserve"> </v>
      </c>
      <c r="G56" s="395"/>
      <c r="H56" s="337" t="str">
        <f t="shared" ref="H56:H61" si="63">IF($AE56&lt;1," ",IF(G56&lt;1," ",(G56)/$AE56))</f>
        <v xml:space="preserve"> </v>
      </c>
      <c r="I56" s="395"/>
      <c r="J56" s="337" t="str">
        <f t="shared" ref="J56:J61" si="64">IF($AE56&lt;1," ",IF(I56&lt;1," ",(I56)/$AE56))</f>
        <v xml:space="preserve"> </v>
      </c>
      <c r="K56" s="395"/>
      <c r="L56" s="337" t="str">
        <f t="shared" ref="L56:L61" si="65">IF($AE56&lt;1," ",IF(K56&lt;1," ",(K56)/$AE56))</f>
        <v xml:space="preserve"> </v>
      </c>
      <c r="M56" s="395"/>
      <c r="N56" s="524" t="str">
        <f t="shared" ref="N56:N61" si="66">IF($AE56&lt;1," ",IF(M56&lt;1," ",(M56)/$AE56))</f>
        <v xml:space="preserve"> </v>
      </c>
      <c r="O56" s="395"/>
      <c r="P56" s="337" t="str">
        <f t="shared" ref="P56:P61" si="67">IF($AE56&lt;1," ",IF(O56&lt;1," ",(O56)/$AE56))</f>
        <v xml:space="preserve"> </v>
      </c>
      <c r="Q56" s="395"/>
      <c r="R56" s="524" t="str">
        <f t="shared" ref="R56:R61" si="68">IF($AE56&lt;1," ",IF(Q56&lt;1," ",(Q56)/$AE56))</f>
        <v xml:space="preserve"> </v>
      </c>
      <c r="S56" s="506"/>
      <c r="T56" s="337" t="str">
        <f t="shared" ref="T56:T61" si="69">IF($AE56&lt;1," ",IF(S56&lt;1," ",(S56)/$AE56))</f>
        <v xml:space="preserve"> </v>
      </c>
      <c r="U56" s="395"/>
      <c r="V56" s="337" t="str">
        <f t="shared" ref="V56:V61" si="70">IF($AE56&lt;1," ",IF(U56&lt;1," ",(U56)/$AE56))</f>
        <v xml:space="preserve"> </v>
      </c>
      <c r="W56" s="395"/>
      <c r="X56" s="337" t="str">
        <f t="shared" ref="X56:X61" si="71">IF($AE56&lt;1," ",IF(W56&lt;1," ",(W56)/$AE56))</f>
        <v xml:space="preserve"> </v>
      </c>
      <c r="Y56" s="395"/>
      <c r="Z56" s="337" t="str">
        <f t="shared" ref="Z56:Z61" si="72">IF($AE56&lt;1," ",IF(Y56&lt;1," ",(Y56)/$AE56))</f>
        <v xml:space="preserve"> </v>
      </c>
      <c r="AA56" s="395"/>
      <c r="AB56" s="337" t="str">
        <f t="shared" ref="AB56:AB61" si="73">IF($AE56&lt;1," ",IF(AA56&lt;1," ",(AA56)/$AE56))</f>
        <v xml:space="preserve"> </v>
      </c>
      <c r="AC56" s="1539"/>
      <c r="AD56" s="1630">
        <f t="shared" ref="AD56:AD61" si="74">E56+G56+I56+K56+M56+O56+Q56+S56+U56+W56+Y56+AA56+AC56</f>
        <v>0</v>
      </c>
      <c r="AE56" s="1631">
        <f t="shared" ref="AE56:AE61" si="75">D56-AD56</f>
        <v>0</v>
      </c>
      <c r="AF56" s="764"/>
      <c r="AG56" s="1177"/>
    </row>
    <row r="57" spans="1:34" ht="15">
      <c r="A57" s="1832"/>
      <c r="B57" s="1833"/>
      <c r="C57" s="374"/>
      <c r="D57" s="1570"/>
      <c r="E57" s="394"/>
      <c r="F57" s="337" t="str">
        <f t="shared" si="62"/>
        <v xml:space="preserve"> </v>
      </c>
      <c r="G57" s="395"/>
      <c r="H57" s="337" t="str">
        <f t="shared" si="63"/>
        <v xml:space="preserve"> </v>
      </c>
      <c r="I57" s="395"/>
      <c r="J57" s="337" t="str">
        <f t="shared" si="64"/>
        <v xml:space="preserve"> </v>
      </c>
      <c r="K57" s="395"/>
      <c r="L57" s="337" t="str">
        <f t="shared" si="65"/>
        <v xml:space="preserve"> </v>
      </c>
      <c r="M57" s="395"/>
      <c r="N57" s="524" t="str">
        <f t="shared" si="66"/>
        <v xml:space="preserve"> </v>
      </c>
      <c r="O57" s="395"/>
      <c r="P57" s="337" t="str">
        <f t="shared" si="67"/>
        <v xml:space="preserve"> </v>
      </c>
      <c r="Q57" s="395"/>
      <c r="R57" s="524" t="str">
        <f t="shared" si="68"/>
        <v xml:space="preserve"> </v>
      </c>
      <c r="S57" s="506"/>
      <c r="T57" s="337" t="str">
        <f t="shared" si="69"/>
        <v xml:space="preserve"> </v>
      </c>
      <c r="U57" s="395"/>
      <c r="V57" s="337" t="str">
        <f t="shared" si="70"/>
        <v xml:space="preserve"> </v>
      </c>
      <c r="W57" s="395"/>
      <c r="X57" s="337" t="str">
        <f t="shared" si="71"/>
        <v xml:space="preserve"> </v>
      </c>
      <c r="Y57" s="395"/>
      <c r="Z57" s="337" t="str">
        <f t="shared" si="72"/>
        <v xml:space="preserve"> </v>
      </c>
      <c r="AA57" s="395"/>
      <c r="AB57" s="337" t="str">
        <f t="shared" si="73"/>
        <v xml:space="preserve"> </v>
      </c>
      <c r="AC57" s="1539"/>
      <c r="AD57" s="1630">
        <f t="shared" si="74"/>
        <v>0</v>
      </c>
      <c r="AE57" s="1631">
        <f t="shared" si="75"/>
        <v>0</v>
      </c>
      <c r="AF57" s="764"/>
      <c r="AG57" s="1177"/>
    </row>
    <row r="58" spans="1:34" ht="15">
      <c r="A58" s="1832"/>
      <c r="B58" s="1833"/>
      <c r="C58" s="374"/>
      <c r="D58" s="1570"/>
      <c r="E58" s="394"/>
      <c r="F58" s="337" t="str">
        <f t="shared" si="62"/>
        <v xml:space="preserve"> </v>
      </c>
      <c r="G58" s="395"/>
      <c r="H58" s="337" t="str">
        <f t="shared" si="63"/>
        <v xml:space="preserve"> </v>
      </c>
      <c r="I58" s="395"/>
      <c r="J58" s="337" t="str">
        <f t="shared" si="64"/>
        <v xml:space="preserve"> </v>
      </c>
      <c r="K58" s="395"/>
      <c r="L58" s="337" t="str">
        <f t="shared" si="65"/>
        <v xml:space="preserve"> </v>
      </c>
      <c r="M58" s="395"/>
      <c r="N58" s="524" t="str">
        <f t="shared" si="66"/>
        <v xml:space="preserve"> </v>
      </c>
      <c r="O58" s="395"/>
      <c r="P58" s="337" t="str">
        <f t="shared" si="67"/>
        <v xml:space="preserve"> </v>
      </c>
      <c r="Q58" s="395"/>
      <c r="R58" s="524" t="str">
        <f t="shared" si="68"/>
        <v xml:space="preserve"> </v>
      </c>
      <c r="S58" s="506"/>
      <c r="T58" s="337" t="str">
        <f t="shared" si="69"/>
        <v xml:space="preserve"> </v>
      </c>
      <c r="U58" s="395"/>
      <c r="V58" s="337" t="str">
        <f t="shared" si="70"/>
        <v xml:space="preserve"> </v>
      </c>
      <c r="W58" s="395"/>
      <c r="X58" s="337" t="str">
        <f t="shared" si="71"/>
        <v xml:space="preserve"> </v>
      </c>
      <c r="Y58" s="395"/>
      <c r="Z58" s="337" t="str">
        <f t="shared" si="72"/>
        <v xml:space="preserve"> </v>
      </c>
      <c r="AA58" s="395"/>
      <c r="AB58" s="337" t="str">
        <f t="shared" si="73"/>
        <v xml:space="preserve"> </v>
      </c>
      <c r="AC58" s="1539"/>
      <c r="AD58" s="1630">
        <f t="shared" si="74"/>
        <v>0</v>
      </c>
      <c r="AE58" s="1631">
        <f t="shared" si="75"/>
        <v>0</v>
      </c>
      <c r="AF58" s="765"/>
      <c r="AG58" s="1177"/>
    </row>
    <row r="59" spans="1:34" ht="15">
      <c r="A59" s="1832"/>
      <c r="B59" s="1833"/>
      <c r="C59" s="374"/>
      <c r="D59" s="1570"/>
      <c r="E59" s="394"/>
      <c r="F59" s="337" t="str">
        <f t="shared" si="62"/>
        <v xml:space="preserve"> </v>
      </c>
      <c r="G59" s="395"/>
      <c r="H59" s="337" t="str">
        <f t="shared" si="63"/>
        <v xml:space="preserve"> </v>
      </c>
      <c r="I59" s="395"/>
      <c r="J59" s="337" t="str">
        <f t="shared" si="64"/>
        <v xml:space="preserve"> </v>
      </c>
      <c r="K59" s="395"/>
      <c r="L59" s="337" t="str">
        <f t="shared" si="65"/>
        <v xml:space="preserve"> </v>
      </c>
      <c r="M59" s="395"/>
      <c r="N59" s="524" t="str">
        <f t="shared" si="66"/>
        <v xml:space="preserve"> </v>
      </c>
      <c r="O59" s="395"/>
      <c r="P59" s="337" t="str">
        <f t="shared" si="67"/>
        <v xml:space="preserve"> </v>
      </c>
      <c r="Q59" s="395"/>
      <c r="R59" s="524" t="str">
        <f t="shared" si="68"/>
        <v xml:space="preserve"> </v>
      </c>
      <c r="S59" s="506"/>
      <c r="T59" s="337" t="str">
        <f t="shared" si="69"/>
        <v xml:space="preserve"> </v>
      </c>
      <c r="U59" s="395"/>
      <c r="V59" s="337" t="str">
        <f t="shared" si="70"/>
        <v xml:space="preserve"> </v>
      </c>
      <c r="W59" s="395"/>
      <c r="X59" s="337" t="str">
        <f t="shared" si="71"/>
        <v xml:space="preserve"> </v>
      </c>
      <c r="Y59" s="395"/>
      <c r="Z59" s="337" t="str">
        <f t="shared" si="72"/>
        <v xml:space="preserve"> </v>
      </c>
      <c r="AA59" s="395"/>
      <c r="AB59" s="337" t="str">
        <f t="shared" si="73"/>
        <v xml:space="preserve"> </v>
      </c>
      <c r="AC59" s="1539"/>
      <c r="AD59" s="1630">
        <f t="shared" si="74"/>
        <v>0</v>
      </c>
      <c r="AE59" s="1631">
        <f t="shared" si="75"/>
        <v>0</v>
      </c>
      <c r="AF59" s="765"/>
      <c r="AG59" s="1177"/>
    </row>
    <row r="60" spans="1:34" ht="15">
      <c r="A60" s="1832"/>
      <c r="B60" s="1833"/>
      <c r="C60" s="374"/>
      <c r="D60" s="1570"/>
      <c r="E60" s="394"/>
      <c r="F60" s="337" t="str">
        <f t="shared" si="62"/>
        <v xml:space="preserve"> </v>
      </c>
      <c r="G60" s="395"/>
      <c r="H60" s="337" t="str">
        <f t="shared" si="63"/>
        <v xml:space="preserve"> </v>
      </c>
      <c r="I60" s="395"/>
      <c r="J60" s="337" t="str">
        <f t="shared" si="64"/>
        <v xml:space="preserve"> </v>
      </c>
      <c r="K60" s="395"/>
      <c r="L60" s="337" t="str">
        <f t="shared" si="65"/>
        <v xml:space="preserve"> </v>
      </c>
      <c r="M60" s="395"/>
      <c r="N60" s="524" t="str">
        <f t="shared" si="66"/>
        <v xml:space="preserve"> </v>
      </c>
      <c r="O60" s="395"/>
      <c r="P60" s="337" t="str">
        <f t="shared" si="67"/>
        <v xml:space="preserve"> </v>
      </c>
      <c r="Q60" s="395"/>
      <c r="R60" s="524" t="str">
        <f t="shared" si="68"/>
        <v xml:space="preserve"> </v>
      </c>
      <c r="S60" s="506"/>
      <c r="T60" s="337" t="str">
        <f t="shared" si="69"/>
        <v xml:space="preserve"> </v>
      </c>
      <c r="U60" s="395"/>
      <c r="V60" s="337" t="str">
        <f t="shared" si="70"/>
        <v xml:space="preserve"> </v>
      </c>
      <c r="W60" s="395"/>
      <c r="X60" s="337" t="str">
        <f t="shared" si="71"/>
        <v xml:space="preserve"> </v>
      </c>
      <c r="Y60" s="395"/>
      <c r="Z60" s="337" t="str">
        <f t="shared" si="72"/>
        <v xml:space="preserve"> </v>
      </c>
      <c r="AA60" s="395"/>
      <c r="AB60" s="337" t="str">
        <f t="shared" si="73"/>
        <v xml:space="preserve"> </v>
      </c>
      <c r="AC60" s="1539"/>
      <c r="AD60" s="1630">
        <f t="shared" si="74"/>
        <v>0</v>
      </c>
      <c r="AE60" s="1631">
        <f t="shared" si="75"/>
        <v>0</v>
      </c>
      <c r="AF60" s="765"/>
      <c r="AG60" s="1177"/>
    </row>
    <row r="61" spans="1:34" ht="15">
      <c r="A61" s="1832"/>
      <c r="B61" s="1833"/>
      <c r="C61" s="374"/>
      <c r="D61" s="1570"/>
      <c r="E61" s="394"/>
      <c r="F61" s="337" t="str">
        <f t="shared" si="62"/>
        <v xml:space="preserve"> </v>
      </c>
      <c r="G61" s="395"/>
      <c r="H61" s="337" t="str">
        <f t="shared" si="63"/>
        <v xml:space="preserve"> </v>
      </c>
      <c r="I61" s="395"/>
      <c r="J61" s="337" t="str">
        <f t="shared" si="64"/>
        <v xml:space="preserve"> </v>
      </c>
      <c r="K61" s="395"/>
      <c r="L61" s="337" t="str">
        <f t="shared" si="65"/>
        <v xml:space="preserve"> </v>
      </c>
      <c r="M61" s="395"/>
      <c r="N61" s="524" t="str">
        <f t="shared" si="66"/>
        <v xml:space="preserve"> </v>
      </c>
      <c r="O61" s="395"/>
      <c r="P61" s="337" t="str">
        <f t="shared" si="67"/>
        <v xml:space="preserve"> </v>
      </c>
      <c r="Q61" s="395"/>
      <c r="R61" s="524" t="str">
        <f t="shared" si="68"/>
        <v xml:space="preserve"> </v>
      </c>
      <c r="S61" s="506"/>
      <c r="T61" s="337" t="str">
        <f t="shared" si="69"/>
        <v xml:space="preserve"> </v>
      </c>
      <c r="U61" s="395"/>
      <c r="V61" s="337" t="str">
        <f t="shared" si="70"/>
        <v xml:space="preserve"> </v>
      </c>
      <c r="W61" s="395"/>
      <c r="X61" s="337" t="str">
        <f t="shared" si="71"/>
        <v xml:space="preserve"> </v>
      </c>
      <c r="Y61" s="395"/>
      <c r="Z61" s="337" t="str">
        <f t="shared" si="72"/>
        <v xml:space="preserve"> </v>
      </c>
      <c r="AA61" s="395"/>
      <c r="AB61" s="337" t="str">
        <f t="shared" si="73"/>
        <v xml:space="preserve"> </v>
      </c>
      <c r="AC61" s="1539"/>
      <c r="AD61" s="1630">
        <f t="shared" si="74"/>
        <v>0</v>
      </c>
      <c r="AE61" s="1631">
        <f t="shared" si="75"/>
        <v>0</v>
      </c>
      <c r="AF61" s="765"/>
      <c r="AG61" s="1177"/>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row>
    <row r="63" spans="1:34" ht="15">
      <c r="A63" s="769"/>
      <c r="B63" s="770"/>
      <c r="C63" s="371"/>
      <c r="D63" s="371"/>
      <c r="E63" s="538"/>
      <c r="F63" s="478"/>
      <c r="G63" s="518"/>
      <c r="H63" s="478"/>
      <c r="I63" s="518"/>
      <c r="J63" s="478"/>
      <c r="K63" s="518"/>
      <c r="L63" s="478"/>
      <c r="M63" s="518"/>
      <c r="N63" s="478"/>
      <c r="O63" s="518"/>
      <c r="P63" s="478"/>
      <c r="Q63" s="518"/>
      <c r="R63" s="478"/>
      <c r="S63" s="518"/>
      <c r="T63" s="478"/>
      <c r="U63" s="518"/>
      <c r="V63" s="478"/>
      <c r="W63" s="518"/>
      <c r="X63" s="478"/>
      <c r="Y63" s="518"/>
      <c r="Z63" s="478"/>
      <c r="AA63" s="518"/>
      <c r="AB63" s="478"/>
      <c r="AC63" s="1540"/>
      <c r="AD63" s="1018"/>
      <c r="AE63" s="1019"/>
      <c r="AF63" s="1024"/>
      <c r="AG63" s="1177"/>
    </row>
    <row r="64" spans="1:34" ht="15.4" thickBot="1">
      <c r="A64" s="1611" t="s">
        <v>112</v>
      </c>
      <c r="B64" s="380"/>
      <c r="C64" s="381"/>
      <c r="D64" s="1049"/>
      <c r="E64" s="760">
        <f>+E23-E35+E40+E52+E62</f>
        <v>775958</v>
      </c>
      <c r="F64" s="382"/>
      <c r="G64" s="761">
        <f>+G23-G35+G40+G52+G62</f>
        <v>-399545</v>
      </c>
      <c r="H64" s="382"/>
      <c r="I64" s="761">
        <f>+I23-I35+I40+I52+I62</f>
        <v>-337360</v>
      </c>
      <c r="J64" s="382"/>
      <c r="K64" s="761">
        <f>+K23-K35+K40+K52+K62</f>
        <v>118195</v>
      </c>
      <c r="L64" s="382"/>
      <c r="M64" s="761">
        <f>+M23-M35+M40+M52+M62</f>
        <v>-57635</v>
      </c>
      <c r="N64" s="526"/>
      <c r="O64" s="761">
        <f>+O23-O35+O40+O52+O62</f>
        <v>-36224</v>
      </c>
      <c r="P64" s="382"/>
      <c r="Q64" s="761">
        <f>+Q23-Q35+Q40+Q52+Q62</f>
        <v>49373</v>
      </c>
      <c r="R64" s="526"/>
      <c r="S64" s="762">
        <f>+S23-S35+S40+S52+S62</f>
        <v>-57635</v>
      </c>
      <c r="T64" s="382"/>
      <c r="U64" s="761">
        <f>+U23-U35+U40+U52+U62</f>
        <v>-35230</v>
      </c>
      <c r="V64" s="382"/>
      <c r="W64" s="761">
        <f>+W23-W35+W40+W52+W62</f>
        <v>47239</v>
      </c>
      <c r="X64" s="382"/>
      <c r="Y64" s="761">
        <f>+Y23-Y35+Y40+Y52+Y62</f>
        <v>-59769</v>
      </c>
      <c r="Z64" s="382"/>
      <c r="AA64" s="761">
        <f>+AA23-AA35+AA40+AA52+AA62</f>
        <v>-3520</v>
      </c>
      <c r="AB64" s="382"/>
      <c r="AC64" s="1536">
        <f>+AC23-AC35+AC40+AC52+AC62</f>
        <v>1547178.21527</v>
      </c>
      <c r="AD64" s="1629">
        <f>+AD23-AD35+AD40+AD52+AD62</f>
        <v>1551025.2152699996</v>
      </c>
      <c r="AE64" s="766"/>
      <c r="AF64" s="767"/>
      <c r="AG64" s="1177"/>
    </row>
    <row r="65" spans="1:33" ht="15.4" thickBot="1">
      <c r="A65" s="69"/>
      <c r="B65" s="367"/>
      <c r="C65" s="70"/>
      <c r="D65" s="70"/>
      <c r="E65" s="48"/>
      <c r="F65" s="194"/>
      <c r="G65" s="22"/>
      <c r="H65" s="194"/>
      <c r="I65" s="22"/>
      <c r="J65" s="194"/>
      <c r="K65" s="22"/>
      <c r="L65" s="194"/>
      <c r="M65" s="22"/>
      <c r="N65" s="194"/>
      <c r="O65" s="22"/>
      <c r="P65" s="194"/>
      <c r="Q65" s="22"/>
      <c r="R65" s="194"/>
      <c r="S65" s="22"/>
      <c r="T65" s="194"/>
      <c r="U65" s="22"/>
      <c r="V65" s="194"/>
      <c r="W65" s="22"/>
      <c r="X65" s="194"/>
      <c r="Y65" s="22"/>
      <c r="Z65" s="194"/>
      <c r="AA65" s="22"/>
      <c r="AB65" s="194"/>
      <c r="AC65" s="1541"/>
      <c r="AD65" s="1634"/>
      <c r="AE65" s="1633"/>
      <c r="AF65" s="767"/>
      <c r="AG65" s="1177"/>
    </row>
    <row r="66" spans="1:33" ht="15.4" thickBot="1">
      <c r="A66" s="69" t="s">
        <v>110</v>
      </c>
      <c r="B66" s="367"/>
      <c r="C66" s="70"/>
      <c r="D66" s="70"/>
      <c r="E66" s="760">
        <f>+E6+E64</f>
        <v>858906</v>
      </c>
      <c r="F66" s="382"/>
      <c r="G66" s="761">
        <f>+G6+G64</f>
        <v>459361</v>
      </c>
      <c r="H66" s="382"/>
      <c r="I66" s="761">
        <f>+I6+I64</f>
        <v>122001</v>
      </c>
      <c r="J66" s="382"/>
      <c r="K66" s="761">
        <f>+K6+K64</f>
        <v>240196</v>
      </c>
      <c r="L66" s="382"/>
      <c r="M66" s="761">
        <f>+M6+M64</f>
        <v>182561</v>
      </c>
      <c r="N66" s="985"/>
      <c r="O66" s="986">
        <f>+O6+O64</f>
        <v>146337</v>
      </c>
      <c r="P66" s="382"/>
      <c r="Q66" s="761">
        <f>+Q6+Q64</f>
        <v>195710</v>
      </c>
      <c r="R66" s="526"/>
      <c r="S66" s="762">
        <f>+S6+S64</f>
        <v>138075</v>
      </c>
      <c r="T66" s="382"/>
      <c r="U66" s="761">
        <f>+U6+U64</f>
        <v>102845</v>
      </c>
      <c r="V66" s="382"/>
      <c r="W66" s="761">
        <f>+W6+W64</f>
        <v>150084</v>
      </c>
      <c r="X66" s="382"/>
      <c r="Y66" s="761">
        <f>+Y6+Y64</f>
        <v>90315</v>
      </c>
      <c r="Z66" s="382"/>
      <c r="AA66" s="761">
        <f>+AA6+AA64</f>
        <v>86795</v>
      </c>
      <c r="AB66" s="382"/>
      <c r="AC66" s="1648">
        <f>+AC6+AC64+AE52</f>
        <v>1633972.7755400001</v>
      </c>
      <c r="AD66" s="1020"/>
      <c r="AE66" s="1628"/>
      <c r="AF66" s="1025"/>
      <c r="AG66" s="1177"/>
    </row>
    <row r="68" spans="1:33" ht="13.5">
      <c r="AB68" s="1545" t="s">
        <v>490</v>
      </c>
      <c r="AC68" s="1546">
        <f>'Budget-Summary MYP'!H56</f>
        <v>4255646.3394199992</v>
      </c>
    </row>
    <row r="69" spans="1:33" ht="14.25" thickBot="1">
      <c r="AB69" s="1650" t="s">
        <v>517</v>
      </c>
      <c r="AC69" s="1548">
        <f>AC66-AC68</f>
        <v>-2621673.5638799993</v>
      </c>
      <c r="AD69" s="1609" t="str">
        <f>IF(ROUND(E6+D52,0)=ROUND('Budget-Summary MYP'!H50,0),"","If not balancing, check to ensure Beg Cash (E6) + Total Beg Balance Sheet (D52) Must equal Beg Fund Balance (Budget-Summary MYP H50)")</f>
        <v>If not balancing, check to ensure Beg Cash (E6) + Total Beg Balance Sheet (D52) Must equal Beg Fund Balance (Budget-Summary MYP H50)</v>
      </c>
    </row>
    <row r="70" spans="1:33" ht="13.9" thickTop="1">
      <c r="AC70" s="1546"/>
    </row>
    <row r="71" spans="1:33" ht="13.5">
      <c r="AC71" s="1547"/>
    </row>
    <row r="72" spans="1:33">
      <c r="AB72" s="1639" t="s">
        <v>515</v>
      </c>
      <c r="AC72" s="173">
        <f>D52+E6</f>
        <v>1631571.56027</v>
      </c>
    </row>
    <row r="73" spans="1:33">
      <c r="AB73" s="1639" t="s">
        <v>516</v>
      </c>
      <c r="AC73" s="173">
        <f>'Budget-Summary MYP'!H50</f>
        <v>4253245.1947099995</v>
      </c>
    </row>
    <row r="74" spans="1:33" ht="13.15" thickBot="1">
      <c r="AB74" s="134" t="s">
        <v>96</v>
      </c>
      <c r="AC74" s="1640">
        <f>AC72-AC73</f>
        <v>-2621673.6344399992</v>
      </c>
    </row>
    <row r="75" spans="1:33" ht="13.15" thickTop="1"/>
    <row r="76" spans="1:33">
      <c r="AC76" s="173">
        <f>AC74-AC69</f>
        <v>-7.0559999905526638E-2</v>
      </c>
    </row>
  </sheetData>
  <sheetProtection algorithmName="SHA-512" hashValue="XcMoY1rVvfAwpoUSF5roPLm/ttwU9R9R0Zw7WP+XvHCwBknEDJ6e0wZ0UFYZd4nnJTc2VdLLX40nC8cvDfYiVg==" saltValue="q4H6FDTYZiDLSI91ZzRsbg==" spinCount="100000" sheet="1" objects="1" scenarios="1"/>
  <mergeCells count="13">
    <mergeCell ref="A58:B58"/>
    <mergeCell ref="A59:B59"/>
    <mergeCell ref="A60:B60"/>
    <mergeCell ref="A61:B61"/>
    <mergeCell ref="AE41:AE43"/>
    <mergeCell ref="A56:B56"/>
    <mergeCell ref="A57:B57"/>
    <mergeCell ref="AE53:AE54"/>
    <mergeCell ref="F1:L1"/>
    <mergeCell ref="T1:Z1"/>
    <mergeCell ref="G2:K2"/>
    <mergeCell ref="D41:D43"/>
    <mergeCell ref="A55:B55"/>
  </mergeCells>
  <conditionalFormatting sqref="E66 G66 I66 K66 M66 O66 Q66 S66 U66 W66 Y66 AA66">
    <cfRule type="expression" dxfId="245" priority="31" stopIfTrue="1">
      <formula>"&lt;0"</formula>
    </cfRule>
  </conditionalFormatting>
  <conditionalFormatting sqref="F1">
    <cfRule type="containsText" dxfId="244" priority="33" stopIfTrue="1" operator="containsText" text="Enter">
      <formula>NOT(ISERROR(SEARCH("Enter",F1)))</formula>
    </cfRule>
  </conditionalFormatting>
  <conditionalFormatting sqref="T1">
    <cfRule type="containsText" dxfId="243" priority="32" stopIfTrue="1" operator="containsText" text="Enter">
      <formula>NOT(ISERROR(SEARCH("Enter",T1)))</formula>
    </cfRule>
  </conditionalFormatting>
  <conditionalFormatting sqref="AD45">
    <cfRule type="cellIs" dxfId="242" priority="5" stopIfTrue="1" operator="notEqual">
      <formula>$D$45</formula>
    </cfRule>
  </conditionalFormatting>
  <conditionalFormatting sqref="AD46">
    <cfRule type="cellIs" dxfId="241" priority="1" stopIfTrue="1" operator="notEqual">
      <formula>$D$46</formula>
    </cfRule>
  </conditionalFormatting>
  <conditionalFormatting sqref="AD48">
    <cfRule type="cellIs" dxfId="240" priority="4" stopIfTrue="1" operator="notEqual">
      <formula>$D$48</formula>
    </cfRule>
  </conditionalFormatting>
  <conditionalFormatting sqref="AD49">
    <cfRule type="cellIs" dxfId="239" priority="3" stopIfTrue="1" operator="notEqual">
      <formula>$D$49</formula>
    </cfRule>
  </conditionalFormatting>
  <conditionalFormatting sqref="AD50">
    <cfRule type="cellIs" dxfId="238" priority="2" stopIfTrue="1" operator="notEqual">
      <formula>$D$50</formula>
    </cfRule>
  </conditionalFormatting>
  <pageMargins left="0.7" right="0.7" top="0.75" bottom="0.75" header="0.3" footer="0.3"/>
  <pageSetup scale="45" fitToWidth="0" orientation="landscape" r:id="rId1"/>
  <headerFooter>
    <oddHeader>&amp;RPage &amp;P of &amp;N</oddHeader>
  </headerFooter>
  <colBreaks count="1" manualBreakCount="1">
    <brk id="18"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56"/>
  <sheetViews>
    <sheetView workbookViewId="0">
      <pane xSplit="1" ySplit="5" topLeftCell="B135" activePane="bottomRight" state="frozen"/>
      <selection pane="topRight" activeCell="B1" sqref="B1"/>
      <selection pane="bottomLeft" activeCell="A6" sqref="A6"/>
      <selection pane="bottomRight" activeCell="A155" sqref="A155"/>
    </sheetView>
  </sheetViews>
  <sheetFormatPr defaultColWidth="9.1328125" defaultRowHeight="12.75"/>
  <cols>
    <col min="1" max="1" width="56.86328125" style="1192" customWidth="1"/>
    <col min="2" max="2" width="17" style="1192" customWidth="1"/>
    <col min="3" max="3" width="14" style="1192" customWidth="1"/>
    <col min="4" max="4" width="14.86328125" style="1192" customWidth="1"/>
    <col min="5" max="5" width="14" style="1192" customWidth="1"/>
    <col min="6" max="8" width="9.1328125" style="1192"/>
    <col min="9" max="9" width="19" style="1192" customWidth="1"/>
    <col min="10" max="10" width="23.6640625" style="1192" customWidth="1"/>
    <col min="11" max="16384" width="9.1328125" style="1192"/>
  </cols>
  <sheetData>
    <row r="1" spans="1:10">
      <c r="A1" s="1571" t="str">
        <f>'BUDGET-CERTIFICATION'!H1</f>
        <v>Encor Jr./Sr. High School for the Performing and Visual Arts</v>
      </c>
    </row>
    <row r="2" spans="1:10">
      <c r="A2" s="1571" t="s">
        <v>426</v>
      </c>
    </row>
    <row r="3" spans="1:10">
      <c r="A3" s="1571" t="str">
        <f>'Budget-ADA'!K7</f>
        <v>2024-25</v>
      </c>
    </row>
    <row r="4" spans="1:10">
      <c r="A4" s="1571" t="str">
        <f>'BUDGET-CERTIFICATION'!H3</f>
        <v>Hesperia Unified School District</v>
      </c>
    </row>
    <row r="5" spans="1:10">
      <c r="B5" s="1572" t="s">
        <v>371</v>
      </c>
      <c r="C5" s="1572" t="s">
        <v>369</v>
      </c>
      <c r="D5" s="1572" t="s">
        <v>372</v>
      </c>
      <c r="E5" s="1572" t="s">
        <v>491</v>
      </c>
      <c r="H5" s="1572"/>
      <c r="I5" s="1572"/>
      <c r="J5" s="1572"/>
    </row>
    <row r="6" spans="1:10">
      <c r="A6" s="1192" t="s">
        <v>370</v>
      </c>
      <c r="B6" s="1594">
        <f>'Budget-ADA'!J76</f>
        <v>504.33</v>
      </c>
      <c r="C6" s="1594">
        <f>'Budget-ADA'!L76</f>
        <v>500.5</v>
      </c>
      <c r="D6" s="1594">
        <f>'Budget-ADA'!O76</f>
        <v>500.5</v>
      </c>
      <c r="E6" s="1594">
        <f>'Budget-ADA'!R76</f>
        <v>500.5</v>
      </c>
      <c r="H6" s="1573"/>
      <c r="I6" s="1574"/>
      <c r="J6" s="1574"/>
    </row>
    <row r="7" spans="1:10">
      <c r="A7" s="1192" t="s">
        <v>373</v>
      </c>
      <c r="B7" s="1575">
        <f>'Budget-Assumptions'!F24</f>
        <v>561</v>
      </c>
      <c r="C7" s="1576">
        <f>'Budget-Assumptions'!G24</f>
        <v>550</v>
      </c>
      <c r="D7" s="1576">
        <f>'Budget-Assumptions'!H24</f>
        <v>550</v>
      </c>
      <c r="E7" s="1576">
        <f>'Budget-Assumptions'!J24</f>
        <v>550</v>
      </c>
      <c r="H7" s="1573"/>
      <c r="I7" s="1574"/>
      <c r="J7" s="1574"/>
    </row>
    <row r="8" spans="1:10">
      <c r="A8" s="1192" t="s">
        <v>362</v>
      </c>
      <c r="B8" s="1575">
        <f>'Budget-Assumptions'!F27</f>
        <v>324</v>
      </c>
      <c r="C8" s="1576">
        <f>'Budget-Assumptions'!G27</f>
        <v>387</v>
      </c>
      <c r="D8" s="1576">
        <f>'Budget-Assumptions'!H27</f>
        <v>387</v>
      </c>
      <c r="E8" s="1576">
        <f>'Budget-Assumptions'!J27</f>
        <v>387</v>
      </c>
      <c r="H8" s="1573"/>
      <c r="I8" s="1574"/>
      <c r="J8" s="1574"/>
    </row>
    <row r="9" spans="1:10">
      <c r="A9" s="1192" t="s">
        <v>374</v>
      </c>
      <c r="B9" s="1577">
        <f>'Budget-Assumptions'!F28</f>
        <v>0.67720000000000002</v>
      </c>
      <c r="C9" s="1577">
        <f>'Budget-Assumptions'!G28</f>
        <v>0.70213333333333328</v>
      </c>
      <c r="D9" s="1577">
        <f>'Budget-Assumptions'!H28</f>
        <v>0.69017777777777789</v>
      </c>
      <c r="E9" s="1577">
        <f>'Budget-Assumptions'!J28</f>
        <v>0.68983703703703714</v>
      </c>
      <c r="H9" s="1573"/>
      <c r="I9" s="1574"/>
      <c r="J9" s="1574"/>
    </row>
    <row r="10" spans="1:10">
      <c r="H10" s="1573"/>
      <c r="I10" s="1574"/>
      <c r="J10" s="1574"/>
    </row>
    <row r="11" spans="1:10">
      <c r="A11" s="1192" t="s">
        <v>152</v>
      </c>
      <c r="B11" s="1579">
        <f>'Budget-Unrestricted MYP'!E13+'Budget-Unrestricted MYP'!E14+'Budget-Unrestricted MYP'!E15+'Budget-Unrestricted MYP'!E16</f>
        <v>6472272</v>
      </c>
      <c r="C11" s="1579">
        <f>'Budget-Assumptions'!G11</f>
        <v>6790000</v>
      </c>
      <c r="D11" s="1579">
        <f>'Budget-Assumptions'!H11</f>
        <v>7283467</v>
      </c>
      <c r="E11" s="1579">
        <f>'Budget-Assumptions'!J11</f>
        <v>7677714</v>
      </c>
      <c r="H11" s="1573"/>
      <c r="I11" s="1574"/>
      <c r="J11" s="1574"/>
    </row>
    <row r="12" spans="1:10">
      <c r="H12" s="1573"/>
      <c r="I12" s="1574"/>
      <c r="J12" s="1574"/>
    </row>
    <row r="13" spans="1:10">
      <c r="A13" s="1192" t="s">
        <v>375</v>
      </c>
      <c r="C13" s="1594">
        <f>'Budget-Assumptions'!G31</f>
        <v>29.25</v>
      </c>
      <c r="D13" s="1594">
        <f>'Budget-Assumptions'!H31</f>
        <v>29.25</v>
      </c>
      <c r="E13" s="1594">
        <f>'Budget-Assumptions'!J31</f>
        <v>29.25</v>
      </c>
      <c r="H13" s="1573"/>
      <c r="I13" s="1574"/>
      <c r="J13" s="1574"/>
    </row>
    <row r="14" spans="1:10">
      <c r="A14" s="1192" t="s">
        <v>382</v>
      </c>
      <c r="C14" s="1594">
        <f>'Budget-Assumptions'!G33</f>
        <v>0</v>
      </c>
      <c r="D14" s="1594">
        <f>'Budget-Assumptions'!H33</f>
        <v>0</v>
      </c>
      <c r="E14" s="1594">
        <f>'Budget-Assumptions'!J33</f>
        <v>0</v>
      </c>
      <c r="H14" s="1573"/>
      <c r="I14" s="1574"/>
      <c r="J14" s="1574"/>
    </row>
    <row r="15" spans="1:10">
      <c r="A15" s="1192" t="s">
        <v>465</v>
      </c>
      <c r="C15" s="1594">
        <f>'Budget-Assumptions'!G32</f>
        <v>5</v>
      </c>
      <c r="D15" s="1594">
        <f>'Budget-Assumptions'!H32</f>
        <v>5</v>
      </c>
      <c r="E15" s="1594">
        <f>'Budget-Assumptions'!J32</f>
        <v>5</v>
      </c>
      <c r="H15" s="1573"/>
    </row>
    <row r="16" spans="1:10">
      <c r="C16" s="1594"/>
      <c r="D16" s="1594"/>
      <c r="E16" s="1594"/>
      <c r="H16" s="1573"/>
    </row>
    <row r="17" spans="1:5">
      <c r="A17" s="1192" t="s">
        <v>383</v>
      </c>
      <c r="C17" s="1594">
        <f>'Budget-Assumptions'!G51</f>
        <v>23</v>
      </c>
      <c r="D17" s="1594">
        <f>'Budget-Assumptions'!H51</f>
        <v>23</v>
      </c>
      <c r="E17" s="1594">
        <f>'Budget-Assumptions'!J51</f>
        <v>23</v>
      </c>
    </row>
    <row r="18" spans="1:5">
      <c r="A18" s="1192" t="s">
        <v>471</v>
      </c>
      <c r="C18" s="1594">
        <f>'Budget-Assumptions'!G52</f>
        <v>5</v>
      </c>
      <c r="D18" s="1594">
        <f>'Budget-Assumptions'!H52</f>
        <v>5</v>
      </c>
      <c r="E18" s="1594">
        <f>'Budget-Assumptions'!J52</f>
        <v>5</v>
      </c>
    </row>
    <row r="19" spans="1:5">
      <c r="C19" s="1580"/>
      <c r="D19" s="1580"/>
      <c r="E19" s="1580"/>
    </row>
    <row r="20" spans="1:5">
      <c r="A20" s="1192" t="s">
        <v>467</v>
      </c>
      <c r="C20" s="1579">
        <f>'Budget-Assumptions'!G36</f>
        <v>70402</v>
      </c>
      <c r="D20" s="1579">
        <f>'Budget-Assumptions'!H36</f>
        <v>71253</v>
      </c>
      <c r="E20" s="1579">
        <f>'Budget-Assumptions'!J36</f>
        <v>73391</v>
      </c>
    </row>
    <row r="21" spans="1:5">
      <c r="A21" s="1192" t="s">
        <v>466</v>
      </c>
      <c r="C21" s="1579">
        <f>'Budget-Assumptions'!G38</f>
        <v>0</v>
      </c>
      <c r="D21" s="1579">
        <f>'Budget-Assumptions'!H38</f>
        <v>0</v>
      </c>
      <c r="E21" s="1579">
        <f>'Budget-Assumptions'!J38</f>
        <v>0</v>
      </c>
    </row>
    <row r="22" spans="1:5">
      <c r="A22" s="1192" t="s">
        <v>468</v>
      </c>
      <c r="C22" s="1579">
        <f>'Budget-Assumptions'!G37</f>
        <v>110570</v>
      </c>
      <c r="D22" s="1579">
        <f>'Budget-Assumptions'!H37</f>
        <v>113887</v>
      </c>
      <c r="E22" s="1579">
        <f>'Budget-Assumptions'!J37</f>
        <v>117304</v>
      </c>
    </row>
    <row r="23" spans="1:5">
      <c r="A23" s="1583" t="s">
        <v>496</v>
      </c>
      <c r="C23" s="1579">
        <f>'Budget-Assumptions'!G40</f>
        <v>0</v>
      </c>
      <c r="D23" s="1579">
        <f>'Budget-Assumptions'!H40</f>
        <v>0</v>
      </c>
      <c r="E23" s="1579">
        <f>'Budget-Assumptions'!J40</f>
        <v>0</v>
      </c>
    </row>
    <row r="24" spans="1:5">
      <c r="A24" s="1583"/>
      <c r="C24" s="1579"/>
      <c r="D24" s="1579"/>
      <c r="E24" s="1579"/>
    </row>
    <row r="25" spans="1:5">
      <c r="A25" s="1192" t="s">
        <v>469</v>
      </c>
      <c r="C25" s="1579">
        <f>'Budget-Assumptions'!G53</f>
        <v>39426</v>
      </c>
      <c r="D25" s="1579">
        <f>'Budget-Assumptions'!H53</f>
        <v>40584</v>
      </c>
      <c r="E25" s="1579">
        <f>'Budget-Assumptions'!J53</f>
        <v>41818</v>
      </c>
    </row>
    <row r="26" spans="1:5">
      <c r="A26" s="1192" t="s">
        <v>470</v>
      </c>
      <c r="C26" s="1579">
        <f>'Budget-Assumptions'!G54</f>
        <v>101473</v>
      </c>
      <c r="D26" s="1579">
        <f>'Budget-Assumptions'!H54</f>
        <v>104518</v>
      </c>
      <c r="E26" s="1579">
        <f>'Budget-Assumptions'!J54</f>
        <v>107653</v>
      </c>
    </row>
    <row r="27" spans="1:5">
      <c r="A27" s="1583" t="s">
        <v>497</v>
      </c>
      <c r="C27" s="1579">
        <f>'Budget-Assumptions'!G56</f>
        <v>0</v>
      </c>
      <c r="D27" s="1579">
        <f>'Budget-Assumptions'!H56</f>
        <v>0</v>
      </c>
      <c r="E27" s="1579">
        <f>'Budget-Assumptions'!J56</f>
        <v>0</v>
      </c>
    </row>
    <row r="28" spans="1:5">
      <c r="C28" s="1579"/>
      <c r="D28" s="1579"/>
      <c r="E28" s="1579"/>
    </row>
    <row r="29" spans="1:5">
      <c r="A29" s="1583" t="s">
        <v>449</v>
      </c>
      <c r="C29" s="1579">
        <f>'Budget-Assumptions'!G41</f>
        <v>6000</v>
      </c>
      <c r="D29" s="1579">
        <f>'Budget-Assumptions'!H41</f>
        <v>6600</v>
      </c>
      <c r="E29" s="1579">
        <f>'Budget-Assumptions'!J41</f>
        <v>7200</v>
      </c>
    </row>
    <row r="30" spans="1:5">
      <c r="A30" s="1192" t="s">
        <v>450</v>
      </c>
      <c r="C30" s="1579">
        <f>'Budget-Assumptions'!G57</f>
        <v>6000</v>
      </c>
      <c r="D30" s="1579">
        <f>'Budget-Assumptions'!H57</f>
        <v>6600</v>
      </c>
      <c r="E30" s="1579">
        <f>'Budget-Assumptions'!J57</f>
        <v>7200</v>
      </c>
    </row>
    <row r="31" spans="1:5">
      <c r="C31" s="1579"/>
      <c r="D31" s="1579"/>
      <c r="E31" s="1579"/>
    </row>
    <row r="32" spans="1:5">
      <c r="A32" s="1192" t="s">
        <v>439</v>
      </c>
      <c r="C32" s="1590">
        <f>'Budget-Assumptions'!G43</f>
        <v>0.191</v>
      </c>
      <c r="D32" s="1590">
        <f>'Budget-Assumptions'!H43</f>
        <v>0.191</v>
      </c>
      <c r="E32" s="1590">
        <f>'Budget-Assumptions'!J43</f>
        <v>0.191</v>
      </c>
    </row>
    <row r="33" spans="1:5">
      <c r="A33" s="1192" t="s">
        <v>440</v>
      </c>
      <c r="C33" s="1590">
        <f>'Budget-Assumptions'!G59</f>
        <v>0.27050000000000002</v>
      </c>
      <c r="D33" s="1590">
        <f>'Budget-Assumptions'!H59</f>
        <v>0.27600000000000002</v>
      </c>
      <c r="E33" s="1590">
        <f>'Budget-Assumptions'!J59</f>
        <v>0.28000000000000003</v>
      </c>
    </row>
    <row r="34" spans="1:5">
      <c r="A34" s="1192" t="s">
        <v>499</v>
      </c>
      <c r="B34" s="1581"/>
      <c r="C34" s="1574">
        <f>'Budget-Assumptions'!G42</f>
        <v>13447</v>
      </c>
      <c r="D34" s="1574">
        <f>'Budget-Assumptions'!H42</f>
        <v>13609</v>
      </c>
      <c r="E34" s="1574">
        <f>'Budget-Assumptions'!J42</f>
        <v>14018</v>
      </c>
    </row>
    <row r="35" spans="1:5">
      <c r="A35" s="1192" t="s">
        <v>498</v>
      </c>
      <c r="B35" s="1581"/>
      <c r="C35" s="1574">
        <f>'Budget-Assumptions'!G57</f>
        <v>6000</v>
      </c>
      <c r="D35" s="1574">
        <f>'Budget-Assumptions'!H57</f>
        <v>6600</v>
      </c>
      <c r="E35" s="1574">
        <f>'Budget-Assumptions'!J57</f>
        <v>7200</v>
      </c>
    </row>
    <row r="36" spans="1:5">
      <c r="C36" s="1581"/>
      <c r="D36" s="1581"/>
      <c r="E36" s="1581"/>
    </row>
    <row r="37" spans="1:5">
      <c r="A37" s="1584" t="s">
        <v>445</v>
      </c>
      <c r="C37" s="1591">
        <f>'Budget-Assumptions'!G67</f>
        <v>6.2E-2</v>
      </c>
      <c r="D37" s="1591">
        <f>'Budget-Assumptions'!H67</f>
        <v>6.2E-2</v>
      </c>
      <c r="E37" s="1591">
        <f>'Budget-Assumptions'!J67</f>
        <v>6.2E-2</v>
      </c>
    </row>
    <row r="38" spans="1:5">
      <c r="A38" s="1192" t="s">
        <v>446</v>
      </c>
      <c r="C38" s="1592">
        <f>'Budget-Assumptions'!G68</f>
        <v>1.4500000000000001E-2</v>
      </c>
      <c r="D38" s="1592">
        <f>'Budget-Assumptions'!H68</f>
        <v>1.4500000000000001E-2</v>
      </c>
      <c r="E38" s="1592">
        <f>'Budget-Assumptions'!J68</f>
        <v>1.4500000000000001E-2</v>
      </c>
    </row>
    <row r="39" spans="1:5">
      <c r="A39" s="1192" t="s">
        <v>447</v>
      </c>
      <c r="C39" s="1593">
        <f>'Budget-Assumptions'!G69</f>
        <v>3.5999999999999997E-2</v>
      </c>
      <c r="D39" s="1593">
        <f>'Budget-Assumptions'!H69</f>
        <v>3.5999999999999997E-2</v>
      </c>
      <c r="E39" s="1593">
        <f>'Budget-Assumptions'!J69</f>
        <v>3.5999999999999997E-2</v>
      </c>
    </row>
    <row r="40" spans="1:5">
      <c r="A40" s="1192" t="s">
        <v>448</v>
      </c>
      <c r="C40" s="1593">
        <f>'Budget-Assumptions'!G70</f>
        <v>1.9E-2</v>
      </c>
      <c r="D40" s="1593">
        <f>'Budget-Assumptions'!H70</f>
        <v>1.9E-2</v>
      </c>
      <c r="E40" s="1593">
        <f>'Budget-Assumptions'!J70</f>
        <v>1.9E-2</v>
      </c>
    </row>
    <row r="41" spans="1:5">
      <c r="C41" s="1581"/>
      <c r="D41" s="1581"/>
      <c r="E41" s="1581"/>
    </row>
    <row r="42" spans="1:5">
      <c r="A42" s="1192" t="s">
        <v>392</v>
      </c>
      <c r="B42" s="1574"/>
      <c r="C42" s="1574"/>
      <c r="D42" s="1574"/>
      <c r="E42" s="1574"/>
    </row>
    <row r="43" spans="1:5">
      <c r="A43" s="1192" t="s">
        <v>388</v>
      </c>
      <c r="B43" s="1574">
        <f>'Budget-Unrestricted MYP'!E50</f>
        <v>3049473</v>
      </c>
      <c r="C43" s="1574">
        <f>'Budget-Unrestricted MYP'!F50</f>
        <v>2481096.0499999998</v>
      </c>
      <c r="D43" s="1574">
        <f>'Budget-Unrestricted MYP'!H50</f>
        <v>1849296.1947099995</v>
      </c>
      <c r="E43" s="1574">
        <f>'Budget-Unrestricted MYP'!J50</f>
        <v>1619323.3394199992</v>
      </c>
    </row>
    <row r="44" spans="1:5">
      <c r="A44" s="1192" t="s">
        <v>402</v>
      </c>
      <c r="B44" s="1574">
        <f>'Budget-Unrestricted MYP'!E51</f>
        <v>0</v>
      </c>
      <c r="C44" s="1574">
        <f>'Budget-Unrestricted MYP'!F51</f>
        <v>0</v>
      </c>
      <c r="D44" s="1574">
        <f>'Budget-Unrestricted MYP'!H51</f>
        <v>0</v>
      </c>
      <c r="E44" s="1574">
        <f>'Budget-Unrestricted MYP'!J51</f>
        <v>0</v>
      </c>
    </row>
    <row r="45" spans="1:5">
      <c r="A45" s="1192" t="s">
        <v>233</v>
      </c>
      <c r="B45" s="1574">
        <f>B43+B44</f>
        <v>3049473</v>
      </c>
      <c r="C45" s="1588">
        <f>C43+C44</f>
        <v>2481096.0499999998</v>
      </c>
      <c r="D45" s="1574">
        <f>D43+D44</f>
        <v>1849296.1947099995</v>
      </c>
      <c r="E45" s="1574">
        <f>E43+E44</f>
        <v>1619323.3394199992</v>
      </c>
    </row>
    <row r="46" spans="1:5">
      <c r="A46" s="1192" t="s">
        <v>389</v>
      </c>
      <c r="B46" s="1574">
        <f>'Budget-Unrestricted MYP'!E52</f>
        <v>0</v>
      </c>
      <c r="C46" s="1588">
        <f>'Budget-Unrestricted MYP'!F52</f>
        <v>0</v>
      </c>
      <c r="D46" s="1574">
        <f>'Budget-Unrestricted MYP'!H52</f>
        <v>0</v>
      </c>
      <c r="E46" s="1574">
        <f>'Budget-Unrestricted MYP'!J52</f>
        <v>0</v>
      </c>
    </row>
    <row r="47" spans="1:5">
      <c r="A47" s="1192" t="s">
        <v>390</v>
      </c>
      <c r="B47" s="1574">
        <f>'Budget-Unrestricted MYP'!E54</f>
        <v>0</v>
      </c>
      <c r="C47" s="1574">
        <f>'Budget-Unrestricted MYP'!F54</f>
        <v>0</v>
      </c>
      <c r="D47" s="1574">
        <f>'Budget-Unrestricted MYP'!H54</f>
        <v>0</v>
      </c>
      <c r="E47" s="1574">
        <f>'Budget-Unrestricted MYP'!J54</f>
        <v>0</v>
      </c>
    </row>
    <row r="48" spans="1:5">
      <c r="A48" s="1192" t="s">
        <v>281</v>
      </c>
      <c r="B48" s="1574">
        <f>'Budget-Unrestricted MYP'!E55</f>
        <v>3049473</v>
      </c>
      <c r="C48" s="1588">
        <f>'Budget-Unrestricted MYP'!F55</f>
        <v>0</v>
      </c>
      <c r="D48" s="1574">
        <f>'Budget-Unrestricted MYP'!H55</f>
        <v>0</v>
      </c>
      <c r="E48" s="1574">
        <f>'Budget-Unrestricted MYP'!J55</f>
        <v>0</v>
      </c>
    </row>
    <row r="49" spans="1:5">
      <c r="A49" s="1192" t="s">
        <v>391</v>
      </c>
      <c r="B49" s="1574">
        <f>'Budget-Unrestricted MYP'!E56</f>
        <v>2481096.0499999998</v>
      </c>
      <c r="C49" s="1588">
        <f>'Budget-Unrestricted MYP'!F56</f>
        <v>1849296.1947099995</v>
      </c>
      <c r="D49" s="1574">
        <f>'Budget-Unrestricted MYP'!H56</f>
        <v>1619323.3394199992</v>
      </c>
      <c r="E49" s="1574">
        <f>'Budget-Unrestricted MYP'!J56</f>
        <v>1575581.4841299988</v>
      </c>
    </row>
    <row r="50" spans="1:5">
      <c r="B50" s="1574"/>
      <c r="C50" s="1588"/>
      <c r="D50" s="1574"/>
      <c r="E50" s="1574"/>
    </row>
    <row r="51" spans="1:5">
      <c r="A51" s="1192" t="s">
        <v>394</v>
      </c>
      <c r="B51" s="1574">
        <f>'Budget-Unrestricted MYP'!E60</f>
        <v>0</v>
      </c>
      <c r="C51" s="1588">
        <f>'Budget-Unrestricted MYP'!F60</f>
        <v>0</v>
      </c>
      <c r="D51" s="1574">
        <f>'Budget-Unrestricted MYP'!H60</f>
        <v>0</v>
      </c>
      <c r="E51" s="1574">
        <f>'Budget-Unrestricted MYP'!J60</f>
        <v>0</v>
      </c>
    </row>
    <row r="52" spans="1:5">
      <c r="A52" s="1192" t="s">
        <v>403</v>
      </c>
      <c r="B52" s="1574">
        <f>'Budget-Unrestricted MYP'!E61</f>
        <v>0</v>
      </c>
      <c r="C52" s="1574">
        <f>'Budget-Unrestricted MYP'!F61</f>
        <v>0</v>
      </c>
      <c r="D52" s="1574">
        <f>'Budget-Unrestricted MYP'!H61</f>
        <v>0</v>
      </c>
      <c r="E52" s="1574">
        <f>'Budget-Unrestricted MYP'!J61</f>
        <v>0</v>
      </c>
    </row>
    <row r="53" spans="1:5">
      <c r="A53" s="1585" t="s">
        <v>395</v>
      </c>
      <c r="B53" s="1589">
        <f>'Budget-Unrestricted MYP'!E62</f>
        <v>0</v>
      </c>
      <c r="C53" s="1574">
        <f>'Budget-Unrestricted MYP'!F62</f>
        <v>0</v>
      </c>
      <c r="D53" s="1574">
        <f>'Budget-Unrestricted MYP'!H62</f>
        <v>0</v>
      </c>
      <c r="E53" s="1574">
        <f>'Budget-Unrestricted MYP'!J62</f>
        <v>0</v>
      </c>
    </row>
    <row r="54" spans="1:5">
      <c r="A54" s="1585" t="s">
        <v>396</v>
      </c>
      <c r="B54" s="1589">
        <f>'Budget-Unrestricted MYP'!E63</f>
        <v>0</v>
      </c>
      <c r="C54" s="1574">
        <f>'Budget-Unrestricted MYP'!F63</f>
        <v>0</v>
      </c>
      <c r="D54" s="1574">
        <f>'Budget-Unrestricted MYP'!H63</f>
        <v>0</v>
      </c>
      <c r="E54" s="1574">
        <f>'Budget-Unrestricted MYP'!J63</f>
        <v>0</v>
      </c>
    </row>
    <row r="55" spans="1:5">
      <c r="A55" s="1585" t="s">
        <v>397</v>
      </c>
      <c r="B55" s="1589">
        <f>'Budget-Unrestricted MYP'!E66</f>
        <v>0</v>
      </c>
      <c r="C55" s="1574">
        <f>'Budget-Unrestricted MYP'!F66</f>
        <v>0</v>
      </c>
      <c r="D55" s="1574">
        <f>'Budget-Unrestricted MYP'!H66</f>
        <v>0</v>
      </c>
      <c r="E55" s="1574">
        <f>'Budget-Unrestricted MYP'!J66</f>
        <v>0</v>
      </c>
    </row>
    <row r="56" spans="1:5">
      <c r="A56" s="1585" t="s">
        <v>398</v>
      </c>
      <c r="B56" s="1589">
        <f>'Budget-Unrestricted MYP'!E67</f>
        <v>0</v>
      </c>
      <c r="C56" s="1574">
        <f>'Budget-Unrestricted MYP'!F67</f>
        <v>0</v>
      </c>
      <c r="D56" s="1574">
        <f>'Budget-Unrestricted MYP'!H67</f>
        <v>0</v>
      </c>
      <c r="E56" s="1574">
        <f>'Budget-Unrestricted MYP'!J67</f>
        <v>0</v>
      </c>
    </row>
    <row r="57" spans="1:5">
      <c r="A57" s="1585" t="s">
        <v>399</v>
      </c>
      <c r="B57" s="1589">
        <f>'Budget-Unrestricted MYP'!E68</f>
        <v>0</v>
      </c>
      <c r="C57" s="1574">
        <f>'Budget-Unrestricted MYP'!F68</f>
        <v>0</v>
      </c>
      <c r="D57" s="1574">
        <f>'Budget-Unrestricted MYP'!H68</f>
        <v>0</v>
      </c>
      <c r="E57" s="1574">
        <f>'Budget-Unrestricted MYP'!J68</f>
        <v>0</v>
      </c>
    </row>
    <row r="58" spans="1:5">
      <c r="A58" s="1585" t="s">
        <v>400</v>
      </c>
      <c r="B58" s="1589">
        <f>'Budget-Unrestricted MYP'!E70</f>
        <v>521502</v>
      </c>
      <c r="C58" s="1574">
        <f>'Budget-Unrestricted MYP'!F70</f>
        <v>456269.25</v>
      </c>
      <c r="D58" s="1574">
        <f>'Budget-Unrestricted MYP'!H70</f>
        <v>477354.15</v>
      </c>
      <c r="E58" s="1574">
        <f>'Budget-Unrestricted MYP'!J70</f>
        <v>493056</v>
      </c>
    </row>
    <row r="59" spans="1:5">
      <c r="A59" s="1585" t="s">
        <v>401</v>
      </c>
      <c r="B59" s="1589">
        <f>'Budget-Unrestricted MYP'!E71</f>
        <v>1959594.0499999998</v>
      </c>
      <c r="C59" s="1574">
        <f>'Budget-Unrestricted MYP'!F71</f>
        <v>1393026.9447099995</v>
      </c>
      <c r="D59" s="1574">
        <f>'Budget-Unrestricted MYP'!H71</f>
        <v>1141969.1894199993</v>
      </c>
      <c r="E59" s="1574">
        <f>'Budget-Unrestricted MYP'!J71</f>
        <v>1082525.4841299988</v>
      </c>
    </row>
    <row r="60" spans="1:5">
      <c r="A60" s="1585"/>
      <c r="B60" s="1589"/>
      <c r="C60" s="1574"/>
      <c r="D60" s="1574"/>
      <c r="E60" s="1574"/>
    </row>
    <row r="61" spans="1:5">
      <c r="A61" s="1585" t="s">
        <v>393</v>
      </c>
      <c r="B61" s="1589"/>
      <c r="C61" s="1574"/>
      <c r="D61" s="1574"/>
      <c r="E61" s="1574"/>
    </row>
    <row r="62" spans="1:5">
      <c r="A62" s="1192" t="s">
        <v>388</v>
      </c>
      <c r="B62" s="1574">
        <f>'Budget-Restricted MYP'!E50</f>
        <v>1489457</v>
      </c>
      <c r="C62" s="1574">
        <f>'Budget-Restricted MYP'!F50</f>
        <v>2078650</v>
      </c>
      <c r="D62" s="1574">
        <f>'Budget-Restricted MYP'!H50</f>
        <v>2403949</v>
      </c>
      <c r="E62" s="1574">
        <f>'Budget-Restricted MYP'!J50</f>
        <v>2636323</v>
      </c>
    </row>
    <row r="63" spans="1:5">
      <c r="A63" s="1192" t="s">
        <v>402</v>
      </c>
      <c r="B63" s="1574">
        <f>'Budget-Restricted MYP'!E51</f>
        <v>0</v>
      </c>
      <c r="C63" s="1574">
        <f>'Budget-Restricted MYP'!F51</f>
        <v>0</v>
      </c>
      <c r="D63" s="1574">
        <f>'Budget-Restricted MYP'!H51</f>
        <v>0</v>
      </c>
      <c r="E63" s="1574">
        <f>'Budget-Restricted MYP'!J51</f>
        <v>0</v>
      </c>
    </row>
    <row r="64" spans="1:5">
      <c r="A64" s="1192" t="s">
        <v>233</v>
      </c>
      <c r="B64" s="1574">
        <f>B62+B63</f>
        <v>1489457</v>
      </c>
      <c r="C64" s="1574">
        <f>C62+C63</f>
        <v>2078650</v>
      </c>
      <c r="D64" s="1574">
        <f>D62+D63</f>
        <v>2403949</v>
      </c>
      <c r="E64" s="1574">
        <f>E62+E63</f>
        <v>2636323</v>
      </c>
    </row>
    <row r="65" spans="1:5">
      <c r="A65" s="1192" t="s">
        <v>389</v>
      </c>
      <c r="B65" s="1574">
        <f>'Budget-Restricted MYP'!E52</f>
        <v>0</v>
      </c>
      <c r="C65" s="1574">
        <f>'Budget-Restricted MYP'!F52</f>
        <v>0</v>
      </c>
      <c r="D65" s="1574">
        <f>'Budget-Restricted MYP'!H52</f>
        <v>0</v>
      </c>
      <c r="E65" s="1574">
        <f>'Budget-Restricted MYP'!J52</f>
        <v>0</v>
      </c>
    </row>
    <row r="66" spans="1:5">
      <c r="A66" s="1192" t="s">
        <v>390</v>
      </c>
      <c r="B66" s="1574">
        <f>'Budget-Restricted MYP'!E54</f>
        <v>0</v>
      </c>
      <c r="C66" s="1574">
        <f>'Budget-Restricted MYP'!F54</f>
        <v>0</v>
      </c>
      <c r="D66" s="1574">
        <f>'Budget-Restricted MYP'!H54</f>
        <v>0</v>
      </c>
      <c r="E66" s="1574">
        <f>'Budget-Restricted MYP'!J54</f>
        <v>0</v>
      </c>
    </row>
    <row r="67" spans="1:5">
      <c r="A67" s="1192" t="s">
        <v>281</v>
      </c>
      <c r="B67" s="1574">
        <f>'Budget-Restricted MYP'!E55</f>
        <v>1489457</v>
      </c>
      <c r="C67" s="1574">
        <f>'Budget-Restricted MYP'!F55</f>
        <v>0</v>
      </c>
      <c r="D67" s="1574">
        <f>'Budget-Restricted MYP'!H55</f>
        <v>0</v>
      </c>
      <c r="E67" s="1574">
        <f>'Budget-Restricted MYP'!J55</f>
        <v>0</v>
      </c>
    </row>
    <row r="68" spans="1:5">
      <c r="A68" s="1192" t="s">
        <v>391</v>
      </c>
      <c r="B68" s="1574">
        <f>'Budget-Restricted MYP'!E56</f>
        <v>2078650</v>
      </c>
      <c r="C68" s="1574">
        <f>'Budget-Restricted MYP'!F56</f>
        <v>2403949</v>
      </c>
      <c r="D68" s="1574">
        <f>'Budget-Restricted MYP'!H56</f>
        <v>2636323</v>
      </c>
      <c r="E68" s="1574">
        <f>'Budget-Restricted MYP'!J56</f>
        <v>2821048</v>
      </c>
    </row>
    <row r="69" spans="1:5">
      <c r="B69" s="1574"/>
      <c r="C69" s="1574"/>
      <c r="D69" s="1574"/>
      <c r="E69" s="1574"/>
    </row>
    <row r="70" spans="1:5">
      <c r="A70" s="1192" t="s">
        <v>385</v>
      </c>
      <c r="B70" s="1574">
        <f>'Budget-Unrestricted MYP'!E13</f>
        <v>4337624</v>
      </c>
      <c r="C70" s="1574">
        <f>'Budget-Unrestricted MYP'!F13</f>
        <v>4666685</v>
      </c>
      <c r="D70" s="1574">
        <f>'Budget-Unrestricted MYP'!H13</f>
        <v>5103996</v>
      </c>
      <c r="E70" s="1574">
        <f>'Budget-Unrestricted MYP'!J13</f>
        <v>5437481</v>
      </c>
    </row>
    <row r="71" spans="1:5">
      <c r="A71" s="1192" t="s">
        <v>404</v>
      </c>
      <c r="B71" s="1574">
        <f>'Budget-Unrestricted MYP'!E14</f>
        <v>1910851</v>
      </c>
      <c r="C71" s="1574">
        <f>'Budget-Unrestricted MYP'!F14</f>
        <v>1916629</v>
      </c>
      <c r="D71" s="1574">
        <f>'Budget-Unrestricted MYP'!H14</f>
        <v>1972785</v>
      </c>
      <c r="E71" s="1574">
        <f>'Budget-Unrestricted MYP'!J14</f>
        <v>2033547</v>
      </c>
    </row>
    <row r="72" spans="1:5">
      <c r="A72" s="1192" t="s">
        <v>387</v>
      </c>
      <c r="B72" s="1574">
        <f>'Budget-Unrestricted MYP'!E15</f>
        <v>4192</v>
      </c>
      <c r="C72" s="1574">
        <f>'Budget-Unrestricted MYP'!F15</f>
        <v>0</v>
      </c>
      <c r="D72" s="1574">
        <f>'Budget-Unrestricted MYP'!H15</f>
        <v>0</v>
      </c>
      <c r="E72" s="1574">
        <f>'Budget-Unrestricted MYP'!J15</f>
        <v>0</v>
      </c>
    </row>
    <row r="73" spans="1:5">
      <c r="A73" s="1192" t="s">
        <v>386</v>
      </c>
      <c r="B73" s="1574">
        <f>'Budget-Unrestricted MYP'!E16</f>
        <v>219605</v>
      </c>
      <c r="C73" s="1574">
        <f>'Budget-Unrestricted MYP'!F16</f>
        <v>206686</v>
      </c>
      <c r="D73" s="1574">
        <f>'Budget-Unrestricted MYP'!H16</f>
        <v>206686</v>
      </c>
      <c r="E73" s="1574">
        <f>'Budget-Unrestricted MYP'!J16</f>
        <v>206686</v>
      </c>
    </row>
    <row r="74" spans="1:5">
      <c r="B74" s="1578"/>
      <c r="C74" s="1578"/>
      <c r="D74" s="1578"/>
      <c r="E74" s="1578"/>
    </row>
    <row r="75" spans="1:5">
      <c r="A75" s="1192" t="s">
        <v>459</v>
      </c>
      <c r="B75" s="1587">
        <f>'Budget-Summary MYP'!E74</f>
        <v>0.04</v>
      </c>
      <c r="C75" s="1587">
        <f>'Budget-Summary MYP'!F74</f>
        <v>0.04</v>
      </c>
      <c r="D75" s="1587">
        <f>'Budget-Summary MYP'!H74</f>
        <v>0.04</v>
      </c>
      <c r="E75" s="1587">
        <f>'Budget-Summary MYP'!J74</f>
        <v>0.04</v>
      </c>
    </row>
    <row r="76" spans="1:5">
      <c r="A76" s="1192" t="s">
        <v>475</v>
      </c>
      <c r="B76" s="1587" t="str">
        <f>IF('Budget-Summary MYP'!E75="","",'Budget-Summary MYP'!E75)</f>
        <v/>
      </c>
      <c r="C76" s="1587" t="str">
        <f>IF('Budget-Summary MYP'!F75="","",'Budget-Summary MYP'!F75)</f>
        <v/>
      </c>
      <c r="D76" s="1587" t="str">
        <f>IF('Budget-Summary MYP'!G75="","",'Budget-Summary MYP'!G75)</f>
        <v/>
      </c>
      <c r="E76" s="1587" t="str">
        <f>IF('Budget-Summary MYP'!H75="","",'Budget-Summary MYP'!H75)</f>
        <v/>
      </c>
    </row>
    <row r="77" spans="1:5">
      <c r="A77" s="1192" t="s">
        <v>418</v>
      </c>
      <c r="B77" s="1582">
        <f>'Budget-Summary MYP'!E72</f>
        <v>0.24135072281791789</v>
      </c>
      <c r="C77" s="1582">
        <f>'Budget-Summary MYP'!F72</f>
        <v>0.1959865329017586</v>
      </c>
      <c r="D77" s="1582">
        <f>'Budget-Summary MYP'!H72</f>
        <v>0.17086624650685747</v>
      </c>
      <c r="E77" s="1582">
        <f>'Budget-Summary MYP'!J72</f>
        <v>0.16188359718806641</v>
      </c>
    </row>
    <row r="78" spans="1:5">
      <c r="A78" s="1192" t="s">
        <v>413</v>
      </c>
      <c r="B78" s="1582">
        <f>'Budget-Summary MYP'!E82</f>
        <v>0.08</v>
      </c>
      <c r="C78" s="1582">
        <f>'Budget-Summary MYP'!F82</f>
        <v>6.5000000000000002E-2</v>
      </c>
      <c r="D78" s="1582">
        <f>'Budget-Summary MYP'!H82</f>
        <v>5.7000000000000002E-2</v>
      </c>
      <c r="E78" s="1582">
        <f>'Budget-Summary MYP'!J82</f>
        <v>5.3999999999999999E-2</v>
      </c>
    </row>
    <row r="79" spans="1:5">
      <c r="A79" s="1192" t="s">
        <v>419</v>
      </c>
      <c r="B79" s="1582">
        <f>'Budget-Summary MYP'!E81</f>
        <v>0.08</v>
      </c>
      <c r="C79" s="1582">
        <f>'Budget-Summary MYP'!F81</f>
        <v>8.4000000000000005E-2</v>
      </c>
      <c r="D79" s="1582">
        <f>'Budget-Summary MYP'!H81</f>
        <v>0.03</v>
      </c>
      <c r="E79" s="1582">
        <f>'Budget-Summary MYP'!J81</f>
        <v>5.0000000000000001E-3</v>
      </c>
    </row>
    <row r="80" spans="1:5">
      <c r="B80" s="1582"/>
      <c r="C80" s="1582"/>
      <c r="D80" s="1582"/>
      <c r="E80" s="1582"/>
    </row>
    <row r="81" spans="1:5">
      <c r="A81" s="1192" t="s">
        <v>427</v>
      </c>
      <c r="B81" s="1586">
        <f>'Budget-Unrestricted MYP'!E26+'Budget-Unrestricted MYP'!E43</f>
        <v>6512441.0499999998</v>
      </c>
      <c r="C81" s="1586">
        <f>'Budget-Unrestricted MYP'!F26+'Budget-Unrestricted MYP'!F43</f>
        <v>6929592.1447099997</v>
      </c>
      <c r="D81" s="1586">
        <f>'Budget-Unrestricted MYP'!H26+'Budget-Unrestricted MYP'!H43</f>
        <v>7557405.1447099997</v>
      </c>
      <c r="E81" s="1586">
        <f>'Budget-Unrestricted MYP'!J26+'Budget-Unrestricted MYP'!J43</f>
        <v>7951652.1447099997</v>
      </c>
    </row>
    <row r="82" spans="1:5">
      <c r="A82" s="1192" t="s">
        <v>428</v>
      </c>
      <c r="B82" s="1574">
        <f>'Budget-Unrestricted MYP'!E38+'Budget-Unrestricted MYP'!E44</f>
        <v>7080818</v>
      </c>
      <c r="C82" s="1574">
        <f>'Budget-Unrestricted MYP'!F38+'Budget-Unrestricted MYP'!F44</f>
        <v>7561392</v>
      </c>
      <c r="D82" s="1574">
        <f>'Budget-Unrestricted MYP'!H38+'Budget-Unrestricted MYP'!H44</f>
        <v>7787378</v>
      </c>
      <c r="E82" s="1574">
        <f>'Budget-Unrestricted MYP'!J38+'Budget-Unrestricted MYP'!J44</f>
        <v>7995394</v>
      </c>
    </row>
    <row r="83" spans="1:5">
      <c r="B83" s="1574"/>
      <c r="C83" s="1574"/>
      <c r="D83" s="1574"/>
      <c r="E83" s="1574"/>
    </row>
    <row r="84" spans="1:5">
      <c r="A84" s="1192" t="s">
        <v>429</v>
      </c>
      <c r="B84" s="1574">
        <f>'Budget-Restricted MYP'!E26+'Budget-Restricted MYP'!E43</f>
        <v>3788419.3783</v>
      </c>
      <c r="C84" s="1574">
        <f>'Budget-Restricted MYP'!F26+'Budget-Restricted MYP'!F43</f>
        <v>2199740.4155600001</v>
      </c>
      <c r="D84" s="1574">
        <f>'Budget-Restricted MYP'!H26+'Budget-Restricted MYP'!H43</f>
        <v>1922136.0705600001</v>
      </c>
      <c r="E84" s="1574">
        <f>'Budget-Restricted MYP'!J26+'Budget-Restricted MYP'!J43</f>
        <v>1922136.0705600001</v>
      </c>
    </row>
    <row r="85" spans="1:5">
      <c r="A85" s="1192" t="s">
        <v>430</v>
      </c>
      <c r="B85" s="1574">
        <f>'Budget-Restricted MYP'!E38+'Budget-Restricted MYP'!E44</f>
        <v>3199226</v>
      </c>
      <c r="C85" s="1574">
        <f>'Budget-Restricted MYP'!F38+'Budget-Restricted MYP'!F44</f>
        <v>1874441</v>
      </c>
      <c r="D85" s="1574">
        <f>'Budget-Restricted MYP'!H38+'Budget-Restricted MYP'!H44</f>
        <v>1689762</v>
      </c>
      <c r="E85" s="1574">
        <f>'Budget-Restricted MYP'!J38+'Budget-Restricted MYP'!J44</f>
        <v>1737411</v>
      </c>
    </row>
    <row r="86" spans="1:5">
      <c r="B86" s="1579"/>
      <c r="C86" s="1579"/>
      <c r="D86" s="1579"/>
      <c r="E86" s="1579"/>
    </row>
    <row r="87" spans="1:5">
      <c r="A87" s="1192" t="s">
        <v>431</v>
      </c>
      <c r="B87" s="1595">
        <f>'Budget-Restricted MYP'!E150</f>
        <v>0</v>
      </c>
      <c r="C87" s="1595">
        <f>'Budget-Restricted MYP'!F150</f>
        <v>0</v>
      </c>
      <c r="D87" s="1595">
        <f>'Budget-Restricted MYP'!H150</f>
        <v>0</v>
      </c>
      <c r="E87" s="1595">
        <f>'Budget-Restricted MYP'!J150</f>
        <v>0</v>
      </c>
    </row>
    <row r="88" spans="1:5">
      <c r="A88" s="1192" t="s">
        <v>437</v>
      </c>
      <c r="C88" s="1192" t="str">
        <f>T('Budget-Restricted MYP'!E151:K151)</f>
        <v/>
      </c>
    </row>
    <row r="89" spans="1:5">
      <c r="A89" s="1192" t="s">
        <v>433</v>
      </c>
      <c r="B89" s="1574">
        <f>'Budget-Restricted MYP'!E152</f>
        <v>0</v>
      </c>
      <c r="C89" s="1574">
        <f>'Budget-Restricted MYP'!F152</f>
        <v>0</v>
      </c>
      <c r="D89" s="1574">
        <f>'Budget-Restricted MYP'!H152</f>
        <v>0</v>
      </c>
      <c r="E89" s="1574">
        <f>'Budget-Restricted MYP'!J152</f>
        <v>0</v>
      </c>
    </row>
    <row r="90" spans="1:5">
      <c r="A90" s="1192" t="s">
        <v>434</v>
      </c>
      <c r="B90" s="1574">
        <f>'Budget-Restricted MYP'!E153</f>
        <v>0</v>
      </c>
      <c r="C90" s="1574">
        <f>'Budget-Restricted MYP'!F153</f>
        <v>0</v>
      </c>
      <c r="D90" s="1574">
        <f>'Budget-Restricted MYP'!H153</f>
        <v>0</v>
      </c>
      <c r="E90" s="1574">
        <f>'Budget-Restricted MYP'!J153</f>
        <v>0</v>
      </c>
    </row>
    <row r="91" spans="1:5">
      <c r="A91" s="1192" t="s">
        <v>432</v>
      </c>
      <c r="B91" s="1579">
        <f>'Budget-Restricted MYP'!E154</f>
        <v>0</v>
      </c>
      <c r="C91" s="1579">
        <f>'Budget-Restricted MYP'!F154</f>
        <v>0</v>
      </c>
      <c r="D91" s="1579">
        <f>'Budget-Restricted MYP'!H154</f>
        <v>0</v>
      </c>
      <c r="E91" s="1579">
        <f>'Budget-Restricted MYP'!J154</f>
        <v>0</v>
      </c>
    </row>
    <row r="92" spans="1:5">
      <c r="A92" s="1192" t="s">
        <v>435</v>
      </c>
      <c r="B92" s="1579">
        <f>'Budget-Restricted MYP'!E155</f>
        <v>0</v>
      </c>
      <c r="C92" s="1579">
        <f>'Budget-Restricted MYP'!F155</f>
        <v>0</v>
      </c>
      <c r="D92" s="1579">
        <f>'Budget-Restricted MYP'!H155</f>
        <v>0</v>
      </c>
      <c r="E92" s="1579">
        <f>'Budget-Restricted MYP'!J155</f>
        <v>0</v>
      </c>
    </row>
    <row r="93" spans="1:5">
      <c r="A93" s="1192" t="s">
        <v>436</v>
      </c>
      <c r="B93" s="1579">
        <f>'Budget-Restricted MYP'!E156</f>
        <v>0</v>
      </c>
      <c r="C93" s="1579">
        <f>'Budget-Restricted MYP'!F156</f>
        <v>0</v>
      </c>
      <c r="D93" s="1579">
        <f>'Budget-Restricted MYP'!H156</f>
        <v>0</v>
      </c>
      <c r="E93" s="1579">
        <f>'Budget-Restricted MYP'!J156</f>
        <v>0</v>
      </c>
    </row>
    <row r="94" spans="1:5">
      <c r="B94" s="1579"/>
      <c r="C94" s="1579"/>
      <c r="D94" s="1579"/>
      <c r="E94" s="1579"/>
    </row>
    <row r="95" spans="1:5">
      <c r="A95" s="1192" t="s">
        <v>441</v>
      </c>
      <c r="B95" s="1579"/>
      <c r="C95" s="1579"/>
      <c r="D95" s="1579"/>
      <c r="E95" s="1579"/>
    </row>
    <row r="96" spans="1:5">
      <c r="A96" s="1192" t="s">
        <v>4</v>
      </c>
      <c r="B96" s="1574">
        <f>'Budget-Unrestricted MYP'!E29</f>
        <v>1035762</v>
      </c>
      <c r="C96" s="1574">
        <f>'Budget-Unrestricted MYP'!F29</f>
        <v>2029977</v>
      </c>
      <c r="D96" s="1574">
        <f>'Budget-Unrestricted MYP'!H29</f>
        <v>2244681</v>
      </c>
      <c r="E96" s="1574">
        <f>'Budget-Unrestricted MYP'!J29</f>
        <v>2309803</v>
      </c>
    </row>
    <row r="97" spans="1:5">
      <c r="A97" s="1192" t="s">
        <v>23</v>
      </c>
      <c r="B97" s="1574">
        <f>'Budget-Unrestricted MYP'!E30</f>
        <v>1228331</v>
      </c>
      <c r="C97" s="1574">
        <f>'Budget-Unrestricted MYP'!F30</f>
        <v>1057248</v>
      </c>
      <c r="D97" s="1574">
        <f>'Budget-Unrestricted MYP'!H30</f>
        <v>1055531</v>
      </c>
      <c r="E97" s="1574">
        <f>'Budget-Unrestricted MYP'!J30</f>
        <v>1087182</v>
      </c>
    </row>
    <row r="98" spans="1:5">
      <c r="A98" s="1192" t="s">
        <v>24</v>
      </c>
      <c r="B98" s="1574">
        <f>'Budget-Unrestricted MYP'!E31</f>
        <v>1451838</v>
      </c>
      <c r="C98" s="1574">
        <f>'Budget-Unrestricted MYP'!F31</f>
        <v>1182999</v>
      </c>
      <c r="D98" s="1574">
        <f>'Budget-Unrestricted MYP'!H31</f>
        <v>1218505</v>
      </c>
      <c r="E98" s="1574">
        <f>'Budget-Unrestricted MYP'!J31</f>
        <v>1279012</v>
      </c>
    </row>
    <row r="99" spans="1:5">
      <c r="A99" s="1192" t="s">
        <v>25</v>
      </c>
      <c r="B99" s="1574">
        <f>'Budget-Unrestricted MYP'!E32</f>
        <v>264439</v>
      </c>
      <c r="C99" s="1574">
        <f>'Budget-Unrestricted MYP'!F32</f>
        <v>299341</v>
      </c>
      <c r="D99" s="1574">
        <f>'Budget-Unrestricted MYP'!H32</f>
        <v>308323</v>
      </c>
      <c r="E99" s="1574">
        <f>'Budget-Unrestricted MYP'!J32</f>
        <v>317573</v>
      </c>
    </row>
    <row r="100" spans="1:5">
      <c r="A100" s="1192" t="s">
        <v>26</v>
      </c>
      <c r="B100" s="1574">
        <f>'Budget-Unrestricted MYP'!E33</f>
        <v>3100448</v>
      </c>
      <c r="C100" s="1574">
        <f>'Budget-Unrestricted MYP'!F33</f>
        <v>2991827</v>
      </c>
      <c r="D100" s="1574">
        <f>'Budget-Unrestricted MYP'!H33</f>
        <v>2960338</v>
      </c>
      <c r="E100" s="1574">
        <f>'Budget-Unrestricted MYP'!J33</f>
        <v>3001824</v>
      </c>
    </row>
    <row r="101" spans="1:5">
      <c r="A101" s="1192" t="s">
        <v>508</v>
      </c>
      <c r="B101" s="1574">
        <f>'Budget-Unrestricted MYP'!E34</f>
        <v>0</v>
      </c>
      <c r="C101" s="1574">
        <f>'Budget-Unrestricted MYP'!F34</f>
        <v>0</v>
      </c>
      <c r="D101" s="1574">
        <f>'Budget-Unrestricted MYP'!H34</f>
        <v>0</v>
      </c>
      <c r="E101" s="1574">
        <f>'Budget-Unrestricted MYP'!J34</f>
        <v>0</v>
      </c>
    </row>
    <row r="102" spans="1:5">
      <c r="A102" s="1192" t="s">
        <v>507</v>
      </c>
      <c r="B102" s="1574">
        <f>'Budget-Unrestricted MYP'!E35</f>
        <v>0</v>
      </c>
      <c r="C102" s="1574">
        <f>'Budget-Unrestricted MYP'!F35</f>
        <v>0</v>
      </c>
      <c r="D102" s="1574">
        <f>'Budget-Unrestricted MYP'!H35</f>
        <v>0</v>
      </c>
      <c r="E102" s="1574">
        <f>'Budget-Unrestricted MYP'!J35</f>
        <v>0</v>
      </c>
    </row>
    <row r="103" spans="1:5">
      <c r="A103" s="1192" t="s">
        <v>27</v>
      </c>
      <c r="B103" s="1574">
        <f>'Budget-Unrestricted MYP'!E36</f>
        <v>0</v>
      </c>
      <c r="C103" s="1574">
        <f>'Budget-Unrestricted MYP'!F36</f>
        <v>0</v>
      </c>
      <c r="D103" s="1574">
        <f>'Budget-Unrestricted MYP'!H36</f>
        <v>0</v>
      </c>
      <c r="E103" s="1574">
        <f>'Budget-Unrestricted MYP'!J36</f>
        <v>0</v>
      </c>
    </row>
    <row r="104" spans="1:5">
      <c r="A104" s="1192" t="s">
        <v>146</v>
      </c>
      <c r="B104" s="1574">
        <f>'Budget-Unrestricted MYP'!E37</f>
        <v>0</v>
      </c>
      <c r="C104" s="1574">
        <f>'Budget-Unrestricted MYP'!F37</f>
        <v>0</v>
      </c>
      <c r="D104" s="1574">
        <f>'Budget-Unrestricted MYP'!H37</f>
        <v>0</v>
      </c>
      <c r="E104" s="1574">
        <f>'Budget-Unrestricted MYP'!J37</f>
        <v>0</v>
      </c>
    </row>
    <row r="105" spans="1:5">
      <c r="A105" s="1192" t="s">
        <v>442</v>
      </c>
      <c r="B105" s="1574">
        <f>'Budget-Unrestricted MYP'!E38</f>
        <v>7080818</v>
      </c>
      <c r="C105" s="1574">
        <f>'Budget-Unrestricted MYP'!F38</f>
        <v>7561392</v>
      </c>
      <c r="D105" s="1574">
        <f>'Budget-Unrestricted MYP'!H38</f>
        <v>7787378</v>
      </c>
      <c r="E105" s="1574">
        <f>'Budget-Unrestricted MYP'!J38</f>
        <v>7995394</v>
      </c>
    </row>
    <row r="106" spans="1:5">
      <c r="B106" s="1574"/>
      <c r="C106" s="1574"/>
      <c r="D106" s="1574"/>
      <c r="E106" s="1574"/>
    </row>
    <row r="107" spans="1:5">
      <c r="A107" s="1192" t="s">
        <v>443</v>
      </c>
      <c r="B107" s="1574"/>
      <c r="C107" s="1574"/>
      <c r="D107" s="1574"/>
      <c r="E107" s="1574"/>
    </row>
    <row r="108" spans="1:5">
      <c r="A108" s="1192" t="s">
        <v>4</v>
      </c>
      <c r="B108" s="1574">
        <f>'Budget-Restricted MYP'!E29</f>
        <v>1772225</v>
      </c>
      <c r="C108" s="1574">
        <f>'Budget-Restricted MYP'!F29</f>
        <v>523222</v>
      </c>
      <c r="D108" s="1574">
        <f>'Budget-Restricted MYP'!H29</f>
        <v>308518</v>
      </c>
      <c r="E108" s="1574">
        <f>'Budget-Restricted MYP'!J29</f>
        <v>317774</v>
      </c>
    </row>
    <row r="109" spans="1:5">
      <c r="A109" s="1192" t="s">
        <v>23</v>
      </c>
      <c r="B109" s="1574">
        <f>'Budget-Restricted MYP'!E30</f>
        <v>198435</v>
      </c>
      <c r="C109" s="1574">
        <f>'Budget-Restricted MYP'!F30</f>
        <v>136232</v>
      </c>
      <c r="D109" s="1574">
        <f>'Budget-Restricted MYP'!H30</f>
        <v>136232</v>
      </c>
      <c r="E109" s="1574">
        <f>'Budget-Restricted MYP'!J30</f>
        <v>141800</v>
      </c>
    </row>
    <row r="110" spans="1:5">
      <c r="A110" s="1192" t="s">
        <v>24</v>
      </c>
      <c r="B110" s="1574">
        <f>'Budget-Restricted MYP'!E31</f>
        <v>109209</v>
      </c>
      <c r="C110" s="1574">
        <f>'Budget-Restricted MYP'!F31</f>
        <v>117111</v>
      </c>
      <c r="D110" s="1574">
        <f>'Budget-Restricted MYP'!H31</f>
        <v>121889</v>
      </c>
      <c r="E110" s="1574">
        <f>'Budget-Restricted MYP'!J31</f>
        <v>128865</v>
      </c>
    </row>
    <row r="111" spans="1:5">
      <c r="A111" s="1192" t="s">
        <v>25</v>
      </c>
      <c r="B111" s="1574">
        <f>'Budget-Restricted MYP'!E32</f>
        <v>357561</v>
      </c>
      <c r="C111" s="1574">
        <f>'Budget-Restricted MYP'!F32</f>
        <v>328859</v>
      </c>
      <c r="D111" s="1574">
        <f>'Budget-Restricted MYP'!H32</f>
        <v>338725</v>
      </c>
      <c r="E111" s="1574">
        <f>'Budget-Restricted MYP'!J32</f>
        <v>348887</v>
      </c>
    </row>
    <row r="112" spans="1:5">
      <c r="A112" s="1192" t="s">
        <v>26</v>
      </c>
      <c r="B112" s="1574">
        <f>'Budget-Restricted MYP'!E33</f>
        <v>761796</v>
      </c>
      <c r="C112" s="1574">
        <f>'Budget-Restricted MYP'!F33</f>
        <v>769017</v>
      </c>
      <c r="D112" s="1574">
        <f>'Budget-Restricted MYP'!H33</f>
        <v>784398</v>
      </c>
      <c r="E112" s="1574">
        <f>'Budget-Restricted MYP'!J33</f>
        <v>800085</v>
      </c>
    </row>
    <row r="113" spans="1:5">
      <c r="A113" s="1192" t="s">
        <v>508</v>
      </c>
      <c r="B113" s="1574">
        <f>'Budget-Restricted MYP'!E34</f>
        <v>0</v>
      </c>
      <c r="C113" s="1574">
        <f>'Budget-Restricted MYP'!F34</f>
        <v>0</v>
      </c>
      <c r="D113" s="1574">
        <f>'Budget-Restricted MYP'!H34</f>
        <v>0</v>
      </c>
      <c r="E113" s="1574">
        <f>'Budget-Restricted MYP'!J34</f>
        <v>0</v>
      </c>
    </row>
    <row r="114" spans="1:5">
      <c r="A114" s="1192" t="s">
        <v>507</v>
      </c>
      <c r="B114" s="1574">
        <f>'Budget-Restricted MYP'!E35</f>
        <v>0</v>
      </c>
      <c r="C114" s="1574">
        <f>'Budget-Restricted MYP'!F35</f>
        <v>0</v>
      </c>
      <c r="D114" s="1574">
        <f>'Budget-Restricted MYP'!H35</f>
        <v>0</v>
      </c>
      <c r="E114" s="1574">
        <f>'Budget-Restricted MYP'!J35</f>
        <v>0</v>
      </c>
    </row>
    <row r="115" spans="1:5">
      <c r="A115" s="1192" t="s">
        <v>27</v>
      </c>
      <c r="B115" s="1574">
        <f>'Budget-Restricted MYP'!E36</f>
        <v>0</v>
      </c>
      <c r="C115" s="1574">
        <f>'Budget-Restricted MYP'!F36</f>
        <v>0</v>
      </c>
      <c r="D115" s="1574">
        <f>'Budget-Restricted MYP'!H36</f>
        <v>0</v>
      </c>
      <c r="E115" s="1574">
        <f>'Budget-Restricted MYP'!J36</f>
        <v>0</v>
      </c>
    </row>
    <row r="116" spans="1:5">
      <c r="A116" s="1192" t="s">
        <v>146</v>
      </c>
      <c r="B116" s="1574">
        <f>'Budget-Restricted MYP'!E37</f>
        <v>0</v>
      </c>
      <c r="C116" s="1574">
        <f>'Budget-Restricted MYP'!F37</f>
        <v>0</v>
      </c>
      <c r="D116" s="1574">
        <f>'Budget-Restricted MYP'!H37</f>
        <v>0</v>
      </c>
      <c r="E116" s="1574">
        <f>'Budget-Restricted MYP'!J37</f>
        <v>0</v>
      </c>
    </row>
    <row r="117" spans="1:5">
      <c r="A117" s="1192" t="s">
        <v>442</v>
      </c>
      <c r="B117" s="1574">
        <f>'Budget-Restricted MYP'!E38</f>
        <v>3199226</v>
      </c>
      <c r="C117" s="1574">
        <f>'Budget-Restricted MYP'!F38</f>
        <v>1874441</v>
      </c>
      <c r="D117" s="1574">
        <f>'Budget-Restricted MYP'!H38</f>
        <v>1689762</v>
      </c>
      <c r="E117" s="1574">
        <f>'Budget-Restricted MYP'!J38</f>
        <v>1737411</v>
      </c>
    </row>
    <row r="118" spans="1:5">
      <c r="B118" s="1574"/>
      <c r="C118" s="1574"/>
      <c r="D118" s="1574"/>
      <c r="E118" s="1574"/>
    </row>
    <row r="119" spans="1:5">
      <c r="A119" s="1192" t="s">
        <v>336</v>
      </c>
      <c r="B119" s="1574"/>
      <c r="C119" s="1574">
        <f>'Budget-Assumptions'!G73</f>
        <v>1020194</v>
      </c>
      <c r="D119" s="1574">
        <f>'Budget-Assumptions'!H73</f>
        <v>1050800</v>
      </c>
      <c r="E119" s="1574">
        <f>'Budget-Assumptions'!J73</f>
        <v>1082324</v>
      </c>
    </row>
    <row r="120" spans="1:5">
      <c r="A120" s="1192" t="s">
        <v>337</v>
      </c>
      <c r="B120" s="1574"/>
      <c r="C120" s="1574">
        <f>'Budget-Assumptions'!G74</f>
        <v>0</v>
      </c>
      <c r="D120" s="1574">
        <f>'Budget-Assumptions'!H74</f>
        <v>0</v>
      </c>
      <c r="E120" s="1574">
        <f>'Budget-Assumptions'!J74</f>
        <v>0</v>
      </c>
    </row>
    <row r="121" spans="1:5">
      <c r="A121" s="1192" t="s">
        <v>338</v>
      </c>
      <c r="B121" s="1574"/>
      <c r="C121" s="1574">
        <f>'Budget-Assumptions'!G75</f>
        <v>0</v>
      </c>
      <c r="D121" s="1574">
        <f>'Budget-Assumptions'!H75</f>
        <v>0</v>
      </c>
      <c r="E121" s="1574">
        <f>'Budget-Assumptions'!J75</f>
        <v>0</v>
      </c>
    </row>
    <row r="122" spans="1:5">
      <c r="A122" s="1192" t="s">
        <v>158</v>
      </c>
      <c r="B122" s="1574"/>
      <c r="C122" s="1574">
        <f>'Budget-Assumptions'!G76</f>
        <v>0</v>
      </c>
      <c r="D122" s="1574">
        <f>'Budget-Assumptions'!H76</f>
        <v>0</v>
      </c>
      <c r="E122" s="1574">
        <f>'Budget-Assumptions'!J76</f>
        <v>0</v>
      </c>
    </row>
    <row r="123" spans="1:5">
      <c r="C123" s="1579"/>
      <c r="D123" s="1579"/>
      <c r="E123" s="1579"/>
    </row>
    <row r="124" spans="1:5">
      <c r="A124" s="1192" t="s">
        <v>41</v>
      </c>
      <c r="C124" s="1579">
        <f>'Budget-Assumptions'!G82</f>
        <v>67900</v>
      </c>
      <c r="D124" s="1579">
        <f>'Budget-Assumptions'!H82</f>
        <v>72834.67</v>
      </c>
      <c r="E124" s="1579">
        <f>'Budget-Assumptions'!J82</f>
        <v>76777.14</v>
      </c>
    </row>
    <row r="125" spans="1:5">
      <c r="A125" s="1192" t="s">
        <v>232</v>
      </c>
      <c r="C125" s="1574">
        <f>'Budget-Assumptions'!G83</f>
        <v>0</v>
      </c>
      <c r="D125" s="1574">
        <f>'Budget-Assumptions'!H83</f>
        <v>0</v>
      </c>
      <c r="E125" s="1574">
        <f>'Budget-Assumptions'!J83</f>
        <v>0</v>
      </c>
    </row>
    <row r="126" spans="1:5">
      <c r="A126" s="1192" t="s">
        <v>500</v>
      </c>
      <c r="C126" s="1579">
        <f>'Budget-Assumptions'!G84</f>
        <v>0</v>
      </c>
      <c r="D126" s="1579">
        <f>'Budget-Assumptions'!H84</f>
        <v>0</v>
      </c>
      <c r="E126" s="1579">
        <f>'Budget-Assumptions'!J84</f>
        <v>0</v>
      </c>
    </row>
    <row r="127" spans="1:5">
      <c r="C127" s="1579"/>
      <c r="D127" s="1579"/>
      <c r="E127" s="1579"/>
    </row>
    <row r="128" spans="1:5">
      <c r="A128" s="1192" t="s">
        <v>474</v>
      </c>
      <c r="C128" s="1579"/>
      <c r="D128" s="1579"/>
      <c r="E128" s="1579"/>
    </row>
    <row r="129" spans="1:5">
      <c r="A129" s="1192" t="str">
        <f>T('Budget-DEBT'!A15)</f>
        <v>State School Building Loans</v>
      </c>
      <c r="C129" s="1579">
        <f>'Budget-DEBT'!E15+'Budget-DEBT'!F15</f>
        <v>0</v>
      </c>
      <c r="D129" s="1579">
        <f>'Budget-DEBT'!G15+'Budget-DEBT'!H15</f>
        <v>0</v>
      </c>
      <c r="E129" s="1579">
        <f>'Budget-DEBT'!I15+'Budget-DEBT'!J15</f>
        <v>0</v>
      </c>
    </row>
    <row r="130" spans="1:5">
      <c r="A130" s="1192" t="str">
        <f>T('Budget-DEBT'!A16)</f>
        <v>Charter School Start-up Loans</v>
      </c>
      <c r="C130" s="1574">
        <f>'Budget-DEBT'!E16+'Budget-DEBT'!F16</f>
        <v>0</v>
      </c>
      <c r="D130" s="1574">
        <f>'Budget-DEBT'!G16+'Budget-DEBT'!H16</f>
        <v>0</v>
      </c>
      <c r="E130" s="1574">
        <f>'Budget-DEBT'!I16+'Budget-DEBT'!J16</f>
        <v>0</v>
      </c>
    </row>
    <row r="131" spans="1:5">
      <c r="A131" s="1192" t="str">
        <f>T('Budget-DEBT'!A17)</f>
        <v>Other Post Employment Benefits</v>
      </c>
      <c r="C131" s="1574">
        <f>'Budget-DEBT'!E17+'Budget-DEBT'!F17</f>
        <v>0</v>
      </c>
      <c r="D131" s="1574">
        <f>'Budget-DEBT'!G17+'Budget-DEBT'!H17</f>
        <v>0</v>
      </c>
      <c r="E131" s="1574">
        <f>'Budget-DEBT'!I17+'Budget-DEBT'!J17</f>
        <v>0</v>
      </c>
    </row>
    <row r="132" spans="1:5">
      <c r="A132" s="1192" t="str">
        <f>T('Budget-DEBT'!A18)</f>
        <v>Compensated Absences</v>
      </c>
      <c r="C132" s="1574">
        <f>'Budget-DEBT'!E18+'Budget-DEBT'!F18</f>
        <v>0</v>
      </c>
      <c r="D132" s="1574">
        <f>'Budget-DEBT'!G18+'Budget-DEBT'!H18</f>
        <v>0</v>
      </c>
      <c r="E132" s="1574">
        <f>'Budget-DEBT'!I18+'Budget-DEBT'!J18</f>
        <v>0</v>
      </c>
    </row>
    <row r="133" spans="1:5">
      <c r="A133" s="1192" t="str">
        <f>T('Budget-DEBT'!A19)</f>
        <v>Bank Line of Credit Loans</v>
      </c>
      <c r="C133" s="1574">
        <f>'Budget-DEBT'!E19+'Budget-DEBT'!F19</f>
        <v>0</v>
      </c>
      <c r="D133" s="1574">
        <f>'Budget-DEBT'!G19+'Budget-DEBT'!H19</f>
        <v>0</v>
      </c>
      <c r="E133" s="1574">
        <f>'Budget-DEBT'!I19+'Budget-DEBT'!J19</f>
        <v>0</v>
      </c>
    </row>
    <row r="134" spans="1:5">
      <c r="A134" s="1192" t="str">
        <f>T('Budget-DEBT'!A20)</f>
        <v>Municipal Lease</v>
      </c>
      <c r="C134" s="1574">
        <f>'Budget-DEBT'!E20+'Budget-DEBT'!F20</f>
        <v>0</v>
      </c>
      <c r="D134" s="1574">
        <f>'Budget-DEBT'!G20+'Budget-DEBT'!H20</f>
        <v>0</v>
      </c>
      <c r="E134" s="1574">
        <f>'Budget-DEBT'!I20+'Budget-DEBT'!J20</f>
        <v>0</v>
      </c>
    </row>
    <row r="135" spans="1:5">
      <c r="A135" s="1192" t="str">
        <f>T('Budget-DEBT'!A21)</f>
        <v>Capital Lease</v>
      </c>
      <c r="C135" s="1574">
        <f>'Budget-DEBT'!E21+'Budget-DEBT'!F21</f>
        <v>0</v>
      </c>
      <c r="D135" s="1574">
        <f>'Budget-DEBT'!G21+'Budget-DEBT'!H21</f>
        <v>0</v>
      </c>
      <c r="E135" s="1574">
        <f>'Budget-DEBT'!I21+'Budget-DEBT'!J21</f>
        <v>0</v>
      </c>
    </row>
    <row r="136" spans="1:5">
      <c r="A136" s="1192" t="str">
        <f>T('Budget-DEBT'!A22)</f>
        <v>Capital Lease</v>
      </c>
      <c r="C136" s="1574">
        <f>'Budget-DEBT'!E22+'Budget-DEBT'!F22</f>
        <v>0</v>
      </c>
      <c r="D136" s="1574">
        <f>'Budget-DEBT'!G22+'Budget-DEBT'!H22</f>
        <v>0</v>
      </c>
      <c r="E136" s="1574">
        <f>'Budget-DEBT'!I22+'Budget-DEBT'!J22</f>
        <v>0</v>
      </c>
    </row>
    <row r="137" spans="1:5">
      <c r="A137" s="1192" t="str">
        <f>T('Budget-DEBT'!A23)</f>
        <v>Capital Lease</v>
      </c>
      <c r="C137" s="1574">
        <f>'Budget-DEBT'!E23+'Budget-DEBT'!F23</f>
        <v>0</v>
      </c>
      <c r="D137" s="1574">
        <f>'Budget-DEBT'!G23+'Budget-DEBT'!H23</f>
        <v>0</v>
      </c>
      <c r="E137" s="1574">
        <f>'Budget-DEBT'!I23+'Budget-DEBT'!J23</f>
        <v>0</v>
      </c>
    </row>
    <row r="138" spans="1:5">
      <c r="A138" s="1192" t="str">
        <f>T('Budget-DEBT'!A24)</f>
        <v>Inter-Agency Borrowing</v>
      </c>
      <c r="C138" s="1574">
        <f>'Budget-DEBT'!E24+'Budget-DEBT'!F24</f>
        <v>0</v>
      </c>
      <c r="D138" s="1574">
        <f>'Budget-DEBT'!G24+'Budget-DEBT'!H24</f>
        <v>0</v>
      </c>
      <c r="E138" s="1574">
        <f>'Budget-DEBT'!I24+'Budget-DEBT'!J24</f>
        <v>0</v>
      </c>
    </row>
    <row r="139" spans="1:5">
      <c r="A139" s="1192" t="str">
        <f>T('Budget-DEBT'!A25)</f>
        <v>Other</v>
      </c>
      <c r="C139" s="1574">
        <f>'Budget-DEBT'!E25+'Budget-DEBT'!F25</f>
        <v>0</v>
      </c>
      <c r="D139" s="1574">
        <f>'Budget-DEBT'!G25+'Budget-DEBT'!H25</f>
        <v>0</v>
      </c>
      <c r="E139" s="1574">
        <f>'Budget-DEBT'!I25+'Budget-DEBT'!J25</f>
        <v>0</v>
      </c>
    </row>
    <row r="140" spans="1:5">
      <c r="A140" s="1192" t="str">
        <f>T('Budget-DEBT'!A26)</f>
        <v/>
      </c>
      <c r="C140" s="1578"/>
      <c r="D140" s="1578"/>
      <c r="E140" s="1578"/>
    </row>
    <row r="141" spans="1:5">
      <c r="A141" s="1192" t="s">
        <v>472</v>
      </c>
      <c r="C141" s="1578"/>
      <c r="D141" s="1578"/>
      <c r="E141" s="1578"/>
    </row>
    <row r="142" spans="1:5">
      <c r="A142" s="1192" t="s">
        <v>473</v>
      </c>
      <c r="C142" s="1574">
        <f>'Budget-Cash Flow Year 1'!E6</f>
        <v>1041021</v>
      </c>
      <c r="D142" s="1574">
        <f>'Budget-Cash Flow Year 2'!E6</f>
        <v>82948</v>
      </c>
    </row>
    <row r="143" spans="1:5">
      <c r="A143" s="1192" t="s">
        <v>79</v>
      </c>
      <c r="C143" s="1574">
        <f>'Budget-Cash Flow Year 1'!E66</f>
        <v>994712</v>
      </c>
      <c r="D143" s="1574">
        <f>'Budget-Cash Flow Year 2'!E66</f>
        <v>858906</v>
      </c>
    </row>
    <row r="144" spans="1:5">
      <c r="A144" s="1192" t="s">
        <v>81</v>
      </c>
      <c r="C144" s="1574">
        <f>'Budget-Cash Flow Year 1'!G66</f>
        <v>773142</v>
      </c>
      <c r="D144" s="1574">
        <f>'Budget-Cash Flow Year 2'!G66</f>
        <v>459361</v>
      </c>
    </row>
    <row r="145" spans="1:4">
      <c r="A145" s="1192" t="s">
        <v>83</v>
      </c>
      <c r="C145" s="1579">
        <f>'Budget-Cash Flow Year 1'!I66</f>
        <v>425797</v>
      </c>
      <c r="D145" s="1579">
        <f>'Budget-Cash Flow Year 2'!I66</f>
        <v>122001</v>
      </c>
    </row>
    <row r="146" spans="1:4">
      <c r="A146" s="1192" t="s">
        <v>84</v>
      </c>
      <c r="C146" s="1579">
        <f>'Budget-Cash Flow Year 1'!K66</f>
        <v>504538</v>
      </c>
      <c r="D146" s="1579">
        <f>'Budget-Cash Flow Year 2'!K66</f>
        <v>240196</v>
      </c>
    </row>
    <row r="147" spans="1:4">
      <c r="A147" s="1192" t="s">
        <v>85</v>
      </c>
      <c r="C147" s="1579">
        <f>'Budget-Cash Flow Year 1'!M66</f>
        <v>408254</v>
      </c>
      <c r="D147" s="1579">
        <f>'Budget-Cash Flow Year 2'!M66</f>
        <v>182561</v>
      </c>
    </row>
    <row r="148" spans="1:4">
      <c r="A148" s="1192" t="s">
        <v>86</v>
      </c>
      <c r="C148" s="1579">
        <f>'Budget-Cash Flow Year 1'!O66</f>
        <v>333224</v>
      </c>
      <c r="D148" s="1579">
        <f>'Budget-Cash Flow Year 2'!O66</f>
        <v>146337</v>
      </c>
    </row>
    <row r="149" spans="1:4">
      <c r="A149" s="1192" t="s">
        <v>87</v>
      </c>
      <c r="C149" s="1579">
        <f>'Budget-Cash Flow Year 1'!Q66</f>
        <v>365614</v>
      </c>
      <c r="D149" s="1579">
        <f>'Budget-Cash Flow Year 2'!Q66</f>
        <v>195710</v>
      </c>
    </row>
    <row r="150" spans="1:4">
      <c r="A150" s="1192" t="s">
        <v>88</v>
      </c>
      <c r="C150" s="1579">
        <f>'Budget-Cash Flow Year 1'!S66</f>
        <v>269330</v>
      </c>
      <c r="D150" s="1579">
        <f>'Budget-Cash Flow Year 2'!S66</f>
        <v>138075</v>
      </c>
    </row>
    <row r="151" spans="1:4">
      <c r="A151" s="1192" t="s">
        <v>89</v>
      </c>
      <c r="C151" s="1579">
        <f>'Budget-Cash Flow Year 1'!U66</f>
        <v>194753</v>
      </c>
      <c r="D151" s="1579">
        <f>'Budget-Cash Flow Year 2'!U66</f>
        <v>102845</v>
      </c>
    </row>
    <row r="152" spans="1:4">
      <c r="A152" s="1192" t="s">
        <v>90</v>
      </c>
      <c r="C152" s="1579">
        <f>'Budget-Cash Flow Year 1'!W66</f>
        <v>225076</v>
      </c>
      <c r="D152" s="1579">
        <f>'Budget-Cash Flow Year 2'!W66</f>
        <v>150084</v>
      </c>
    </row>
    <row r="153" spans="1:4">
      <c r="A153" s="1192" t="s">
        <v>91</v>
      </c>
      <c r="C153" s="1579">
        <f>'Budget-Cash Flow Year 1'!Y66</f>
        <v>126725</v>
      </c>
      <c r="D153" s="1579">
        <f>'Budget-Cash Flow Year 2'!Y66</f>
        <v>90315</v>
      </c>
    </row>
    <row r="154" spans="1:4">
      <c r="A154" s="1192" t="s">
        <v>92</v>
      </c>
      <c r="C154" s="1579">
        <f>'Budget-Cash Flow Year 1'!AA66</f>
        <v>82948</v>
      </c>
      <c r="D154" s="1579">
        <f>'Budget-Cash Flow Year 2'!AA66</f>
        <v>86795</v>
      </c>
    </row>
    <row r="155" spans="1:4">
      <c r="A155" s="1192" t="s">
        <v>519</v>
      </c>
      <c r="C155" s="1579">
        <f>'Budget-Cash Flow Year 1'!AC68</f>
        <v>4253245.1947099995</v>
      </c>
      <c r="D155" s="1579">
        <f>'Budget-Cash Flow Year 2'!AC69</f>
        <v>-2621673.5638799993</v>
      </c>
    </row>
    <row r="156" spans="1:4">
      <c r="C156" s="1579"/>
      <c r="D156" s="1579"/>
    </row>
  </sheetData>
  <sheetProtection algorithmName="SHA-512" hashValue="gp6scPPUrvLlVM9IG7PdbTlmUSNYs9GQB+SMevu8nRuV9Q/l0Gsep4SnRpm7+5kW/wBXA4lASCIzANp8LMYAyQ==" saltValue="xF00KuhsIpXjuVjpcRACEw==" spinCount="100000" sheet="1" objects="1" scenarios="1"/>
  <phoneticPr fontId="5" type="noConversion"/>
  <conditionalFormatting sqref="A77">
    <cfRule type="expression" dxfId="237" priority="2" stopIfTrue="1">
      <formula>$E$87=""</formula>
    </cfRule>
  </conditionalFormatting>
  <conditionalFormatting sqref="A78">
    <cfRule type="expression" dxfId="236" priority="1" stopIfTrue="1">
      <formula>$E$87&lt;&gt;0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B29"/>
  <sheetViews>
    <sheetView showGridLines="0" zoomScale="145" zoomScaleNormal="145" workbookViewId="0">
      <selection activeCell="A12" sqref="A12"/>
    </sheetView>
  </sheetViews>
  <sheetFormatPr defaultRowHeight="12.75"/>
  <cols>
    <col min="1" max="1" width="6.1328125" customWidth="1"/>
    <col min="2" max="2" width="86" customWidth="1"/>
  </cols>
  <sheetData>
    <row r="1" spans="1:2" ht="13.15">
      <c r="A1" s="132" t="s">
        <v>42</v>
      </c>
    </row>
    <row r="2" spans="1:2" ht="13.15">
      <c r="A2" s="132" t="s">
        <v>78</v>
      </c>
    </row>
    <row r="3" spans="1:2">
      <c r="A3" s="1555" t="str">
        <f>Instructions!H1</f>
        <v>Form Revised (revision date here if revised)</v>
      </c>
    </row>
    <row r="4" spans="1:2" ht="15">
      <c r="A4" s="1664" t="str">
        <f>IF('INTERIM-CERTIFICATION'!$M$1="","Enter Charter Name on INTERIM - CERTIFICATION Worksheet",'INTERIM-CERTIFICATION'!$M$1)</f>
        <v>Encor Jr./Sr. High School for the Performing and Visual Arts</v>
      </c>
      <c r="B4" s="1664"/>
    </row>
    <row r="5" spans="1:2" ht="15">
      <c r="A5" s="1665" t="str">
        <f>IF('INTERIM-CERTIFICATION'!$M$2="","Enter CDS# on INTERIM - CERTIFICATION Worksheet",'INTERIM-CERTIFICATION'!$M$2)</f>
        <v>35-75044-01166707</v>
      </c>
      <c r="B5" s="1665"/>
    </row>
    <row r="6" spans="1:2" ht="13.15">
      <c r="A6" s="132"/>
    </row>
    <row r="7" spans="1:2" ht="13.15">
      <c r="A7" s="211" t="s">
        <v>265</v>
      </c>
    </row>
    <row r="8" spans="1:2" ht="13.15">
      <c r="A8" s="133" t="s">
        <v>266</v>
      </c>
    </row>
    <row r="9" spans="1:2">
      <c r="A9" s="136"/>
    </row>
    <row r="10" spans="1:2">
      <c r="A10" s="136" t="s">
        <v>262</v>
      </c>
    </row>
    <row r="11" spans="1:2">
      <c r="A11" s="1666" t="str">
        <f>"CHARTER "&amp;'Budget-ADA'!K7&amp;" Budget/Interim Reporting Worksheet (all Budget tabs completed):"</f>
        <v>CHARTER 2024-25 Budget/Interim Reporting Worksheet (all Budget tabs completed):</v>
      </c>
      <c r="B11" s="1666"/>
    </row>
    <row r="12" spans="1:2" ht="13.15" thickBot="1">
      <c r="A12" s="196"/>
      <c r="B12" s="134" t="s">
        <v>267</v>
      </c>
    </row>
    <row r="13" spans="1:2" ht="13.15" thickBot="1">
      <c r="A13" s="197"/>
      <c r="B13" s="134" t="s">
        <v>268</v>
      </c>
    </row>
    <row r="14" spans="1:2" ht="13.15" thickBot="1">
      <c r="A14" s="197"/>
      <c r="B14" s="134" t="s">
        <v>269</v>
      </c>
    </row>
    <row r="15" spans="1:2" ht="13.15" thickBot="1">
      <c r="A15" s="197"/>
      <c r="B15" s="134" t="s">
        <v>270</v>
      </c>
    </row>
    <row r="16" spans="1:2" ht="13.15" thickBot="1">
      <c r="A16" s="197"/>
      <c r="B16" s="134" t="s">
        <v>271</v>
      </c>
    </row>
    <row r="17" spans="1:2" ht="13.15" thickBot="1">
      <c r="A17" s="197"/>
      <c r="B17" s="134" t="s">
        <v>272</v>
      </c>
    </row>
    <row r="18" spans="1:2" ht="13.15" thickBot="1">
      <c r="A18" s="197"/>
      <c r="B18" s="134" t="s">
        <v>273</v>
      </c>
    </row>
    <row r="19" spans="1:2" ht="13.15" thickBot="1">
      <c r="A19" s="197"/>
      <c r="B19" s="134" t="s">
        <v>274</v>
      </c>
    </row>
    <row r="20" spans="1:2" ht="13.15" thickBot="1">
      <c r="A20" s="197"/>
      <c r="B20" s="134" t="s">
        <v>275</v>
      </c>
    </row>
    <row r="21" spans="1:2">
      <c r="A21" s="200"/>
      <c r="B21" s="134"/>
    </row>
    <row r="22" spans="1:2" ht="13.5" thickBot="1">
      <c r="A22" s="196"/>
      <c r="B22" s="134" t="s">
        <v>264</v>
      </c>
    </row>
    <row r="23" spans="1:2">
      <c r="A23" s="200"/>
    </row>
    <row r="24" spans="1:2">
      <c r="A24" t="s">
        <v>277</v>
      </c>
    </row>
    <row r="25" spans="1:2" ht="13.15" thickBot="1">
      <c r="A25" s="196"/>
      <c r="B25" t="s">
        <v>276</v>
      </c>
    </row>
    <row r="26" spans="1:2">
      <c r="A26" s="200"/>
    </row>
    <row r="27" spans="1:2">
      <c r="A27" s="134"/>
      <c r="B27" s="540"/>
    </row>
    <row r="28" spans="1:2" ht="13.15">
      <c r="A28" s="540" t="s">
        <v>263</v>
      </c>
    </row>
    <row r="29" spans="1:2">
      <c r="A29" s="1663" t="s">
        <v>363</v>
      </c>
      <c r="B29" s="1663"/>
    </row>
  </sheetData>
  <sheetProtection password="D94D" sheet="1"/>
  <mergeCells count="4">
    <mergeCell ref="A4:B4"/>
    <mergeCell ref="A5:B5"/>
    <mergeCell ref="A11:B11"/>
    <mergeCell ref="A29:B29"/>
  </mergeCells>
  <phoneticPr fontId="5" type="noConversion"/>
  <conditionalFormatting sqref="A4:A5">
    <cfRule type="containsText" dxfId="235" priority="1" stopIfTrue="1" operator="containsText" text="Enter">
      <formula>NOT(ISERROR(SEARCH("Enter",A4)))</formula>
    </cfRule>
    <cfRule type="cellIs" dxfId="234" priority="2" stopIfTrue="1" operator="equal">
      <formula>"Enter Charter CDS # on BUDGET - CERT Worksheet"</formula>
    </cfRule>
  </conditionalFormatting>
  <hyperlinks>
    <hyperlink ref="A29" r:id="rId1" display="http://fcmat.org/local-control-funding-formula-resources/" xr:uid="{00000000-0004-0000-0C00-000000000000}"/>
    <hyperlink ref="A29:B29" r:id="rId2" display="https://www.fcmat.org/lcff" xr:uid="{00000000-0004-0000-0C00-000001000000}"/>
  </hyperlinks>
  <printOptions horizontalCentered="1"/>
  <pageMargins left="0.75" right="0.75" top="1" bottom="1" header="0.5" footer="0.5"/>
  <pageSetup scale="97"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65"/>
  <sheetViews>
    <sheetView showGridLines="0" zoomScaleNormal="100" workbookViewId="0">
      <selection activeCell="F14" sqref="F14:J14"/>
    </sheetView>
  </sheetViews>
  <sheetFormatPr defaultRowHeight="12.75"/>
  <cols>
    <col min="13" max="13" width="16.1328125" bestFit="1" customWidth="1"/>
  </cols>
  <sheetData>
    <row r="1" spans="1:19" ht="13.9">
      <c r="A1" s="110" t="s">
        <v>60</v>
      </c>
      <c r="B1" s="107"/>
      <c r="C1" s="107"/>
      <c r="D1" s="107"/>
      <c r="E1" s="108"/>
      <c r="F1" s="108"/>
      <c r="G1" s="108"/>
      <c r="H1" s="108"/>
      <c r="I1" s="108"/>
      <c r="J1" s="113"/>
      <c r="K1" s="113"/>
      <c r="L1" s="114" t="s">
        <v>12</v>
      </c>
      <c r="M1" s="1843" t="str">
        <f>'BUDGET-CERTIFICATION'!$H$1</f>
        <v>Encor Jr./Sr. High School for the Performing and Visual Arts</v>
      </c>
      <c r="N1" s="1843"/>
      <c r="O1" s="1843"/>
      <c r="P1" s="1843"/>
      <c r="Q1" s="1843"/>
      <c r="R1" s="1843"/>
      <c r="S1" s="1843"/>
    </row>
    <row r="2" spans="1:19" ht="13.9">
      <c r="A2" s="1845" t="s">
        <v>155</v>
      </c>
      <c r="B2" s="1846"/>
      <c r="C2" s="1846"/>
      <c r="D2" s="1846"/>
      <c r="E2" s="109"/>
      <c r="F2" s="109"/>
      <c r="G2" s="109"/>
      <c r="H2" s="109"/>
      <c r="I2" s="109"/>
      <c r="J2" s="113"/>
      <c r="K2" s="113"/>
      <c r="L2" s="114" t="s">
        <v>13</v>
      </c>
      <c r="M2" s="1844" t="str">
        <f t="array" ref="M2:R2">'BUDGET-CERTIFICATION'!$H$2:$M$2</f>
        <v>35-75044-01166707</v>
      </c>
      <c r="N2" s="1844">
        <v>0</v>
      </c>
      <c r="O2" s="1844">
        <v>0</v>
      </c>
      <c r="P2" s="1844">
        <v>0</v>
      </c>
      <c r="Q2" s="1844">
        <v>0</v>
      </c>
      <c r="R2" s="1844">
        <v>0</v>
      </c>
      <c r="S2" s="1230"/>
    </row>
    <row r="3" spans="1:19" ht="13.9">
      <c r="A3" s="1845" t="s">
        <v>162</v>
      </c>
      <c r="B3" s="1846"/>
      <c r="C3" s="1846"/>
      <c r="D3" s="1846"/>
      <c r="E3" s="108"/>
      <c r="F3" s="108"/>
      <c r="G3" s="108"/>
      <c r="H3" s="108"/>
      <c r="I3" s="108"/>
      <c r="J3" s="113"/>
      <c r="K3" s="113"/>
      <c r="L3" s="114" t="s">
        <v>476</v>
      </c>
      <c r="M3" s="1844" t="str">
        <f>'BUDGET-CERTIFICATION'!$H$3</f>
        <v>Hesperia Unified School District</v>
      </c>
      <c r="N3" s="1844"/>
      <c r="O3" s="1844"/>
      <c r="P3" s="1844"/>
      <c r="Q3" s="1844"/>
      <c r="R3" s="1844"/>
      <c r="S3" s="1230"/>
    </row>
    <row r="4" spans="1:19" ht="13.9">
      <c r="A4" s="110"/>
      <c r="B4" s="107"/>
      <c r="C4" s="107"/>
      <c r="D4" s="107"/>
      <c r="E4" s="108"/>
      <c r="F4" s="108"/>
      <c r="G4" s="108"/>
      <c r="H4" s="108"/>
      <c r="I4" s="108"/>
      <c r="J4" s="113"/>
      <c r="K4" s="113"/>
      <c r="L4" s="114" t="s">
        <v>14</v>
      </c>
      <c r="M4" s="1844" t="str">
        <f>'BUDGET-CERTIFICATION'!$H$4</f>
        <v>San Bernardino</v>
      </c>
      <c r="N4" s="1844"/>
      <c r="O4" s="1844"/>
      <c r="P4" s="1844"/>
      <c r="Q4" s="1844"/>
      <c r="R4" s="1844"/>
      <c r="S4" s="1230"/>
    </row>
    <row r="5" spans="1:19" ht="13.9">
      <c r="A5" s="110" t="s">
        <v>43</v>
      </c>
      <c r="B5" s="98"/>
      <c r="C5" s="98"/>
      <c r="D5" s="110"/>
      <c r="E5" s="111"/>
      <c r="F5" s="111"/>
      <c r="G5" s="111"/>
      <c r="H5" s="111"/>
      <c r="I5" s="111"/>
      <c r="J5" s="113"/>
      <c r="K5" s="113"/>
      <c r="L5" s="114" t="s">
        <v>15</v>
      </c>
      <c r="M5" s="1844" t="str">
        <f>'BUDGET-CERTIFICATION'!$H$5</f>
        <v>0971</v>
      </c>
      <c r="N5" s="1844"/>
      <c r="O5" s="1844"/>
      <c r="P5" s="1844"/>
      <c r="Q5" s="1844"/>
      <c r="R5" s="1844"/>
      <c r="S5" s="1230"/>
    </row>
    <row r="6" spans="1:19" ht="13.9" thickBot="1">
      <c r="A6" s="115"/>
      <c r="B6" s="115"/>
      <c r="C6" s="115"/>
      <c r="D6" s="116"/>
      <c r="E6" s="116"/>
      <c r="F6" s="116"/>
      <c r="G6" s="116"/>
      <c r="H6" s="116"/>
      <c r="I6" s="116"/>
      <c r="J6" s="116"/>
      <c r="K6" s="116"/>
      <c r="L6" s="116"/>
      <c r="M6" s="116"/>
      <c r="N6" s="116"/>
      <c r="O6" s="116"/>
      <c r="P6" s="116"/>
      <c r="Q6" s="98"/>
      <c r="R6" s="98"/>
      <c r="S6" s="1558" t="str">
        <f>Instructions!H1</f>
        <v>Form Revised (revision date here if revised)</v>
      </c>
    </row>
    <row r="7" spans="1:19" ht="13.9" thickTop="1">
      <c r="A7" s="98"/>
      <c r="B7" s="98"/>
      <c r="C7" s="98"/>
      <c r="D7" s="9"/>
      <c r="E7" s="9"/>
      <c r="F7" s="9"/>
      <c r="G7" s="9"/>
      <c r="H7" s="9"/>
      <c r="I7" s="9"/>
      <c r="J7" s="9"/>
      <c r="K7" s="9"/>
      <c r="L7" s="9"/>
      <c r="M7" s="9"/>
      <c r="N7" s="9"/>
      <c r="O7" s="9"/>
      <c r="P7" s="9"/>
      <c r="Q7" s="218"/>
      <c r="R7" s="218"/>
      <c r="S7" s="1229"/>
    </row>
    <row r="8" spans="1:19" ht="13.5">
      <c r="A8" s="98"/>
      <c r="B8" s="98"/>
      <c r="C8" s="98"/>
      <c r="D8" s="9"/>
      <c r="E8" s="9" t="s">
        <v>348</v>
      </c>
      <c r="F8" s="129"/>
      <c r="G8" s="129"/>
      <c r="H8" s="129"/>
      <c r="I8" s="129"/>
      <c r="J8" s="129"/>
      <c r="K8" s="9"/>
      <c r="L8" s="129"/>
      <c r="M8" s="129"/>
      <c r="N8" s="129"/>
      <c r="O8" s="129"/>
      <c r="P8" s="129"/>
      <c r="Q8" s="1228"/>
      <c r="R8" s="1228"/>
      <c r="S8" s="1228"/>
    </row>
    <row r="9" spans="1:19" ht="14.25" customHeight="1">
      <c r="A9" s="219"/>
      <c r="B9" s="127"/>
      <c r="C9" s="98"/>
      <c r="D9" s="9"/>
      <c r="E9" s="1668" t="str">
        <f>""&amp;'Budget-ADA'!K7&amp;" CHARTER SCHOOL INTERIM REPORT -- ALTERNATIVE FORM:  This report has been approved, and is hereby filed by the charter school pursuant to Education Code Section 47604.33."</f>
        <v>2024-25 CHARTER SCHOOL INTERIM REPORT -- ALTERNATIVE FORM:  This report has been approved, and is hereby filed by the charter school pursuant to Education Code Section 47604.33.</v>
      </c>
      <c r="F9" s="1668"/>
      <c r="G9" s="1668"/>
      <c r="H9" s="1668"/>
      <c r="I9" s="1668"/>
      <c r="J9" s="1668"/>
      <c r="K9" s="1668"/>
      <c r="L9" s="1668"/>
      <c r="M9" s="1668"/>
      <c r="N9" s="1668"/>
      <c r="O9" s="1668"/>
      <c r="P9" s="1668"/>
      <c r="Q9" s="98"/>
      <c r="R9" s="98"/>
      <c r="S9" s="98" t="s">
        <v>154</v>
      </c>
    </row>
    <row r="10" spans="1:19" ht="13.5">
      <c r="A10" s="98"/>
      <c r="B10" s="98"/>
      <c r="C10" s="98"/>
      <c r="D10" s="9"/>
      <c r="E10" s="1668"/>
      <c r="F10" s="1668"/>
      <c r="G10" s="1668"/>
      <c r="H10" s="1668"/>
      <c r="I10" s="1668"/>
      <c r="J10" s="1668"/>
      <c r="K10" s="1668"/>
      <c r="L10" s="1668"/>
      <c r="M10" s="1668"/>
      <c r="N10" s="1668"/>
      <c r="O10" s="1668"/>
      <c r="P10" s="1668"/>
      <c r="Q10" s="98"/>
      <c r="R10" s="98"/>
      <c r="S10" s="98"/>
    </row>
    <row r="11" spans="1:19" ht="27.75" customHeight="1">
      <c r="A11" s="98"/>
      <c r="B11" s="98"/>
      <c r="C11" s="98"/>
      <c r="D11" s="9"/>
      <c r="E11" s="9" t="s">
        <v>45</v>
      </c>
      <c r="F11" s="1669"/>
      <c r="G11" s="1670"/>
      <c r="H11" s="1670"/>
      <c r="I11" s="1670"/>
      <c r="J11" s="1670"/>
      <c r="K11" s="9"/>
      <c r="L11" s="9" t="s">
        <v>46</v>
      </c>
      <c r="M11" s="1669"/>
      <c r="N11" s="1669"/>
      <c r="O11" s="1669"/>
      <c r="P11" s="9"/>
      <c r="Q11" s="98"/>
      <c r="R11" s="98"/>
      <c r="S11" s="98"/>
    </row>
    <row r="12" spans="1:19" ht="13.5">
      <c r="A12" s="98"/>
      <c r="B12" s="98"/>
      <c r="C12" s="98"/>
      <c r="D12" s="98"/>
      <c r="E12" s="98"/>
      <c r="F12" s="119" t="s">
        <v>47</v>
      </c>
      <c r="G12" s="120"/>
      <c r="H12" s="120"/>
      <c r="I12" s="120"/>
      <c r="J12" s="120"/>
      <c r="K12" s="98"/>
      <c r="L12" s="98"/>
      <c r="M12" s="98"/>
      <c r="N12" s="98"/>
      <c r="O12" s="98"/>
      <c r="P12" s="98"/>
      <c r="Q12" s="98"/>
      <c r="R12" s="98"/>
      <c r="S12" s="98"/>
    </row>
    <row r="13" spans="1:19" ht="13.5">
      <c r="A13" s="98"/>
      <c r="B13" s="98"/>
      <c r="C13" s="98"/>
      <c r="D13" s="98"/>
      <c r="E13" s="98"/>
      <c r="F13" s="119" t="s">
        <v>48</v>
      </c>
      <c r="G13" s="120"/>
      <c r="H13" s="120"/>
      <c r="I13" s="120"/>
      <c r="J13" s="120"/>
      <c r="K13" s="98"/>
      <c r="L13" s="98"/>
      <c r="M13" s="98"/>
      <c r="N13" s="98"/>
      <c r="O13" s="98"/>
      <c r="P13" s="98"/>
      <c r="Q13" s="98"/>
      <c r="R13" s="98"/>
      <c r="S13" s="98"/>
    </row>
    <row r="14" spans="1:19" ht="27">
      <c r="A14" s="98"/>
      <c r="B14" s="98"/>
      <c r="C14" s="98"/>
      <c r="D14" s="9"/>
      <c r="E14" s="121" t="s">
        <v>49</v>
      </c>
      <c r="F14" s="1667"/>
      <c r="G14" s="1672"/>
      <c r="H14" s="1672"/>
      <c r="I14" s="1672"/>
      <c r="J14" s="1672"/>
      <c r="K14" s="9"/>
      <c r="L14" s="9" t="s">
        <v>50</v>
      </c>
      <c r="M14" s="1667"/>
      <c r="N14" s="1667"/>
      <c r="O14" s="1667"/>
      <c r="P14" s="9"/>
      <c r="Q14" s="98"/>
      <c r="R14" s="98"/>
      <c r="S14" s="98"/>
    </row>
    <row r="15" spans="1:19" ht="13.5">
      <c r="A15" s="98"/>
      <c r="B15" s="98"/>
      <c r="C15" s="98"/>
      <c r="D15" s="9"/>
      <c r="E15" s="121"/>
      <c r="F15" s="137"/>
      <c r="G15" s="138"/>
      <c r="H15" s="138"/>
      <c r="I15" s="138"/>
      <c r="J15" s="138"/>
      <c r="K15" s="9"/>
      <c r="L15" s="9"/>
      <c r="M15" s="137"/>
      <c r="N15" s="137"/>
      <c r="O15" s="137"/>
      <c r="P15" s="9"/>
      <c r="Q15" s="98"/>
      <c r="R15" s="98"/>
      <c r="S15" s="98"/>
    </row>
    <row r="16" spans="1:19" ht="13.5">
      <c r="A16" s="98" t="s">
        <v>64</v>
      </c>
      <c r="B16" s="98"/>
      <c r="C16" s="98"/>
      <c r="D16" s="9"/>
      <c r="E16" s="121"/>
      <c r="F16" s="137"/>
      <c r="G16" s="138"/>
      <c r="H16" s="138"/>
      <c r="I16" s="138"/>
      <c r="J16" s="138"/>
      <c r="K16" s="9"/>
      <c r="L16" s="9"/>
      <c r="M16" s="137"/>
      <c r="N16" s="137"/>
      <c r="O16" s="137"/>
      <c r="P16" s="9"/>
      <c r="Q16" s="98"/>
      <c r="R16" s="98"/>
      <c r="S16" s="98"/>
    </row>
    <row r="17" spans="1:19" ht="13.5">
      <c r="A17" s="98"/>
      <c r="B17" s="98"/>
      <c r="C17" s="98"/>
      <c r="D17" s="9"/>
      <c r="E17" s="121"/>
      <c r="F17" s="137"/>
      <c r="G17" s="138"/>
      <c r="H17" s="138"/>
      <c r="I17" s="138"/>
      <c r="J17" s="138"/>
      <c r="K17" s="9"/>
      <c r="L17" s="9"/>
      <c r="M17" s="137"/>
      <c r="N17" s="137"/>
      <c r="O17" s="137"/>
      <c r="P17" s="9"/>
      <c r="Q17" s="98"/>
      <c r="R17" s="98"/>
      <c r="S17" s="98"/>
    </row>
    <row r="18" spans="1:19" ht="13.5">
      <c r="A18" s="219" t="s">
        <v>44</v>
      </c>
      <c r="B18" s="220"/>
      <c r="C18" s="98" t="s">
        <v>67</v>
      </c>
      <c r="D18" s="9"/>
      <c r="E18" s="121"/>
      <c r="F18" s="137"/>
      <c r="G18" s="219" t="s">
        <v>44</v>
      </c>
      <c r="H18" s="220"/>
      <c r="I18" s="98" t="s">
        <v>66</v>
      </c>
      <c r="J18" s="98"/>
      <c r="K18" s="9"/>
      <c r="L18" s="219"/>
      <c r="M18" s="219" t="s">
        <v>44</v>
      </c>
      <c r="N18" s="220"/>
      <c r="O18" s="98" t="s">
        <v>65</v>
      </c>
      <c r="P18" s="9"/>
      <c r="Q18" s="98"/>
      <c r="R18" s="98"/>
      <c r="S18" s="98"/>
    </row>
    <row r="19" spans="1:19" ht="13.5">
      <c r="A19" s="219"/>
      <c r="B19" s="127"/>
      <c r="C19" s="98" t="s">
        <v>68</v>
      </c>
      <c r="D19" s="9"/>
      <c r="E19" s="121"/>
      <c r="F19" s="137"/>
      <c r="G19" s="219"/>
      <c r="H19" s="127"/>
      <c r="I19" s="98" t="s">
        <v>68</v>
      </c>
      <c r="J19" s="98"/>
      <c r="K19" s="9"/>
      <c r="L19" s="219"/>
      <c r="M19" s="127"/>
      <c r="N19" s="98"/>
      <c r="O19" s="98" t="s">
        <v>68</v>
      </c>
      <c r="P19" s="9"/>
      <c r="Q19" s="98"/>
      <c r="R19" s="98"/>
      <c r="S19" s="98"/>
    </row>
    <row r="20" spans="1:19" ht="13.5">
      <c r="A20" s="219"/>
      <c r="B20" s="127"/>
      <c r="C20" s="98" t="s">
        <v>69</v>
      </c>
      <c r="D20" s="9"/>
      <c r="E20" s="121"/>
      <c r="F20" s="137"/>
      <c r="G20" s="219"/>
      <c r="H20" s="127"/>
      <c r="I20" s="98" t="s">
        <v>71</v>
      </c>
      <c r="J20" s="98"/>
      <c r="K20" s="9"/>
      <c r="L20" s="219"/>
      <c r="M20" s="127"/>
      <c r="N20" s="98"/>
      <c r="O20" s="98" t="s">
        <v>74</v>
      </c>
      <c r="P20" s="9"/>
      <c r="Q20" s="98"/>
      <c r="R20" s="98"/>
      <c r="S20" s="98"/>
    </row>
    <row r="21" spans="1:19" ht="13.5">
      <c r="A21" s="219"/>
      <c r="B21" s="127"/>
      <c r="C21" s="98" t="s">
        <v>73</v>
      </c>
      <c r="D21" s="9"/>
      <c r="E21" s="121"/>
      <c r="F21" s="137"/>
      <c r="G21" s="219"/>
      <c r="H21" s="127"/>
      <c r="I21" s="98" t="s">
        <v>72</v>
      </c>
      <c r="J21" s="98"/>
      <c r="K21" s="9"/>
      <c r="L21" s="219"/>
      <c r="M21" s="127"/>
      <c r="N21" s="98"/>
      <c r="O21" s="98" t="s">
        <v>75</v>
      </c>
      <c r="P21" s="9"/>
      <c r="Q21" s="98"/>
      <c r="R21" s="98"/>
      <c r="S21" s="98"/>
    </row>
    <row r="22" spans="1:19" ht="13.5">
      <c r="A22" s="219"/>
      <c r="B22" s="127"/>
      <c r="C22" s="98" t="s">
        <v>70</v>
      </c>
      <c r="D22" s="9"/>
      <c r="E22" s="121"/>
      <c r="F22" s="137"/>
      <c r="G22" s="219"/>
      <c r="H22" s="127"/>
      <c r="I22" s="98" t="s">
        <v>70</v>
      </c>
      <c r="J22" s="98"/>
      <c r="K22" s="9"/>
      <c r="L22" s="219"/>
      <c r="M22" s="127"/>
      <c r="N22" s="98"/>
      <c r="O22" s="98" t="s">
        <v>77</v>
      </c>
      <c r="P22" s="9"/>
      <c r="Q22" s="98"/>
      <c r="R22" s="98"/>
      <c r="S22" s="98"/>
    </row>
    <row r="23" spans="1:19" ht="13.5">
      <c r="A23" s="219"/>
      <c r="B23" s="127"/>
      <c r="C23" s="98"/>
      <c r="D23" s="9"/>
      <c r="E23" s="121"/>
      <c r="F23" s="137"/>
      <c r="G23" s="219"/>
      <c r="H23" s="127"/>
      <c r="I23" s="98"/>
      <c r="J23" s="98"/>
      <c r="K23" s="9"/>
      <c r="L23" s="219"/>
      <c r="M23" s="127"/>
      <c r="N23" s="98"/>
      <c r="O23" s="98" t="s">
        <v>76</v>
      </c>
      <c r="P23" s="9"/>
      <c r="Q23" s="98"/>
      <c r="R23" s="98"/>
      <c r="S23" s="98"/>
    </row>
    <row r="24" spans="1:19" s="1227" customFormat="1" ht="13.5">
      <c r="A24" s="1225"/>
      <c r="B24" s="1225"/>
      <c r="C24" s="1225"/>
      <c r="D24" s="1225"/>
      <c r="E24" s="1225"/>
      <c r="F24" s="1225"/>
      <c r="G24" s="1225"/>
      <c r="H24" s="1225"/>
      <c r="I24" s="1225"/>
      <c r="J24" s="1225"/>
      <c r="K24" s="1225"/>
      <c r="L24" s="1225"/>
      <c r="M24" s="1225"/>
      <c r="N24" s="1225"/>
      <c r="O24" s="1226"/>
      <c r="P24" s="1225"/>
      <c r="Q24" s="1225"/>
      <c r="R24" s="1225"/>
      <c r="S24" s="1225"/>
    </row>
    <row r="25" spans="1:19" ht="13.5">
      <c r="A25" s="9"/>
      <c r="B25" s="9"/>
      <c r="C25" s="9"/>
      <c r="D25" s="9"/>
      <c r="E25" s="9"/>
      <c r="F25" s="9"/>
      <c r="G25" s="9"/>
      <c r="H25" s="9"/>
      <c r="I25" s="9"/>
      <c r="J25" s="9"/>
      <c r="K25" s="9"/>
      <c r="L25" s="9"/>
      <c r="M25" s="9"/>
      <c r="N25" s="9"/>
      <c r="O25" s="98"/>
      <c r="P25" s="9"/>
      <c r="Q25" s="9"/>
      <c r="R25" s="9"/>
      <c r="S25" s="9"/>
    </row>
    <row r="26" spans="1:19" ht="13.5">
      <c r="A26" s="98"/>
      <c r="B26" s="98"/>
      <c r="C26" s="98"/>
      <c r="D26" s="9"/>
      <c r="E26" s="9" t="s">
        <v>51</v>
      </c>
      <c r="F26" s="9"/>
      <c r="G26" s="9"/>
      <c r="H26" s="9"/>
      <c r="I26" s="9"/>
      <c r="J26" s="9"/>
      <c r="K26" s="9"/>
      <c r="L26" s="9"/>
      <c r="M26" s="9"/>
      <c r="N26" s="9"/>
      <c r="O26" s="9"/>
      <c r="P26" s="129"/>
      <c r="Q26" s="129"/>
      <c r="R26" s="129"/>
      <c r="S26" s="129"/>
    </row>
    <row r="27" spans="1:19" ht="14.25" customHeight="1">
      <c r="A27" s="219"/>
      <c r="B27" s="127"/>
      <c r="C27" s="98"/>
      <c r="D27" s="9"/>
      <c r="E27" s="1668" t="str">
        <f>""&amp;'Budget-ADA'!K7&amp;" CHARTER SCHOOL INTERIM REPORT -- ALTERNATIVE FORM:  This report has been reviewed pursuant to Education Code 47604.32(a) is hereby filed with the County Superintendent pursuant to Education Code Section 47604.33."</f>
        <v>2024-25 CHARTER SCHOOL INTERIM REPORT -- ALTERNATIVE FORM:  This report has been reviewed pursuant to Education Code 47604.32(a) is hereby filed with the County Superintendent pursuant to Education Code Section 47604.33.</v>
      </c>
      <c r="F27" s="1668"/>
      <c r="G27" s="1668"/>
      <c r="H27" s="1668"/>
      <c r="I27" s="1668"/>
      <c r="J27" s="1668"/>
      <c r="K27" s="1668"/>
      <c r="L27" s="1668"/>
      <c r="M27" s="1668"/>
      <c r="N27" s="1668"/>
      <c r="O27" s="1668"/>
      <c r="P27" s="1668"/>
      <c r="Q27" s="98"/>
      <c r="R27" s="98"/>
      <c r="S27" s="98"/>
    </row>
    <row r="28" spans="1:19" ht="13.5" customHeight="1">
      <c r="A28" s="98"/>
      <c r="B28" s="98"/>
      <c r="C28" s="98"/>
      <c r="D28" s="9"/>
      <c r="E28" s="1668"/>
      <c r="F28" s="1668"/>
      <c r="G28" s="1668"/>
      <c r="H28" s="1668"/>
      <c r="I28" s="1668"/>
      <c r="J28" s="1668"/>
      <c r="K28" s="1668"/>
      <c r="L28" s="1668"/>
      <c r="M28" s="1668"/>
      <c r="N28" s="1668"/>
      <c r="O28" s="1668"/>
      <c r="P28" s="1668"/>
      <c r="Q28" s="98"/>
      <c r="R28" s="98"/>
      <c r="S28" s="98"/>
    </row>
    <row r="29" spans="1:19" ht="27.75" customHeight="1">
      <c r="A29" s="98"/>
      <c r="B29" s="98"/>
      <c r="C29" s="98"/>
      <c r="D29" s="9"/>
      <c r="E29" s="9" t="s">
        <v>45</v>
      </c>
      <c r="F29" s="1669"/>
      <c r="G29" s="1669"/>
      <c r="H29" s="1669"/>
      <c r="I29" s="1669"/>
      <c r="J29" s="1669"/>
      <c r="K29" s="9"/>
      <c r="L29" s="9" t="s">
        <v>46</v>
      </c>
      <c r="M29" s="1669"/>
      <c r="N29" s="1669"/>
      <c r="O29" s="1669"/>
      <c r="P29" s="9"/>
      <c r="Q29" s="98"/>
      <c r="R29" s="98"/>
      <c r="S29" s="98"/>
    </row>
    <row r="30" spans="1:19" ht="25.5" customHeight="1">
      <c r="A30" s="98"/>
      <c r="B30" s="98"/>
      <c r="C30" s="98"/>
      <c r="D30" s="98"/>
      <c r="E30" s="98"/>
      <c r="F30" s="125" t="s">
        <v>52</v>
      </c>
      <c r="G30" s="125"/>
      <c r="H30" s="125"/>
      <c r="I30" s="125"/>
      <c r="J30" s="125"/>
      <c r="K30" s="98"/>
      <c r="L30" s="98"/>
      <c r="M30" s="126"/>
      <c r="N30" s="126"/>
      <c r="O30" s="126"/>
      <c r="P30" s="98"/>
      <c r="Q30" s="98"/>
      <c r="R30" s="98"/>
      <c r="S30" s="98"/>
    </row>
    <row r="31" spans="1:19">
      <c r="A31" s="98"/>
      <c r="B31" s="98"/>
      <c r="C31" s="98"/>
      <c r="D31" s="98"/>
      <c r="E31" s="98"/>
      <c r="F31" s="107" t="s">
        <v>48</v>
      </c>
      <c r="G31" s="107"/>
      <c r="H31" s="107"/>
      <c r="I31" s="107"/>
      <c r="J31" s="107"/>
      <c r="K31" s="98"/>
      <c r="L31" s="98"/>
      <c r="M31" s="98"/>
      <c r="N31" s="98"/>
      <c r="O31" s="98"/>
      <c r="P31" s="98"/>
      <c r="Q31" s="98"/>
      <c r="R31" s="98"/>
      <c r="S31" s="98"/>
    </row>
    <row r="32" spans="1:19" ht="27">
      <c r="A32" s="98"/>
      <c r="B32" s="98"/>
      <c r="C32" s="98"/>
      <c r="D32" s="9"/>
      <c r="E32" s="121" t="s">
        <v>49</v>
      </c>
      <c r="F32" s="1667"/>
      <c r="G32" s="1667"/>
      <c r="H32" s="1667"/>
      <c r="I32" s="1667"/>
      <c r="J32" s="1667"/>
      <c r="K32" s="9"/>
      <c r="L32" s="9" t="s">
        <v>50</v>
      </c>
      <c r="M32" s="1667"/>
      <c r="N32" s="1667"/>
      <c r="O32" s="1667"/>
      <c r="P32" s="9"/>
      <c r="Q32" s="98"/>
      <c r="R32" s="98"/>
      <c r="S32" s="98"/>
    </row>
    <row r="33" spans="1:19" ht="13.5">
      <c r="A33" s="98"/>
      <c r="B33" s="98"/>
      <c r="C33" s="98"/>
      <c r="D33" s="9"/>
      <c r="E33" s="121"/>
      <c r="F33" s="137"/>
      <c r="G33" s="137"/>
      <c r="H33" s="137"/>
      <c r="I33" s="137"/>
      <c r="J33" s="137"/>
      <c r="K33" s="9"/>
      <c r="L33" s="9"/>
      <c r="M33" s="137"/>
      <c r="N33" s="137"/>
      <c r="O33" s="137"/>
      <c r="P33" s="9"/>
      <c r="Q33" s="98"/>
      <c r="R33" s="98"/>
      <c r="S33" s="98"/>
    </row>
    <row r="34" spans="1:19" ht="13.5">
      <c r="A34" s="219" t="s">
        <v>44</v>
      </c>
      <c r="B34" s="220"/>
      <c r="C34" s="98" t="s">
        <v>67</v>
      </c>
      <c r="D34" s="9"/>
      <c r="E34" s="121"/>
      <c r="F34" s="137"/>
      <c r="G34" s="219" t="s">
        <v>44</v>
      </c>
      <c r="H34" s="220"/>
      <c r="I34" s="98" t="s">
        <v>66</v>
      </c>
      <c r="J34" s="98"/>
      <c r="K34" s="9"/>
      <c r="L34" s="219"/>
      <c r="M34" s="219" t="s">
        <v>44</v>
      </c>
      <c r="N34" s="220"/>
      <c r="O34" s="98" t="s">
        <v>65</v>
      </c>
      <c r="P34" s="9"/>
      <c r="Q34" s="98"/>
      <c r="R34" s="98"/>
      <c r="S34" s="98"/>
    </row>
    <row r="35" spans="1:19" ht="13.5">
      <c r="A35" s="219"/>
      <c r="B35" s="127"/>
      <c r="C35" s="98" t="s">
        <v>68</v>
      </c>
      <c r="D35" s="9"/>
      <c r="E35" s="121"/>
      <c r="F35" s="137"/>
      <c r="G35" s="219"/>
      <c r="H35" s="127"/>
      <c r="I35" s="98" t="s">
        <v>68</v>
      </c>
      <c r="J35" s="98"/>
      <c r="K35" s="9"/>
      <c r="L35" s="219"/>
      <c r="M35" s="127"/>
      <c r="N35" s="98"/>
      <c r="O35" s="98" t="s">
        <v>68</v>
      </c>
      <c r="P35" s="9"/>
      <c r="Q35" s="98"/>
      <c r="R35" s="98"/>
      <c r="S35" s="98"/>
    </row>
    <row r="36" spans="1:19" ht="13.5">
      <c r="A36" s="219"/>
      <c r="B36" s="127"/>
      <c r="C36" s="98" t="s">
        <v>69</v>
      </c>
      <c r="D36" s="9"/>
      <c r="E36" s="121"/>
      <c r="F36" s="137"/>
      <c r="G36" s="219"/>
      <c r="H36" s="127"/>
      <c r="I36" s="98" t="s">
        <v>71</v>
      </c>
      <c r="J36" s="98"/>
      <c r="K36" s="9"/>
      <c r="L36" s="219"/>
      <c r="M36" s="127"/>
      <c r="N36" s="98"/>
      <c r="O36" s="98" t="s">
        <v>74</v>
      </c>
      <c r="P36" s="9"/>
      <c r="Q36" s="98"/>
      <c r="R36" s="98"/>
      <c r="S36" s="98"/>
    </row>
    <row r="37" spans="1:19" ht="13.5">
      <c r="A37" s="219"/>
      <c r="B37" s="127"/>
      <c r="C37" s="98" t="s">
        <v>73</v>
      </c>
      <c r="D37" s="9"/>
      <c r="E37" s="121"/>
      <c r="F37" s="137"/>
      <c r="G37" s="219"/>
      <c r="H37" s="127"/>
      <c r="I37" s="98" t="s">
        <v>72</v>
      </c>
      <c r="J37" s="98"/>
      <c r="K37" s="9"/>
      <c r="L37" s="219"/>
      <c r="M37" s="127"/>
      <c r="N37" s="98"/>
      <c r="O37" s="98" t="s">
        <v>75</v>
      </c>
      <c r="P37" s="9"/>
      <c r="Q37" s="98"/>
      <c r="R37" s="98"/>
      <c r="S37" s="98"/>
    </row>
    <row r="38" spans="1:19" ht="13.5">
      <c r="A38" s="219"/>
      <c r="B38" s="127"/>
      <c r="C38" s="98" t="s">
        <v>70</v>
      </c>
      <c r="D38" s="9"/>
      <c r="E38" s="121"/>
      <c r="F38" s="137"/>
      <c r="G38" s="219"/>
      <c r="H38" s="127"/>
      <c r="I38" s="98" t="s">
        <v>70</v>
      </c>
      <c r="J38" s="98"/>
      <c r="K38" s="9"/>
      <c r="L38" s="219"/>
      <c r="M38" s="127"/>
      <c r="N38" s="98"/>
      <c r="O38" s="98" t="s">
        <v>77</v>
      </c>
      <c r="P38" s="9"/>
      <c r="Q38" s="98"/>
      <c r="R38" s="98"/>
      <c r="S38" s="98"/>
    </row>
    <row r="39" spans="1:19" ht="13.5">
      <c r="A39" s="122"/>
      <c r="B39" s="122"/>
      <c r="C39" s="122"/>
      <c r="D39" s="122"/>
      <c r="E39" s="122"/>
      <c r="F39" s="122"/>
      <c r="G39" s="122"/>
      <c r="H39" s="122"/>
      <c r="I39" s="122"/>
      <c r="J39" s="122"/>
      <c r="K39" s="122"/>
      <c r="L39" s="122"/>
      <c r="M39" s="122"/>
      <c r="N39" s="122"/>
      <c r="O39" s="122"/>
      <c r="P39" s="122"/>
      <c r="Q39" s="122"/>
      <c r="R39" s="122"/>
      <c r="S39" s="122"/>
    </row>
    <row r="40" spans="1:19" ht="13.5">
      <c r="A40" s="98"/>
      <c r="B40" s="98"/>
      <c r="C40" s="98"/>
      <c r="D40" s="9"/>
      <c r="E40" s="123" t="s">
        <v>2</v>
      </c>
      <c r="F40" s="123"/>
      <c r="G40" s="123"/>
      <c r="H40" s="123"/>
      <c r="I40" s="123"/>
      <c r="J40" s="123"/>
      <c r="K40" s="123"/>
      <c r="L40" s="123"/>
      <c r="M40" s="123"/>
      <c r="N40" s="123"/>
      <c r="O40" s="123"/>
      <c r="P40" s="124"/>
      <c r="Q40" s="124"/>
      <c r="R40" s="124"/>
      <c r="S40" s="124"/>
    </row>
    <row r="41" spans="1:19" ht="14.25" customHeight="1">
      <c r="A41" s="219"/>
      <c r="B41" s="127"/>
      <c r="C41" s="98"/>
      <c r="D41" s="9"/>
      <c r="E41" s="1668" t="str">
        <f>""&amp;'Budget-ADA'!K7&amp;" CHARTER SCHOOL INTERIM REPORT -- ALTERNATIVE FORM:  This report has been received by the County Superintendent of Schools pursuant to Education Code Section 47604.33(1)."</f>
        <v>2024-25 CHARTER SCHOOL INTERIM REPORT -- ALTERNATIVE FORM:  This report has been received by the County Superintendent of Schools pursuant to Education Code Section 47604.33(1).</v>
      </c>
      <c r="F41" s="1668"/>
      <c r="G41" s="1668"/>
      <c r="H41" s="1668"/>
      <c r="I41" s="1668"/>
      <c r="J41" s="1668"/>
      <c r="K41" s="1668"/>
      <c r="L41" s="1668"/>
      <c r="M41" s="1668"/>
      <c r="N41" s="1668"/>
      <c r="O41" s="1668"/>
      <c r="P41" s="1668"/>
      <c r="Q41" s="98"/>
      <c r="R41" s="98"/>
      <c r="S41" s="98"/>
    </row>
    <row r="42" spans="1:19" ht="13.5">
      <c r="A42" s="98"/>
      <c r="B42" s="98"/>
      <c r="C42" s="98"/>
      <c r="D42" s="9"/>
      <c r="E42" s="1668"/>
      <c r="F42" s="1668"/>
      <c r="G42" s="1668"/>
      <c r="H42" s="1668"/>
      <c r="I42" s="1668"/>
      <c r="J42" s="1668"/>
      <c r="K42" s="1668"/>
      <c r="L42" s="1668"/>
      <c r="M42" s="1668"/>
      <c r="N42" s="1668"/>
      <c r="O42" s="1668"/>
      <c r="P42" s="1668"/>
      <c r="Q42" s="98"/>
      <c r="R42" s="98"/>
      <c r="S42" s="98"/>
    </row>
    <row r="43" spans="1:19" ht="27" customHeight="1">
      <c r="A43" s="98"/>
      <c r="B43" s="98"/>
      <c r="C43" s="98"/>
      <c r="D43" s="9"/>
      <c r="E43" s="9" t="s">
        <v>45</v>
      </c>
      <c r="F43" s="1669"/>
      <c r="G43" s="1669"/>
      <c r="H43" s="1669"/>
      <c r="I43" s="1669"/>
      <c r="J43" s="1669"/>
      <c r="K43" s="9"/>
      <c r="L43" s="9" t="s">
        <v>46</v>
      </c>
      <c r="M43" s="1669"/>
      <c r="N43" s="1669"/>
      <c r="O43" s="1669"/>
      <c r="P43" s="9"/>
      <c r="Q43" s="98"/>
      <c r="R43" s="98"/>
      <c r="S43" s="98"/>
    </row>
    <row r="44" spans="1:19" ht="13.5">
      <c r="A44" s="98"/>
      <c r="B44" s="98"/>
      <c r="C44" s="98"/>
      <c r="D44" s="9"/>
      <c r="E44" s="9"/>
      <c r="F44" s="107" t="s">
        <v>53</v>
      </c>
      <c r="G44" s="107"/>
      <c r="H44" s="107"/>
      <c r="I44" s="107"/>
      <c r="J44" s="107"/>
      <c r="K44" s="127"/>
      <c r="L44" s="9"/>
      <c r="M44" s="9"/>
      <c r="N44" s="9"/>
      <c r="O44" s="9"/>
      <c r="P44" s="9"/>
      <c r="Q44" s="98"/>
      <c r="R44" s="98"/>
      <c r="S44" s="98"/>
    </row>
    <row r="45" spans="1:19" ht="13.5">
      <c r="A45" s="98"/>
      <c r="B45" s="98"/>
      <c r="C45" s="98"/>
      <c r="D45" s="9"/>
      <c r="E45" s="9"/>
      <c r="F45" s="107" t="s">
        <v>48</v>
      </c>
      <c r="G45" s="107"/>
      <c r="H45" s="107"/>
      <c r="I45" s="107"/>
      <c r="J45" s="107"/>
      <c r="K45" s="127"/>
      <c r="L45" s="9"/>
      <c r="M45" s="9"/>
      <c r="N45" s="9"/>
      <c r="O45" s="9"/>
      <c r="P45" s="9"/>
      <c r="Q45" s="98"/>
      <c r="R45" s="98"/>
      <c r="S45" s="98"/>
    </row>
    <row r="46" spans="1:19" ht="13.15" thickBot="1">
      <c r="A46" s="115"/>
      <c r="B46" s="115"/>
      <c r="C46" s="115"/>
      <c r="D46" s="115"/>
      <c r="E46" s="115"/>
      <c r="F46" s="115"/>
      <c r="G46" s="115"/>
      <c r="H46" s="115"/>
      <c r="I46" s="115"/>
      <c r="J46" s="115"/>
      <c r="K46" s="115"/>
      <c r="L46" s="115"/>
      <c r="M46" s="115"/>
      <c r="N46" s="115"/>
      <c r="O46" s="115"/>
      <c r="P46" s="98"/>
      <c r="Q46" s="98"/>
      <c r="R46" s="98"/>
      <c r="S46" s="98"/>
    </row>
    <row r="47" spans="1:19" ht="13.9" thickTop="1">
      <c r="A47" s="98"/>
      <c r="B47" s="98"/>
      <c r="C47" s="98"/>
      <c r="D47" s="98"/>
      <c r="E47" s="117" t="s">
        <v>59</v>
      </c>
      <c r="F47" s="118"/>
      <c r="G47" s="118"/>
      <c r="H47" s="118"/>
      <c r="I47" s="118"/>
      <c r="J47" s="118"/>
      <c r="K47" s="118"/>
      <c r="L47" s="118"/>
      <c r="M47" s="118"/>
      <c r="N47" s="118"/>
      <c r="O47" s="118"/>
      <c r="P47" s="218"/>
      <c r="Q47" s="218"/>
      <c r="R47" s="218"/>
      <c r="S47" s="218"/>
    </row>
    <row r="48" spans="1:19">
      <c r="A48" s="98"/>
      <c r="B48" s="98"/>
      <c r="C48" s="98"/>
      <c r="D48" s="98"/>
      <c r="E48" s="98"/>
      <c r="F48" s="98"/>
      <c r="G48" s="98"/>
      <c r="H48" s="98"/>
      <c r="I48" s="98"/>
      <c r="J48" s="98"/>
      <c r="K48" s="98"/>
      <c r="L48" s="98"/>
      <c r="M48" s="98"/>
      <c r="N48" s="98"/>
      <c r="O48" s="98"/>
      <c r="P48" s="98"/>
      <c r="Q48" s="98"/>
      <c r="R48" s="98"/>
      <c r="S48" s="98"/>
    </row>
    <row r="49" spans="1:19" ht="13.5">
      <c r="A49" s="98"/>
      <c r="B49" s="98"/>
      <c r="C49" s="98"/>
      <c r="D49" s="98"/>
      <c r="E49" s="128" t="s">
        <v>54</v>
      </c>
      <c r="F49" s="129"/>
      <c r="G49" s="129"/>
      <c r="H49" s="129"/>
      <c r="I49" s="129"/>
      <c r="J49" s="98"/>
      <c r="K49" s="98"/>
      <c r="L49" s="98"/>
    </row>
    <row r="50" spans="1:19" ht="29.25" customHeight="1">
      <c r="A50" s="98"/>
      <c r="B50" s="98"/>
      <c r="C50" s="98"/>
      <c r="D50" s="98"/>
      <c r="E50" s="1671" t="s">
        <v>2</v>
      </c>
      <c r="F50" s="1842"/>
      <c r="G50" s="1842"/>
      <c r="H50" s="1842"/>
      <c r="I50" s="1842"/>
      <c r="J50" s="98"/>
      <c r="K50" s="98"/>
      <c r="L50" s="98"/>
    </row>
    <row r="51" spans="1:19" ht="13.5">
      <c r="A51" s="98"/>
      <c r="B51" s="98"/>
      <c r="C51" s="98"/>
      <c r="D51" s="98"/>
      <c r="E51" s="130" t="s">
        <v>55</v>
      </c>
      <c r="F51" s="130"/>
      <c r="G51" s="130"/>
      <c r="H51" s="130"/>
      <c r="I51" s="130"/>
      <c r="J51" s="98"/>
      <c r="K51" s="98"/>
      <c r="L51" s="98"/>
    </row>
    <row r="52" spans="1:19" ht="27.75" customHeight="1">
      <c r="A52" s="98"/>
      <c r="B52" s="98"/>
      <c r="C52" s="98"/>
      <c r="D52" s="98"/>
      <c r="E52" s="1667" t="s">
        <v>2</v>
      </c>
      <c r="F52" s="1672"/>
      <c r="G52" s="1672"/>
      <c r="H52" s="1672"/>
      <c r="I52" s="1672"/>
      <c r="J52" s="98"/>
      <c r="K52" s="98"/>
      <c r="L52" s="98"/>
    </row>
    <row r="53" spans="1:19" ht="13.5">
      <c r="A53" s="98"/>
      <c r="B53" s="98"/>
      <c r="C53" s="98"/>
      <c r="D53" s="98"/>
      <c r="E53" s="130" t="s">
        <v>56</v>
      </c>
      <c r="F53" s="130"/>
      <c r="G53" s="130"/>
      <c r="H53" s="130"/>
      <c r="I53" s="131"/>
      <c r="J53" s="98"/>
      <c r="K53" s="98"/>
      <c r="L53" s="98"/>
    </row>
    <row r="54" spans="1:19" ht="27" customHeight="1">
      <c r="A54" s="98"/>
      <c r="B54" s="98"/>
      <c r="C54" s="98"/>
      <c r="D54" s="98"/>
      <c r="E54" s="1671"/>
      <c r="F54" s="1842"/>
      <c r="G54" s="1842"/>
      <c r="H54" s="1842"/>
      <c r="I54" s="1842"/>
      <c r="J54" s="98"/>
      <c r="K54" s="98"/>
      <c r="L54" s="98"/>
    </row>
    <row r="55" spans="1:19" ht="13.5">
      <c r="A55" s="9"/>
      <c r="B55" s="9"/>
      <c r="C55" s="9"/>
      <c r="D55" s="9"/>
      <c r="E55" s="130" t="s">
        <v>57</v>
      </c>
      <c r="F55" s="130"/>
      <c r="G55" s="130"/>
      <c r="H55" s="130"/>
      <c r="I55" s="130"/>
      <c r="J55" s="9"/>
      <c r="K55" s="9"/>
      <c r="L55" s="9"/>
    </row>
    <row r="56" spans="1:19" ht="27" customHeight="1">
      <c r="A56" s="9"/>
      <c r="B56" s="9"/>
      <c r="C56" s="9"/>
      <c r="D56" s="9"/>
      <c r="E56" s="1676"/>
      <c r="F56" s="1671"/>
      <c r="G56" s="1671"/>
      <c r="H56" s="1671"/>
      <c r="I56" s="1671"/>
      <c r="J56" s="9"/>
      <c r="K56" s="9"/>
      <c r="L56" s="9"/>
    </row>
    <row r="57" spans="1:19" ht="13.5">
      <c r="A57" s="9"/>
      <c r="B57" s="9"/>
      <c r="C57" s="9"/>
      <c r="D57" s="9"/>
      <c r="E57" s="130" t="s">
        <v>58</v>
      </c>
      <c r="F57" s="130"/>
      <c r="G57" s="130"/>
      <c r="H57" s="130"/>
      <c r="I57" s="130"/>
      <c r="J57" s="9"/>
      <c r="K57" s="9"/>
      <c r="L57" s="9"/>
    </row>
    <row r="58" spans="1:19">
      <c r="A58" s="98"/>
      <c r="B58" s="98"/>
      <c r="C58" s="98"/>
      <c r="D58" s="98"/>
      <c r="E58" s="98"/>
      <c r="F58" s="98"/>
      <c r="G58" s="98"/>
      <c r="H58" s="98"/>
      <c r="I58" s="98"/>
      <c r="J58" s="98"/>
      <c r="K58" s="98"/>
      <c r="L58" s="98"/>
    </row>
    <row r="59" spans="1:19">
      <c r="A59" s="8"/>
      <c r="B59" s="8"/>
      <c r="C59" s="8"/>
      <c r="D59" s="8"/>
      <c r="E59" s="8"/>
      <c r="F59" s="8"/>
      <c r="G59" s="8"/>
      <c r="H59" s="8"/>
      <c r="I59" s="8"/>
      <c r="J59" s="8"/>
      <c r="K59" s="8"/>
      <c r="L59" s="8"/>
      <c r="M59" s="8"/>
      <c r="N59" s="8"/>
      <c r="O59" s="8"/>
      <c r="P59" s="8"/>
      <c r="Q59" s="8"/>
      <c r="R59" s="8"/>
      <c r="S59" s="8"/>
    </row>
    <row r="60" spans="1:19">
      <c r="A60" s="8"/>
      <c r="B60" s="8"/>
      <c r="C60" s="8"/>
      <c r="D60" s="8"/>
      <c r="E60" s="8"/>
      <c r="F60" s="8"/>
      <c r="G60" s="8"/>
      <c r="H60" s="8"/>
      <c r="I60" s="8"/>
      <c r="J60" s="8"/>
      <c r="K60" s="8"/>
      <c r="L60" s="8"/>
      <c r="M60" s="8"/>
      <c r="N60" s="8"/>
      <c r="O60" s="8"/>
      <c r="P60" s="8"/>
      <c r="Q60" s="8"/>
      <c r="R60" s="8"/>
      <c r="S60" s="8"/>
    </row>
    <row r="61" spans="1:19">
      <c r="A61" s="8"/>
      <c r="B61" s="8"/>
      <c r="C61" s="8"/>
      <c r="D61" s="8"/>
      <c r="E61" s="8"/>
      <c r="F61" s="8"/>
      <c r="G61" s="8"/>
      <c r="H61" s="8"/>
      <c r="I61" s="8"/>
      <c r="J61" s="8"/>
      <c r="K61" s="8"/>
      <c r="L61" s="8"/>
      <c r="M61" s="8"/>
      <c r="N61" s="8"/>
      <c r="O61" s="8"/>
      <c r="P61" s="8"/>
      <c r="Q61" s="8"/>
      <c r="R61" s="8"/>
      <c r="S61" s="8"/>
    </row>
    <row r="62" spans="1:19">
      <c r="A62" s="8"/>
      <c r="B62" s="8"/>
      <c r="C62" s="8"/>
      <c r="D62" s="8"/>
      <c r="E62" s="8"/>
      <c r="F62" s="8"/>
      <c r="G62" s="8"/>
      <c r="H62" s="8"/>
      <c r="I62" s="8"/>
      <c r="J62" s="8"/>
      <c r="K62" s="8"/>
      <c r="L62" s="8"/>
      <c r="M62" s="8"/>
      <c r="N62" s="8"/>
      <c r="O62" s="8"/>
      <c r="P62" s="8"/>
      <c r="Q62" s="8"/>
      <c r="R62" s="8"/>
      <c r="S62" s="8"/>
    </row>
    <row r="63" spans="1:19">
      <c r="A63" s="8"/>
      <c r="B63" s="8"/>
      <c r="C63" s="8"/>
      <c r="D63" s="8"/>
      <c r="E63" s="8"/>
      <c r="F63" s="8"/>
      <c r="G63" s="8"/>
      <c r="H63" s="8"/>
      <c r="I63" s="8"/>
      <c r="J63" s="8"/>
      <c r="K63" s="8"/>
      <c r="L63" s="8"/>
      <c r="M63" s="8"/>
      <c r="N63" s="8"/>
      <c r="O63" s="8"/>
      <c r="P63" s="8"/>
      <c r="Q63" s="8"/>
      <c r="R63" s="8"/>
      <c r="S63" s="8"/>
    </row>
    <row r="64" spans="1:19">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sheetData>
  <sheetProtection password="D94D" sheet="1"/>
  <mergeCells count="24">
    <mergeCell ref="A2:D2"/>
    <mergeCell ref="A3:D3"/>
    <mergeCell ref="F11:J11"/>
    <mergeCell ref="M11:O11"/>
    <mergeCell ref="F43:J43"/>
    <mergeCell ref="M43:O43"/>
    <mergeCell ref="F14:J14"/>
    <mergeCell ref="M14:O14"/>
    <mergeCell ref="M1:S1"/>
    <mergeCell ref="E9:P10"/>
    <mergeCell ref="M2:R2"/>
    <mergeCell ref="M3:R3"/>
    <mergeCell ref="M4:R4"/>
    <mergeCell ref="M5:R5"/>
    <mergeCell ref="E56:I56"/>
    <mergeCell ref="E52:I52"/>
    <mergeCell ref="E27:P28"/>
    <mergeCell ref="E41:P42"/>
    <mergeCell ref="M32:O32"/>
    <mergeCell ref="E54:I54"/>
    <mergeCell ref="E50:I50"/>
    <mergeCell ref="F29:J29"/>
    <mergeCell ref="M29:O29"/>
    <mergeCell ref="F32:J32"/>
  </mergeCells>
  <phoneticPr fontId="5" type="noConversion"/>
  <printOptions horizontalCentered="1"/>
  <pageMargins left="0.25" right="0.25" top="0.25" bottom="0.25" header="0.5" footer="0.5"/>
  <pageSetup scale="56"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4"/>
    <pageSetUpPr autoPageBreaks="0"/>
  </sheetPr>
  <dimension ref="A1:W91"/>
  <sheetViews>
    <sheetView showGridLines="0" zoomScale="85" zoomScaleNormal="85" workbookViewId="0">
      <pane xSplit="8" ySplit="9" topLeftCell="I10" activePane="bottomRight" state="frozen"/>
      <selection activeCell="J13" sqref="J13"/>
      <selection pane="topRight" activeCell="J13" sqref="J13"/>
      <selection pane="bottomLeft" activeCell="J13" sqref="J13"/>
      <selection pane="bottomRight" activeCell="J76" sqref="J76"/>
    </sheetView>
  </sheetViews>
  <sheetFormatPr defaultColWidth="5" defaultRowHeight="12"/>
  <cols>
    <col min="1" max="1" width="2.86328125" style="5" customWidth="1"/>
    <col min="2" max="2" width="9.1328125" style="7" customWidth="1"/>
    <col min="3" max="8" width="9.1328125" style="5" customWidth="1"/>
    <col min="9" max="9" width="12" style="5" customWidth="1"/>
    <col min="10" max="10" width="14.33203125" style="5" customWidth="1"/>
    <col min="11" max="11" width="14.46484375" style="5" customWidth="1"/>
    <col min="12" max="12" width="14" style="5" customWidth="1"/>
    <col min="13" max="13" width="12.53125" style="5" customWidth="1"/>
    <col min="14" max="15" width="14" style="5" customWidth="1"/>
    <col min="16" max="16" width="12.53125" style="5" customWidth="1"/>
    <col min="17" max="19" width="14" style="5" customWidth="1"/>
    <col min="20" max="20" width="14" style="28" customWidth="1"/>
    <col min="21" max="21" width="14" style="5" customWidth="1"/>
    <col min="22" max="22" width="12.53125" style="5" customWidth="1"/>
    <col min="23" max="23" width="75.46484375" style="1178" customWidth="1"/>
    <col min="24" max="16384" width="5" style="5"/>
  </cols>
  <sheetData>
    <row r="1" spans="1:23" ht="15">
      <c r="A1" s="43" t="s">
        <v>39</v>
      </c>
      <c r="B1" s="44"/>
      <c r="C1" s="45"/>
      <c r="D1" s="45"/>
      <c r="E1" s="45"/>
      <c r="F1" s="45"/>
      <c r="G1" s="45"/>
      <c r="H1" s="445"/>
      <c r="I1" s="1687" t="str">
        <f>IF('INTERIM-CERTIFICATION'!$M$1="","CHARTER NAME: Enter Charter Name on INTERIM-CERTIFICATION Worksheet",(CONCATENATE("CHARTER NAME: ",'INTERIM-CERTIFICATION'!$M$1)))</f>
        <v>CHARTER NAME: Encor Jr./Sr. High School for the Performing and Visual Arts</v>
      </c>
      <c r="J1" s="1687"/>
      <c r="K1" s="1687"/>
      <c r="L1" s="1687"/>
      <c r="M1" s="1687"/>
      <c r="N1" s="1687"/>
      <c r="O1" s="96"/>
      <c r="P1" s="96"/>
      <c r="Q1" s="96"/>
      <c r="R1" s="201"/>
      <c r="S1" s="201"/>
      <c r="T1" s="254"/>
      <c r="U1" s="254"/>
      <c r="V1" s="446"/>
    </row>
    <row r="2" spans="1:23" ht="15.4" thickBot="1">
      <c r="A2" s="447"/>
      <c r="B2" s="33"/>
      <c r="C2" s="34"/>
      <c r="D2" s="34"/>
      <c r="E2" s="34"/>
      <c r="F2" s="34"/>
      <c r="G2" s="34"/>
      <c r="H2" s="410"/>
      <c r="I2" s="1688" t="str">
        <f>IF('INTERIM-CERTIFICATION'!$M$5="","CHARTER #: Enter Charter # on INTERIM-CERTIFICATION Worksheet",(_xlfn.CONCAT("CHARTER #: ",'INTERIM-CERTIFICATION'!$M$5)))</f>
        <v>CHARTER #: 0971</v>
      </c>
      <c r="J2" s="1688"/>
      <c r="K2" s="1688"/>
      <c r="L2" s="1688"/>
      <c r="M2" s="1688"/>
      <c r="N2" s="1688"/>
      <c r="O2" s="202"/>
      <c r="P2" s="11"/>
      <c r="Q2" s="11"/>
      <c r="R2" s="11"/>
      <c r="S2" s="11"/>
      <c r="T2"/>
      <c r="U2"/>
      <c r="V2" s="448"/>
    </row>
    <row r="3" spans="1:23" ht="15.4" thickTop="1">
      <c r="A3" s="447"/>
      <c r="B3" s="33"/>
      <c r="C3" s="34"/>
      <c r="D3" s="34"/>
      <c r="E3" s="34"/>
      <c r="F3" s="34"/>
      <c r="G3" s="34"/>
      <c r="H3" s="35"/>
      <c r="I3" s="89"/>
      <c r="J3" s="35"/>
      <c r="K3" s="35"/>
      <c r="L3" s="35"/>
      <c r="M3" s="35"/>
      <c r="N3" s="35"/>
      <c r="O3" s="35"/>
      <c r="P3" s="35"/>
      <c r="Q3" s="35"/>
      <c r="R3" s="35"/>
      <c r="S3" s="35"/>
      <c r="T3"/>
      <c r="U3"/>
      <c r="V3" s="448"/>
    </row>
    <row r="4" spans="1:23" s="1343" customFormat="1" ht="15">
      <c r="A4" s="40"/>
      <c r="B4" s="36"/>
      <c r="C4"/>
      <c r="D4"/>
      <c r="E4" s="37"/>
      <c r="F4" s="37"/>
      <c r="G4" s="37"/>
      <c r="H4" s="37"/>
      <c r="I4" s="37"/>
      <c r="J4" s="92" t="str">
        <f>"Fiscal Year "&amp;'Budget-ADA'!K7&amp;" First Interim Report"</f>
        <v>Fiscal Year 2024-25 First Interim Report</v>
      </c>
      <c r="K4" s="37"/>
      <c r="L4" s="37"/>
      <c r="M4" s="37"/>
      <c r="N4" s="37"/>
      <c r="O4" s="37"/>
      <c r="P4" s="37"/>
      <c r="Q4" s="37"/>
      <c r="R4" s="37"/>
      <c r="S4" s="37"/>
      <c r="T4"/>
      <c r="U4" s="86"/>
      <c r="V4" s="449"/>
      <c r="W4" s="1179"/>
    </row>
    <row r="5" spans="1:23" s="1343" customFormat="1" ht="15">
      <c r="A5" s="40"/>
      <c r="B5" s="36"/>
      <c r="C5" s="36"/>
      <c r="D5"/>
      <c r="E5" s="37"/>
      <c r="F5" s="37"/>
      <c r="G5" s="37"/>
      <c r="H5" s="37"/>
      <c r="I5" s="37"/>
      <c r="J5" s="37" t="str">
        <f>"Projected ADA as of October 31, "&amp;'Budget-DEBT'!$D$13&amp;""</f>
        <v>Projected ADA as of October 31, 2024</v>
      </c>
      <c r="K5" s="37"/>
      <c r="L5" s="37"/>
      <c r="M5" s="37"/>
      <c r="N5" s="37"/>
      <c r="O5" s="37"/>
      <c r="P5" s="37"/>
      <c r="Q5" s="37"/>
      <c r="R5" s="37"/>
      <c r="S5" s="37"/>
      <c r="T5"/>
      <c r="U5" s="86"/>
      <c r="V5" s="449"/>
      <c r="W5" s="1179"/>
    </row>
    <row r="6" spans="1:23" s="1343" customFormat="1" ht="15.4" thickBot="1">
      <c r="A6" s="1851" t="str">
        <f>Instructions!H1</f>
        <v>Form Revised (revision date here if revised)</v>
      </c>
      <c r="B6" s="1852"/>
      <c r="C6" s="1852"/>
      <c r="D6" s="1852"/>
      <c r="E6" s="1852"/>
      <c r="F6" s="1852"/>
      <c r="G6" s="1852"/>
      <c r="H6" s="1852"/>
      <c r="I6" s="104"/>
      <c r="J6" s="103"/>
      <c r="K6" s="232"/>
      <c r="L6" s="232"/>
      <c r="M6" s="232"/>
      <c r="N6" s="232"/>
      <c r="O6" s="232"/>
      <c r="P6" s="232"/>
      <c r="Q6" s="1"/>
      <c r="R6" s="1"/>
      <c r="S6" s="1"/>
      <c r="T6"/>
      <c r="U6"/>
      <c r="V6" s="449"/>
      <c r="W6" s="1179"/>
    </row>
    <row r="7" spans="1:23" s="1343" customFormat="1" ht="16.5" customHeight="1">
      <c r="A7" s="1708" t="str">
        <f>IF('BUDGET-CERTIFICATION'!$H$3="","Charter Authorizer: Enter Charter Authorizer on INTERIM-CERTIFICATION Worksheet",(_xlfn.CONCAT("Charter Authorizer: ",'BUDGET-CERTIFICATION'!$H$3)))</f>
        <v>Charter Authorizer: Hesperia Unified School District</v>
      </c>
      <c r="B7" s="1709"/>
      <c r="C7" s="1709"/>
      <c r="D7" s="1709"/>
      <c r="E7" s="1709"/>
      <c r="F7" s="1709"/>
      <c r="G7" s="1710"/>
      <c r="H7" s="238"/>
      <c r="I7" s="1695" t="str">
        <f>'Budget-ADA'!I7</f>
        <v>2023-24</v>
      </c>
      <c r="J7" s="1853"/>
      <c r="K7" s="425"/>
      <c r="L7" s="426" t="str">
        <f>""&amp;'Budget-ADA'!$K$7&amp;" Adopted Budget"</f>
        <v>2024-25 Adopted Budget</v>
      </c>
      <c r="M7" s="427"/>
      <c r="N7" s="425"/>
      <c r="O7" s="426" t="str">
        <f>""&amp;'Budget-ADA'!$K$7&amp;" First Interim"</f>
        <v>2024-25 First Interim</v>
      </c>
      <c r="P7" s="427"/>
      <c r="Q7" s="425"/>
      <c r="R7" s="426" t="str">
        <f>""&amp;'Budget-ADA'!$N$7&amp;" First Interim"</f>
        <v>2025-26 First Interim</v>
      </c>
      <c r="S7" s="427"/>
      <c r="T7" s="425"/>
      <c r="U7" s="426" t="str">
        <f>""&amp;'Budget-ADA'!$Q$7&amp;" First Interim"</f>
        <v>2026-27 First Interim</v>
      </c>
      <c r="V7" s="428"/>
      <c r="W7" s="1179"/>
    </row>
    <row r="8" spans="1:23" s="1343" customFormat="1" ht="20.65" thickBot="1">
      <c r="A8" s="1711"/>
      <c r="B8" s="1712"/>
      <c r="C8" s="1712"/>
      <c r="D8" s="1712"/>
      <c r="E8" s="1712"/>
      <c r="F8" s="1712"/>
      <c r="G8" s="1713"/>
      <c r="H8" s="40"/>
      <c r="I8" s="422" t="s">
        <v>193</v>
      </c>
      <c r="J8" s="423" t="s">
        <v>196</v>
      </c>
      <c r="K8" s="429" t="s">
        <v>194</v>
      </c>
      <c r="L8" s="430" t="s">
        <v>196</v>
      </c>
      <c r="M8" s="1849" t="s">
        <v>228</v>
      </c>
      <c r="N8" s="429" t="s">
        <v>194</v>
      </c>
      <c r="O8" s="430" t="s">
        <v>196</v>
      </c>
      <c r="P8" s="1849" t="s">
        <v>229</v>
      </c>
      <c r="Q8" s="429" t="s">
        <v>194</v>
      </c>
      <c r="R8" s="430" t="s">
        <v>196</v>
      </c>
      <c r="S8" s="1849" t="s">
        <v>228</v>
      </c>
      <c r="T8" s="429" t="s">
        <v>194</v>
      </c>
      <c r="U8" s="430" t="s">
        <v>196</v>
      </c>
      <c r="V8" s="1847" t="s">
        <v>228</v>
      </c>
      <c r="W8" s="1179"/>
    </row>
    <row r="9" spans="1:23" ht="15.4" thickBot="1">
      <c r="A9" s="413" t="s">
        <v>2</v>
      </c>
      <c r="B9" s="414"/>
      <c r="C9" s="414"/>
      <c r="D9" s="414"/>
      <c r="E9" s="415"/>
      <c r="F9" s="416"/>
      <c r="G9" s="415"/>
      <c r="H9" s="421" t="s">
        <v>37</v>
      </c>
      <c r="I9" s="229" t="s">
        <v>167</v>
      </c>
      <c r="J9" s="88"/>
      <c r="K9" s="85" t="s">
        <v>167</v>
      </c>
      <c r="L9" s="88"/>
      <c r="M9" s="1850"/>
      <c r="N9" s="85" t="s">
        <v>167</v>
      </c>
      <c r="O9" s="88"/>
      <c r="P9" s="1850"/>
      <c r="Q9" s="85" t="s">
        <v>167</v>
      </c>
      <c r="R9" s="88"/>
      <c r="S9" s="1850"/>
      <c r="T9" s="85" t="s">
        <v>167</v>
      </c>
      <c r="U9" s="88"/>
      <c r="V9" s="1848"/>
    </row>
    <row r="10" spans="1:23" ht="21" thickTop="1" thickBot="1">
      <c r="A10" s="411" t="s">
        <v>197</v>
      </c>
      <c r="B10" s="412"/>
      <c r="C10" s="412"/>
      <c r="D10" s="45"/>
      <c r="E10" s="45"/>
      <c r="F10" s="45"/>
      <c r="G10" s="984"/>
      <c r="H10" s="548"/>
      <c r="I10" s="549"/>
      <c r="J10" s="548"/>
      <c r="K10" s="548"/>
      <c r="L10" s="548"/>
      <c r="M10" s="548"/>
      <c r="N10" s="548"/>
      <c r="O10" s="548"/>
      <c r="P10" s="548"/>
      <c r="Q10" s="548"/>
      <c r="R10" s="548"/>
      <c r="S10" s="548"/>
      <c r="T10" s="548"/>
      <c r="U10" s="548"/>
      <c r="V10" s="550"/>
    </row>
    <row r="11" spans="1:23" ht="15">
      <c r="A11" s="42" t="s">
        <v>171</v>
      </c>
      <c r="B11" s="239"/>
      <c r="C11"/>
      <c r="D11" s="34"/>
      <c r="E11" s="34"/>
      <c r="F11" s="34"/>
      <c r="G11" s="34"/>
      <c r="H11" s="551"/>
      <c r="I11" s="435"/>
      <c r="J11" s="239"/>
      <c r="K11" s="239"/>
      <c r="L11" s="239"/>
      <c r="M11" s="239"/>
      <c r="N11" s="239"/>
      <c r="O11" s="239"/>
      <c r="P11" s="239"/>
      <c r="Q11" s="239"/>
      <c r="R11" s="239"/>
      <c r="S11" s="239"/>
      <c r="T11" s="239"/>
      <c r="U11" s="239"/>
      <c r="V11" s="434"/>
    </row>
    <row r="12" spans="1:23" ht="15">
      <c r="A12" s="67"/>
      <c r="B12" s="243"/>
      <c r="C12" s="244" t="s">
        <v>168</v>
      </c>
      <c r="D12" s="241"/>
      <c r="E12" s="241"/>
      <c r="F12" s="241"/>
      <c r="G12" s="241"/>
      <c r="H12" s="242" t="s">
        <v>172</v>
      </c>
      <c r="I12" s="424">
        <f>'Budget-ADA'!I12</f>
        <v>0</v>
      </c>
      <c r="J12" s="771"/>
      <c r="K12" s="252">
        <f>'Budget-ADA'!K12</f>
        <v>0</v>
      </c>
      <c r="L12" s="771"/>
      <c r="M12" s="248" t="str">
        <f>'Budget-ADA'!M12</f>
        <v xml:space="preserve"> </v>
      </c>
      <c r="N12" s="246"/>
      <c r="O12" s="771"/>
      <c r="P12" s="247" t="str">
        <f t="shared" ref="P12:P23" si="0">IF(K12&lt;1," ",IF(N12&lt;1," ",(N12-K12)/K12))</f>
        <v xml:space="preserve"> </v>
      </c>
      <c r="Q12" s="246"/>
      <c r="R12" s="771"/>
      <c r="S12" s="247" t="str">
        <f t="shared" ref="S12:S23" si="1">IF(N12&lt;1," ",IF(Q12&lt;1," ",(Q12-N12)/N12))</f>
        <v xml:space="preserve"> </v>
      </c>
      <c r="T12" s="246"/>
      <c r="U12" s="771"/>
      <c r="V12" s="249" t="str">
        <f t="shared" ref="V12:V23" si="2">IF(Q12&lt;1," ",IF(T12&lt;1," ",(T12-Q12)/Q12))</f>
        <v xml:space="preserve"> </v>
      </c>
    </row>
    <row r="13" spans="1:23" ht="15">
      <c r="A13" s="235"/>
      <c r="B13" s="243"/>
      <c r="C13" s="139" t="s">
        <v>181</v>
      </c>
      <c r="D13" s="241"/>
      <c r="E13" s="241"/>
      <c r="F13" s="241"/>
      <c r="G13" s="241"/>
      <c r="H13" s="242" t="s">
        <v>173</v>
      </c>
      <c r="I13" s="424">
        <f>'Budget-ADA'!I13</f>
        <v>0</v>
      </c>
      <c r="J13" s="648"/>
      <c r="K13" s="252">
        <f>'Budget-ADA'!K13</f>
        <v>0</v>
      </c>
      <c r="L13" s="648"/>
      <c r="M13" s="248" t="str">
        <f>'Budget-ADA'!M13</f>
        <v xml:space="preserve"> </v>
      </c>
      <c r="N13" s="246"/>
      <c r="O13" s="648"/>
      <c r="P13" s="247" t="str">
        <f t="shared" si="0"/>
        <v xml:space="preserve"> </v>
      </c>
      <c r="Q13" s="246"/>
      <c r="R13" s="648"/>
      <c r="S13" s="247" t="str">
        <f t="shared" si="1"/>
        <v xml:space="preserve"> </v>
      </c>
      <c r="T13" s="246"/>
      <c r="U13" s="648"/>
      <c r="V13" s="249" t="str">
        <f t="shared" si="2"/>
        <v xml:space="preserve"> </v>
      </c>
    </row>
    <row r="14" spans="1:23" ht="15">
      <c r="A14" s="67"/>
      <c r="B14" s="243"/>
      <c r="C14" s="244" t="s">
        <v>169</v>
      </c>
      <c r="D14" s="241"/>
      <c r="E14" s="241"/>
      <c r="F14" s="241"/>
      <c r="G14" s="241"/>
      <c r="H14" s="242" t="s">
        <v>174</v>
      </c>
      <c r="I14" s="424">
        <f>'Budget-ADA'!I14</f>
        <v>0</v>
      </c>
      <c r="J14" s="648"/>
      <c r="K14" s="252">
        <f>'Budget-ADA'!K14</f>
        <v>0</v>
      </c>
      <c r="L14" s="648"/>
      <c r="M14" s="248" t="str">
        <f>'Budget-ADA'!M14</f>
        <v xml:space="preserve"> </v>
      </c>
      <c r="N14" s="246"/>
      <c r="O14" s="648"/>
      <c r="P14" s="247" t="str">
        <f t="shared" si="0"/>
        <v xml:space="preserve"> </v>
      </c>
      <c r="Q14" s="246"/>
      <c r="R14" s="648"/>
      <c r="S14" s="247" t="str">
        <f t="shared" si="1"/>
        <v xml:space="preserve"> </v>
      </c>
      <c r="T14" s="246"/>
      <c r="U14" s="648"/>
      <c r="V14" s="249" t="str">
        <f t="shared" si="2"/>
        <v xml:space="preserve"> </v>
      </c>
    </row>
    <row r="15" spans="1:23" ht="15">
      <c r="A15" s="67"/>
      <c r="B15" s="243"/>
      <c r="C15" s="139" t="s">
        <v>182</v>
      </c>
      <c r="D15" s="241"/>
      <c r="E15" s="241"/>
      <c r="F15" s="241"/>
      <c r="G15" s="241"/>
      <c r="H15" s="242" t="s">
        <v>175</v>
      </c>
      <c r="I15" s="424">
        <f>'Budget-ADA'!I15</f>
        <v>0</v>
      </c>
      <c r="J15" s="648"/>
      <c r="K15" s="252">
        <f>'Budget-ADA'!K15</f>
        <v>0</v>
      </c>
      <c r="L15" s="648"/>
      <c r="M15" s="248" t="str">
        <f>'Budget-ADA'!M15</f>
        <v xml:space="preserve"> </v>
      </c>
      <c r="N15" s="246"/>
      <c r="O15" s="648"/>
      <c r="P15" s="247" t="str">
        <f t="shared" si="0"/>
        <v xml:space="preserve"> </v>
      </c>
      <c r="Q15" s="246"/>
      <c r="R15" s="648"/>
      <c r="S15" s="247" t="str">
        <f t="shared" si="1"/>
        <v xml:space="preserve"> </v>
      </c>
      <c r="T15" s="246"/>
      <c r="U15" s="648"/>
      <c r="V15" s="249" t="str">
        <f t="shared" si="2"/>
        <v xml:space="preserve"> </v>
      </c>
    </row>
    <row r="16" spans="1:23" ht="15">
      <c r="A16" s="67"/>
      <c r="B16" s="243"/>
      <c r="C16" s="244" t="s">
        <v>170</v>
      </c>
      <c r="D16" s="241"/>
      <c r="E16" s="241"/>
      <c r="F16" s="241"/>
      <c r="G16" s="241"/>
      <c r="H16" s="242" t="s">
        <v>176</v>
      </c>
      <c r="I16" s="424">
        <f>'Budget-ADA'!I16</f>
        <v>0</v>
      </c>
      <c r="J16" s="648"/>
      <c r="K16" s="252">
        <f>'Budget-ADA'!K16</f>
        <v>0</v>
      </c>
      <c r="L16" s="648"/>
      <c r="M16" s="248" t="str">
        <f>'Budget-ADA'!M16</f>
        <v xml:space="preserve"> </v>
      </c>
      <c r="N16" s="246"/>
      <c r="O16" s="648"/>
      <c r="P16" s="247" t="str">
        <f t="shared" si="0"/>
        <v xml:space="preserve"> </v>
      </c>
      <c r="Q16" s="246"/>
      <c r="R16" s="648"/>
      <c r="S16" s="247" t="str">
        <f t="shared" si="1"/>
        <v xml:space="preserve"> </v>
      </c>
      <c r="T16" s="246"/>
      <c r="U16" s="648"/>
      <c r="V16" s="431" t="str">
        <f t="shared" si="2"/>
        <v xml:space="preserve"> </v>
      </c>
    </row>
    <row r="17" spans="1:22" ht="15">
      <c r="A17" s="67"/>
      <c r="B17" s="243"/>
      <c r="C17" s="139" t="s">
        <v>183</v>
      </c>
      <c r="D17" s="241"/>
      <c r="E17" s="241"/>
      <c r="F17" s="241"/>
      <c r="G17" s="241"/>
      <c r="H17" s="242" t="s">
        <v>187</v>
      </c>
      <c r="I17" s="424">
        <f>'Budget-ADA'!I17</f>
        <v>0</v>
      </c>
      <c r="J17" s="648"/>
      <c r="K17" s="252">
        <f>'Budget-ADA'!K17</f>
        <v>0</v>
      </c>
      <c r="L17" s="648"/>
      <c r="M17" s="248" t="str">
        <f>'Budget-ADA'!M17</f>
        <v xml:space="preserve"> </v>
      </c>
      <c r="N17" s="246"/>
      <c r="O17" s="648"/>
      <c r="P17" s="247" t="str">
        <f t="shared" si="0"/>
        <v xml:space="preserve"> </v>
      </c>
      <c r="Q17" s="246"/>
      <c r="R17" s="648"/>
      <c r="S17" s="247" t="str">
        <f t="shared" si="1"/>
        <v xml:space="preserve"> </v>
      </c>
      <c r="T17" s="246"/>
      <c r="U17" s="648"/>
      <c r="V17" s="431" t="str">
        <f t="shared" si="2"/>
        <v xml:space="preserve"> </v>
      </c>
    </row>
    <row r="18" spans="1:22" ht="15">
      <c r="A18" s="67"/>
      <c r="B18" s="243"/>
      <c r="C18" s="244" t="s">
        <v>184</v>
      </c>
      <c r="D18" s="241"/>
      <c r="E18" s="241"/>
      <c r="F18" s="241"/>
      <c r="G18" s="241"/>
      <c r="H18" s="242" t="s">
        <v>188</v>
      </c>
      <c r="I18" s="424">
        <f>'Budget-ADA'!I18</f>
        <v>0</v>
      </c>
      <c r="J18" s="648"/>
      <c r="K18" s="252">
        <f>'Budget-ADA'!K18</f>
        <v>0</v>
      </c>
      <c r="L18" s="648"/>
      <c r="M18" s="248" t="str">
        <f>'Budget-ADA'!M18</f>
        <v xml:space="preserve"> </v>
      </c>
      <c r="N18" s="246"/>
      <c r="O18" s="648"/>
      <c r="P18" s="247" t="str">
        <f t="shared" si="0"/>
        <v xml:space="preserve"> </v>
      </c>
      <c r="Q18" s="246"/>
      <c r="R18" s="648"/>
      <c r="S18" s="247" t="str">
        <f t="shared" si="1"/>
        <v xml:space="preserve"> </v>
      </c>
      <c r="T18" s="246"/>
      <c r="U18" s="648"/>
      <c r="V18" s="431" t="str">
        <f t="shared" si="2"/>
        <v xml:space="preserve"> </v>
      </c>
    </row>
    <row r="19" spans="1:22" ht="15">
      <c r="A19" s="67"/>
      <c r="B19" s="243"/>
      <c r="C19" s="139" t="s">
        <v>185</v>
      </c>
      <c r="D19" s="241"/>
      <c r="E19" s="241"/>
      <c r="F19" s="241"/>
      <c r="G19" s="241"/>
      <c r="H19" s="242" t="s">
        <v>189</v>
      </c>
      <c r="I19" s="424">
        <f>'Budget-ADA'!I19</f>
        <v>0</v>
      </c>
      <c r="J19" s="648"/>
      <c r="K19" s="252">
        <f>'Budget-ADA'!K19</f>
        <v>0</v>
      </c>
      <c r="L19" s="648"/>
      <c r="M19" s="248" t="str">
        <f>'Budget-ADA'!M19</f>
        <v xml:space="preserve"> </v>
      </c>
      <c r="N19" s="246"/>
      <c r="O19" s="648"/>
      <c r="P19" s="247" t="str">
        <f t="shared" si="0"/>
        <v xml:space="preserve"> </v>
      </c>
      <c r="Q19" s="246"/>
      <c r="R19" s="648"/>
      <c r="S19" s="247" t="str">
        <f t="shared" si="1"/>
        <v xml:space="preserve"> </v>
      </c>
      <c r="T19" s="246"/>
      <c r="U19" s="648"/>
      <c r="V19" s="431" t="str">
        <f t="shared" si="2"/>
        <v xml:space="preserve"> </v>
      </c>
    </row>
    <row r="20" spans="1:22" ht="18.75" customHeight="1">
      <c r="A20" s="67"/>
      <c r="B20" s="1679" t="s">
        <v>358</v>
      </c>
      <c r="C20" s="1680"/>
      <c r="D20" s="1680"/>
      <c r="E20" s="1680"/>
      <c r="F20" s="1680"/>
      <c r="G20" s="1681"/>
      <c r="H20" s="242" t="s">
        <v>190</v>
      </c>
      <c r="I20" s="424">
        <f>'Budget-ADA'!I20</f>
        <v>0</v>
      </c>
      <c r="J20" s="251">
        <f>IF(('Budget-ADA'!J20="Cell G10 CANNOT be blank"), "Missing Data, BUDGET-ADA Tab, cell G10",'Budget-ADA'!J20)</f>
        <v>0</v>
      </c>
      <c r="K20" s="252">
        <f>'Budget-ADA'!K20</f>
        <v>0</v>
      </c>
      <c r="L20" s="439">
        <f>IF(('Budget-ADA'!L20="Cell G10 CANNOT be blank"), "Missing Data, BUDGET-ADA Tab, cell G10",'Budget-ADA'!L20)</f>
        <v>0</v>
      </c>
      <c r="M20" s="438" t="str">
        <f>'Budget-ADA'!M20</f>
        <v xml:space="preserve"> </v>
      </c>
      <c r="N20" s="250">
        <f>N12+N14+N16+N18</f>
        <v>0</v>
      </c>
      <c r="O20" s="648"/>
      <c r="P20" s="248" t="str">
        <f t="shared" si="0"/>
        <v xml:space="preserve"> </v>
      </c>
      <c r="Q20" s="250">
        <f>Q12+Q14+Q16+Q18</f>
        <v>0</v>
      </c>
      <c r="R20" s="648"/>
      <c r="S20" s="248" t="str">
        <f t="shared" si="1"/>
        <v xml:space="preserve"> </v>
      </c>
      <c r="T20" s="250">
        <f>T12+T14+T16+T18</f>
        <v>0</v>
      </c>
      <c r="U20" s="648"/>
      <c r="V20" s="431" t="str">
        <f t="shared" si="2"/>
        <v xml:space="preserve"> </v>
      </c>
    </row>
    <row r="21" spans="1:22" ht="15">
      <c r="A21" s="67"/>
      <c r="B21" s="1679" t="s">
        <v>359</v>
      </c>
      <c r="C21" s="1680"/>
      <c r="D21" s="1680"/>
      <c r="E21" s="1680"/>
      <c r="F21" s="1680"/>
      <c r="G21" s="1681"/>
      <c r="H21" s="242" t="s">
        <v>191</v>
      </c>
      <c r="I21" s="424">
        <f>'Budget-ADA'!I21</f>
        <v>0</v>
      </c>
      <c r="J21" s="251">
        <f>'Budget-ADA'!J21</f>
        <v>0</v>
      </c>
      <c r="K21" s="252">
        <f>'Budget-ADA'!K21</f>
        <v>0</v>
      </c>
      <c r="L21" s="439">
        <f>'Budget-ADA'!L21</f>
        <v>0</v>
      </c>
      <c r="M21" s="438" t="str">
        <f>'Budget-ADA'!M21</f>
        <v xml:space="preserve"> </v>
      </c>
      <c r="N21" s="250">
        <f>N13+N15+N17+N19</f>
        <v>0</v>
      </c>
      <c r="O21" s="439">
        <f>N21</f>
        <v>0</v>
      </c>
      <c r="P21" s="248" t="str">
        <f t="shared" si="0"/>
        <v xml:space="preserve"> </v>
      </c>
      <c r="Q21" s="250">
        <f>Q13+Q15+Q17+Q19</f>
        <v>0</v>
      </c>
      <c r="R21" s="439">
        <f>Q21</f>
        <v>0</v>
      </c>
      <c r="S21" s="248" t="str">
        <f t="shared" si="1"/>
        <v xml:space="preserve"> </v>
      </c>
      <c r="T21" s="250">
        <f>T13+T15+T17+T19</f>
        <v>0</v>
      </c>
      <c r="U21" s="439">
        <f>T21</f>
        <v>0</v>
      </c>
      <c r="V21" s="431" t="str">
        <f t="shared" si="2"/>
        <v xml:space="preserve"> </v>
      </c>
    </row>
    <row r="22" spans="1:22" ht="47.25" customHeight="1">
      <c r="A22" s="67"/>
      <c r="B22" s="1679" t="s">
        <v>356</v>
      </c>
      <c r="C22" s="1680"/>
      <c r="D22" s="1680"/>
      <c r="E22" s="1680"/>
      <c r="F22" s="1680"/>
      <c r="G22" s="1681"/>
      <c r="H22" s="242" t="s">
        <v>355</v>
      </c>
      <c r="I22" s="424">
        <f>'Budget-ADA'!I22</f>
        <v>0</v>
      </c>
      <c r="J22" s="439">
        <f>'Budget-ADA'!J22</f>
        <v>0</v>
      </c>
      <c r="K22" s="252">
        <f>'Budget-ADA'!K22</f>
        <v>0</v>
      </c>
      <c r="L22" s="439">
        <f>'Budget-ADA'!L22</f>
        <v>0</v>
      </c>
      <c r="M22" s="248" t="str">
        <f>'Budget-ADA'!M22</f>
        <v xml:space="preserve"> </v>
      </c>
      <c r="N22" s="250">
        <f>N20-N21</f>
        <v>0</v>
      </c>
      <c r="O22" s="439" t="str">
        <f>IF($G$10="","Cell G10 CANNOT be blank",N22*$G$10)</f>
        <v>Cell G10 CANNOT be blank</v>
      </c>
      <c r="P22" s="248" t="str">
        <f t="shared" si="0"/>
        <v xml:space="preserve"> </v>
      </c>
      <c r="Q22" s="252">
        <f>Q20-Q21</f>
        <v>0</v>
      </c>
      <c r="R22" s="439" t="str">
        <f>IF($G$10="","Cell G10 CANNOT be blank",Q22*$G$10)</f>
        <v>Cell G10 CANNOT be blank</v>
      </c>
      <c r="S22" s="248" t="str">
        <f t="shared" si="1"/>
        <v xml:space="preserve"> </v>
      </c>
      <c r="T22" s="252">
        <f>T20-T21</f>
        <v>0</v>
      </c>
      <c r="U22" s="439" t="str">
        <f>IF($G$10="","Cell G10 CANNOT be blank",T22*$G$10)</f>
        <v>Cell G10 CANNOT be blank</v>
      </c>
      <c r="V22" s="431" t="str">
        <f t="shared" si="2"/>
        <v xml:space="preserve"> </v>
      </c>
    </row>
    <row r="23" spans="1:22" ht="31.5" customHeight="1">
      <c r="A23" s="67"/>
      <c r="B23" s="1701" t="s">
        <v>186</v>
      </c>
      <c r="C23" s="1702"/>
      <c r="D23" s="1702"/>
      <c r="E23" s="1702"/>
      <c r="F23" s="1702"/>
      <c r="G23" s="1703"/>
      <c r="H23" s="242" t="s">
        <v>192</v>
      </c>
      <c r="I23" s="424">
        <f>'Budget-ADA'!I23</f>
        <v>0</v>
      </c>
      <c r="J23" s="648"/>
      <c r="K23" s="252">
        <f>'Budget-ADA'!K23</f>
        <v>0</v>
      </c>
      <c r="L23" s="648"/>
      <c r="M23" s="248" t="str">
        <f>'Budget-ADA'!M23</f>
        <v xml:space="preserve"> </v>
      </c>
      <c r="N23" s="246"/>
      <c r="O23" s="648"/>
      <c r="P23" s="247" t="str">
        <f t="shared" si="0"/>
        <v xml:space="preserve"> </v>
      </c>
      <c r="Q23" s="246"/>
      <c r="R23" s="648"/>
      <c r="S23" s="247" t="str">
        <f t="shared" si="1"/>
        <v xml:space="preserve"> </v>
      </c>
      <c r="T23" s="246"/>
      <c r="U23" s="648"/>
      <c r="V23" s="431" t="str">
        <f t="shared" si="2"/>
        <v xml:space="preserve"> </v>
      </c>
    </row>
    <row r="24" spans="1:22" ht="15">
      <c r="A24" s="67"/>
      <c r="B24" s="556"/>
      <c r="C24" s="432"/>
      <c r="D24" s="432"/>
      <c r="E24" s="432"/>
      <c r="F24" s="432"/>
      <c r="G24" s="432"/>
      <c r="H24" s="552"/>
      <c r="I24" s="553"/>
      <c r="J24" s="553"/>
      <c r="K24" s="553"/>
      <c r="L24" s="553"/>
      <c r="M24" s="557"/>
      <c r="N24" s="105"/>
      <c r="O24" s="553"/>
      <c r="P24" s="557"/>
      <c r="Q24" s="105"/>
      <c r="R24" s="553"/>
      <c r="S24" s="557"/>
      <c r="T24" s="564"/>
      <c r="U24" s="553"/>
      <c r="V24" s="558"/>
    </row>
    <row r="25" spans="1:22" ht="15">
      <c r="A25" s="42" t="s">
        <v>177</v>
      </c>
      <c r="B25" s="239"/>
      <c r="C25"/>
      <c r="D25" s="34"/>
      <c r="E25" s="34"/>
      <c r="F25" s="34"/>
      <c r="G25" s="34"/>
      <c r="H25" s="559"/>
      <c r="I25" s="90"/>
      <c r="J25" s="38"/>
      <c r="K25" s="38"/>
      <c r="L25" s="38"/>
      <c r="M25" s="38"/>
      <c r="N25" s="38"/>
      <c r="O25" s="38"/>
      <c r="P25" s="38"/>
      <c r="Q25" s="38"/>
      <c r="R25" s="38"/>
      <c r="S25" s="38"/>
      <c r="T25" s="38"/>
      <c r="U25" s="38"/>
      <c r="V25" s="234"/>
    </row>
    <row r="26" spans="1:22" ht="15">
      <c r="A26" s="67"/>
      <c r="B26" s="243"/>
      <c r="C26" s="244" t="s">
        <v>168</v>
      </c>
      <c r="D26" s="241"/>
      <c r="E26" s="241"/>
      <c r="F26" s="241"/>
      <c r="G26" s="241"/>
      <c r="H26" s="242" t="s">
        <v>172</v>
      </c>
      <c r="I26" s="424">
        <f>'Budget-ADA'!I26</f>
        <v>0</v>
      </c>
      <c r="J26" s="771"/>
      <c r="K26" s="252">
        <f>'Budget-ADA'!K26</f>
        <v>0</v>
      </c>
      <c r="L26" s="771"/>
      <c r="M26" s="248" t="str">
        <f>'Budget-ADA'!M26</f>
        <v xml:space="preserve"> </v>
      </c>
      <c r="N26" s="246"/>
      <c r="O26" s="771"/>
      <c r="P26" s="247" t="str">
        <f t="shared" ref="P26:P36" si="3">IF(K26&lt;1," ",IF(N26&lt;1," ",(N26-K26)/K26))</f>
        <v xml:space="preserve"> </v>
      </c>
      <c r="Q26" s="246"/>
      <c r="R26" s="771"/>
      <c r="S26" s="247" t="str">
        <f t="shared" ref="S26:S36" si="4">IF(N26&lt;1," ",IF(Q26&lt;1," ",(Q26-N26)/N26))</f>
        <v xml:space="preserve"> </v>
      </c>
      <c r="T26" s="246"/>
      <c r="U26" s="771"/>
      <c r="V26" s="249" t="str">
        <f t="shared" ref="V26:V36" si="5">IF(Q26&lt;1," ",IF(T26&lt;1," ",(T26-Q26)/Q26))</f>
        <v xml:space="preserve"> </v>
      </c>
    </row>
    <row r="27" spans="1:22" ht="15">
      <c r="A27" s="67"/>
      <c r="B27" s="243"/>
      <c r="C27" s="139" t="s">
        <v>181</v>
      </c>
      <c r="D27" s="241"/>
      <c r="E27" s="241"/>
      <c r="F27" s="241"/>
      <c r="G27" s="241"/>
      <c r="H27" s="242" t="s">
        <v>173</v>
      </c>
      <c r="I27" s="424">
        <f>'Budget-ADA'!I27</f>
        <v>0</v>
      </c>
      <c r="J27" s="648"/>
      <c r="K27" s="252">
        <f>'Budget-ADA'!K27</f>
        <v>0</v>
      </c>
      <c r="L27" s="648"/>
      <c r="M27" s="248" t="str">
        <f>'Budget-ADA'!M27</f>
        <v xml:space="preserve"> </v>
      </c>
      <c r="N27" s="246"/>
      <c r="O27" s="648"/>
      <c r="P27" s="247" t="str">
        <f t="shared" si="3"/>
        <v xml:space="preserve"> </v>
      </c>
      <c r="Q27" s="246"/>
      <c r="R27" s="648"/>
      <c r="S27" s="247" t="str">
        <f t="shared" si="4"/>
        <v xml:space="preserve"> </v>
      </c>
      <c r="T27" s="246"/>
      <c r="U27" s="648"/>
      <c r="V27" s="249" t="str">
        <f t="shared" si="5"/>
        <v xml:space="preserve"> </v>
      </c>
    </row>
    <row r="28" spans="1:22" ht="15">
      <c r="A28" s="67"/>
      <c r="B28" s="243"/>
      <c r="C28" s="244" t="s">
        <v>169</v>
      </c>
      <c r="D28" s="241"/>
      <c r="E28" s="241"/>
      <c r="F28" s="241"/>
      <c r="G28" s="241"/>
      <c r="H28" s="242" t="s">
        <v>174</v>
      </c>
      <c r="I28" s="424">
        <f>'Budget-ADA'!I28</f>
        <v>0</v>
      </c>
      <c r="J28" s="648"/>
      <c r="K28" s="252">
        <f>'Budget-ADA'!K28</f>
        <v>0</v>
      </c>
      <c r="L28" s="648"/>
      <c r="M28" s="248" t="str">
        <f>'Budget-ADA'!M28</f>
        <v xml:space="preserve"> </v>
      </c>
      <c r="N28" s="246"/>
      <c r="O28" s="648"/>
      <c r="P28" s="247" t="str">
        <f t="shared" si="3"/>
        <v xml:space="preserve"> </v>
      </c>
      <c r="Q28" s="246"/>
      <c r="R28" s="648"/>
      <c r="S28" s="247" t="str">
        <f t="shared" si="4"/>
        <v xml:space="preserve"> </v>
      </c>
      <c r="T28" s="246"/>
      <c r="U28" s="648"/>
      <c r="V28" s="249" t="str">
        <f t="shared" si="5"/>
        <v xml:space="preserve"> </v>
      </c>
    </row>
    <row r="29" spans="1:22" ht="15">
      <c r="A29" s="67"/>
      <c r="B29" s="243"/>
      <c r="C29" s="139" t="s">
        <v>182</v>
      </c>
      <c r="D29" s="241"/>
      <c r="E29" s="241"/>
      <c r="F29" s="241"/>
      <c r="G29" s="241"/>
      <c r="H29" s="242" t="s">
        <v>175</v>
      </c>
      <c r="I29" s="424">
        <f>'Budget-ADA'!I29</f>
        <v>0</v>
      </c>
      <c r="J29" s="648"/>
      <c r="K29" s="252">
        <f>'Budget-ADA'!K29</f>
        <v>0</v>
      </c>
      <c r="L29" s="648"/>
      <c r="M29" s="248" t="str">
        <f>'Budget-ADA'!M29</f>
        <v xml:space="preserve"> </v>
      </c>
      <c r="N29" s="246"/>
      <c r="O29" s="648"/>
      <c r="P29" s="247" t="str">
        <f t="shared" si="3"/>
        <v xml:space="preserve"> </v>
      </c>
      <c r="Q29" s="246"/>
      <c r="R29" s="648"/>
      <c r="S29" s="247" t="str">
        <f t="shared" si="4"/>
        <v xml:space="preserve"> </v>
      </c>
      <c r="T29" s="246"/>
      <c r="U29" s="648"/>
      <c r="V29" s="249" t="str">
        <f t="shared" si="5"/>
        <v xml:space="preserve"> </v>
      </c>
    </row>
    <row r="30" spans="1:22" ht="15">
      <c r="A30" s="67"/>
      <c r="B30" s="243"/>
      <c r="C30" s="244" t="s">
        <v>170</v>
      </c>
      <c r="D30" s="241"/>
      <c r="E30" s="241"/>
      <c r="F30" s="241"/>
      <c r="G30" s="241"/>
      <c r="H30" s="242" t="s">
        <v>176</v>
      </c>
      <c r="I30" s="424">
        <f>'Budget-ADA'!I30</f>
        <v>0</v>
      </c>
      <c r="J30" s="648"/>
      <c r="K30" s="252">
        <f>'Budget-ADA'!K30</f>
        <v>0</v>
      </c>
      <c r="L30" s="648"/>
      <c r="M30" s="248" t="str">
        <f>'Budget-ADA'!M30</f>
        <v xml:space="preserve"> </v>
      </c>
      <c r="N30" s="246"/>
      <c r="O30" s="648"/>
      <c r="P30" s="247" t="str">
        <f t="shared" si="3"/>
        <v xml:space="preserve"> </v>
      </c>
      <c r="Q30" s="246"/>
      <c r="R30" s="648"/>
      <c r="S30" s="247" t="str">
        <f t="shared" si="4"/>
        <v xml:space="preserve"> </v>
      </c>
      <c r="T30" s="246"/>
      <c r="U30" s="648"/>
      <c r="V30" s="249" t="str">
        <f t="shared" si="5"/>
        <v xml:space="preserve"> </v>
      </c>
    </row>
    <row r="31" spans="1:22" ht="15">
      <c r="A31" s="67"/>
      <c r="B31" s="243"/>
      <c r="C31" s="139" t="s">
        <v>183</v>
      </c>
      <c r="D31" s="241"/>
      <c r="E31" s="241"/>
      <c r="F31" s="241"/>
      <c r="G31" s="241"/>
      <c r="H31" s="242" t="s">
        <v>187</v>
      </c>
      <c r="I31" s="424">
        <f>'Budget-ADA'!I31</f>
        <v>0</v>
      </c>
      <c r="J31" s="648"/>
      <c r="K31" s="252">
        <f>'Budget-ADA'!K31</f>
        <v>0</v>
      </c>
      <c r="L31" s="648"/>
      <c r="M31" s="248" t="str">
        <f>'Budget-ADA'!M31</f>
        <v xml:space="preserve"> </v>
      </c>
      <c r="N31" s="246"/>
      <c r="O31" s="648"/>
      <c r="P31" s="247" t="str">
        <f t="shared" si="3"/>
        <v xml:space="preserve"> </v>
      </c>
      <c r="Q31" s="246"/>
      <c r="R31" s="648"/>
      <c r="S31" s="247" t="str">
        <f t="shared" si="4"/>
        <v xml:space="preserve"> </v>
      </c>
      <c r="T31" s="246"/>
      <c r="U31" s="648"/>
      <c r="V31" s="249" t="str">
        <f t="shared" si="5"/>
        <v xml:space="preserve"> </v>
      </c>
    </row>
    <row r="32" spans="1:22" ht="15">
      <c r="A32" s="67"/>
      <c r="B32" s="243"/>
      <c r="C32" s="244" t="s">
        <v>184</v>
      </c>
      <c r="D32" s="241"/>
      <c r="E32" s="241"/>
      <c r="F32" s="241"/>
      <c r="G32" s="241"/>
      <c r="H32" s="242" t="s">
        <v>188</v>
      </c>
      <c r="I32" s="424">
        <f>'Budget-ADA'!I32</f>
        <v>0</v>
      </c>
      <c r="J32" s="648"/>
      <c r="K32" s="252">
        <f>'Budget-ADA'!K32</f>
        <v>0</v>
      </c>
      <c r="L32" s="648"/>
      <c r="M32" s="248" t="str">
        <f>'Budget-ADA'!M32</f>
        <v xml:space="preserve"> </v>
      </c>
      <c r="N32" s="246"/>
      <c r="O32" s="648"/>
      <c r="P32" s="247" t="str">
        <f t="shared" si="3"/>
        <v xml:space="preserve"> </v>
      </c>
      <c r="Q32" s="246"/>
      <c r="R32" s="648"/>
      <c r="S32" s="247" t="str">
        <f t="shared" si="4"/>
        <v xml:space="preserve"> </v>
      </c>
      <c r="T32" s="246"/>
      <c r="U32" s="648"/>
      <c r="V32" s="249" t="str">
        <f t="shared" si="5"/>
        <v xml:space="preserve"> </v>
      </c>
    </row>
    <row r="33" spans="1:22" ht="15">
      <c r="A33" s="67"/>
      <c r="B33" s="243"/>
      <c r="C33" s="641" t="s">
        <v>185</v>
      </c>
      <c r="D33" s="241"/>
      <c r="E33" s="241"/>
      <c r="F33" s="241"/>
      <c r="G33" s="241"/>
      <c r="H33" s="242" t="s">
        <v>189</v>
      </c>
      <c r="I33" s="424">
        <f>'Budget-ADA'!I33</f>
        <v>0</v>
      </c>
      <c r="J33" s="648"/>
      <c r="K33" s="252">
        <f>'Budget-ADA'!K33</f>
        <v>0</v>
      </c>
      <c r="L33" s="648"/>
      <c r="M33" s="248" t="str">
        <f>'Budget-ADA'!M33</f>
        <v xml:space="preserve"> </v>
      </c>
      <c r="N33" s="246"/>
      <c r="O33" s="648"/>
      <c r="P33" s="247" t="str">
        <f t="shared" si="3"/>
        <v xml:space="preserve"> </v>
      </c>
      <c r="Q33" s="246"/>
      <c r="R33" s="648"/>
      <c r="S33" s="247" t="str">
        <f t="shared" si="4"/>
        <v xml:space="preserve"> </v>
      </c>
      <c r="T33" s="246"/>
      <c r="U33" s="648"/>
      <c r="V33" s="249" t="str">
        <f t="shared" si="5"/>
        <v xml:space="preserve"> </v>
      </c>
    </row>
    <row r="34" spans="1:22" ht="18.75" customHeight="1">
      <c r="A34" s="67"/>
      <c r="B34" s="1679" t="s">
        <v>358</v>
      </c>
      <c r="C34" s="1680"/>
      <c r="D34" s="1680"/>
      <c r="E34" s="1680"/>
      <c r="F34" s="1680"/>
      <c r="G34" s="1681"/>
      <c r="H34" s="242" t="s">
        <v>190</v>
      </c>
      <c r="I34" s="424">
        <f>'Budget-ADA'!I34</f>
        <v>0</v>
      </c>
      <c r="J34" s="251">
        <f>IF(('Budget-ADA'!J34="Cell G10 CANNOT be blank"), "Missing Data, BUDGET-ADA Tab, cell G10",'Budget-ADA'!J34)</f>
        <v>0</v>
      </c>
      <c r="K34" s="252">
        <f>'Budget-ADA'!K34</f>
        <v>0</v>
      </c>
      <c r="L34" s="439">
        <f>IF(('Budget-ADA'!L34="Cell G10 CANNOT be blank"), "Missing Data, BUDGET-ADA Tab, cell G10",'Budget-ADA'!L34)</f>
        <v>0</v>
      </c>
      <c r="M34" s="438" t="str">
        <f>'Budget-ADA'!M34</f>
        <v xml:space="preserve"> </v>
      </c>
      <c r="N34" s="250">
        <f>N26+N28+N30+N32</f>
        <v>0</v>
      </c>
      <c r="O34" s="648"/>
      <c r="P34" s="248" t="str">
        <f t="shared" si="3"/>
        <v xml:space="preserve"> </v>
      </c>
      <c r="Q34" s="250">
        <f>Q26+Q28+Q30+Q32</f>
        <v>0</v>
      </c>
      <c r="R34" s="648"/>
      <c r="S34" s="248" t="str">
        <f t="shared" si="4"/>
        <v xml:space="preserve"> </v>
      </c>
      <c r="T34" s="250">
        <f>T26+T28+T30+T32</f>
        <v>0</v>
      </c>
      <c r="U34" s="648"/>
      <c r="V34" s="431" t="str">
        <f t="shared" si="5"/>
        <v xml:space="preserve"> </v>
      </c>
    </row>
    <row r="35" spans="1:22" ht="15">
      <c r="A35" s="67"/>
      <c r="B35" s="1679" t="s">
        <v>359</v>
      </c>
      <c r="C35" s="1680"/>
      <c r="D35" s="1680"/>
      <c r="E35" s="1680"/>
      <c r="F35" s="1680"/>
      <c r="G35" s="1681"/>
      <c r="H35" s="242" t="s">
        <v>191</v>
      </c>
      <c r="I35" s="424">
        <f>'Budget-ADA'!I35</f>
        <v>0</v>
      </c>
      <c r="J35" s="251">
        <f>'Budget-ADA'!J35</f>
        <v>0</v>
      </c>
      <c r="K35" s="252">
        <f>'Budget-ADA'!K35</f>
        <v>0</v>
      </c>
      <c r="L35" s="439">
        <f>'Budget-ADA'!L35</f>
        <v>0</v>
      </c>
      <c r="M35" s="438" t="str">
        <f>'Budget-ADA'!M35</f>
        <v xml:space="preserve"> </v>
      </c>
      <c r="N35" s="250">
        <f>N27+N29+N31+N33</f>
        <v>0</v>
      </c>
      <c r="O35" s="439">
        <f>N35</f>
        <v>0</v>
      </c>
      <c r="P35" s="248" t="str">
        <f t="shared" si="3"/>
        <v xml:space="preserve"> </v>
      </c>
      <c r="Q35" s="250">
        <f>Q27+Q29+Q31+Q33</f>
        <v>0</v>
      </c>
      <c r="R35" s="439">
        <f>Q35</f>
        <v>0</v>
      </c>
      <c r="S35" s="248" t="str">
        <f t="shared" si="4"/>
        <v xml:space="preserve"> </v>
      </c>
      <c r="T35" s="250">
        <f>T27+T29+T31+T33</f>
        <v>0</v>
      </c>
      <c r="U35" s="439">
        <f>T35</f>
        <v>0</v>
      </c>
      <c r="V35" s="431" t="str">
        <f t="shared" si="5"/>
        <v xml:space="preserve"> </v>
      </c>
    </row>
    <row r="36" spans="1:22" ht="47.25" customHeight="1">
      <c r="A36" s="67"/>
      <c r="B36" s="1679" t="s">
        <v>356</v>
      </c>
      <c r="C36" s="1680"/>
      <c r="D36" s="1680"/>
      <c r="E36" s="1680"/>
      <c r="F36" s="1680"/>
      <c r="G36" s="1681"/>
      <c r="H36" s="242" t="s">
        <v>355</v>
      </c>
      <c r="I36" s="424">
        <f>'Budget-ADA'!I36</f>
        <v>0</v>
      </c>
      <c r="J36" s="439">
        <f>'Budget-ADA'!J36</f>
        <v>0</v>
      </c>
      <c r="K36" s="252">
        <f>'Budget-ADA'!K36</f>
        <v>0</v>
      </c>
      <c r="L36" s="439">
        <f>'Budget-ADA'!L36</f>
        <v>0</v>
      </c>
      <c r="M36" s="248" t="str">
        <f>'Budget-ADA'!M36</f>
        <v xml:space="preserve"> </v>
      </c>
      <c r="N36" s="250">
        <f>N34-N35</f>
        <v>0</v>
      </c>
      <c r="O36" s="439" t="str">
        <f>IF($G$10="","Cell G10 CANNOT be blank",N36*$G$10)</f>
        <v>Cell G10 CANNOT be blank</v>
      </c>
      <c r="P36" s="248" t="str">
        <f t="shared" si="3"/>
        <v xml:space="preserve"> </v>
      </c>
      <c r="Q36" s="252">
        <f>Q34-Q35</f>
        <v>0</v>
      </c>
      <c r="R36" s="439" t="str">
        <f>IF($G$10="","Cell G10 CANNOT be blank",Q36*$G$10)</f>
        <v>Cell G10 CANNOT be blank</v>
      </c>
      <c r="S36" s="248" t="str">
        <f t="shared" si="4"/>
        <v xml:space="preserve"> </v>
      </c>
      <c r="T36" s="252">
        <f>T34-T35</f>
        <v>0</v>
      </c>
      <c r="U36" s="439" t="str">
        <f>IF($G$10="","Cell G10 CANNOT be blank",T36*$G$10)</f>
        <v>Cell G10 CANNOT be blank</v>
      </c>
      <c r="V36" s="431" t="str">
        <f t="shared" si="5"/>
        <v xml:space="preserve"> </v>
      </c>
    </row>
    <row r="37" spans="1:22" ht="15">
      <c r="A37" s="67"/>
      <c r="B37" s="556"/>
      <c r="C37" s="432"/>
      <c r="D37" s="432"/>
      <c r="E37" s="432"/>
      <c r="F37" s="432"/>
      <c r="G37" s="432"/>
      <c r="H37" s="552"/>
      <c r="I37" s="553"/>
      <c r="J37" s="554"/>
      <c r="K37" s="554"/>
      <c r="L37" s="554"/>
      <c r="M37" s="554"/>
      <c r="N37" s="554"/>
      <c r="O37" s="554"/>
      <c r="P37" s="554"/>
      <c r="Q37" s="554"/>
      <c r="R37" s="554"/>
      <c r="S37" s="554"/>
      <c r="T37" s="554"/>
      <c r="U37" s="554"/>
      <c r="V37" s="555"/>
    </row>
    <row r="38" spans="1:22" ht="15">
      <c r="A38" s="42" t="s">
        <v>178</v>
      </c>
      <c r="B38" s="433"/>
      <c r="C38" s="150"/>
      <c r="D38" s="240"/>
      <c r="E38" s="240"/>
      <c r="F38" s="240"/>
      <c r="G38" s="240"/>
      <c r="H38" s="551"/>
      <c r="I38" s="435"/>
      <c r="J38" s="239"/>
      <c r="K38" s="435"/>
      <c r="L38" s="239"/>
      <c r="M38" s="560"/>
      <c r="N38" s="435"/>
      <c r="O38" s="239"/>
      <c r="P38" s="239"/>
      <c r="Q38" s="435"/>
      <c r="R38" s="239"/>
      <c r="S38" s="239"/>
      <c r="T38" s="435"/>
      <c r="U38" s="239"/>
      <c r="V38" s="434"/>
    </row>
    <row r="39" spans="1:22" ht="15">
      <c r="A39" s="437"/>
      <c r="B39" s="243"/>
      <c r="C39" s="244" t="s">
        <v>168</v>
      </c>
      <c r="D39" s="241"/>
      <c r="E39" s="241"/>
      <c r="F39" s="241"/>
      <c r="G39" s="241"/>
      <c r="H39" s="242" t="s">
        <v>172</v>
      </c>
      <c r="I39" s="424">
        <f>'Budget-ADA'!I39</f>
        <v>192.37</v>
      </c>
      <c r="J39" s="771"/>
      <c r="K39" s="252">
        <f>'Budget-ADA'!K39</f>
        <v>182</v>
      </c>
      <c r="L39" s="771"/>
      <c r="M39" s="248">
        <f>'Budget-ADA'!M39</f>
        <v>-5.3906534282892368E-2</v>
      </c>
      <c r="N39" s="246"/>
      <c r="O39" s="771"/>
      <c r="P39" s="247" t="str">
        <f t="shared" ref="P39:P49" si="6">IF(K39&lt;1," ",IF(N39&lt;1," ",(N39-K39)/K39))</f>
        <v xml:space="preserve"> </v>
      </c>
      <c r="Q39" s="246"/>
      <c r="R39" s="771"/>
      <c r="S39" s="247" t="str">
        <f t="shared" ref="S39:S49" si="7">IF(N39&lt;1," ",IF(Q39&lt;1," ",(Q39-N39)/N39))</f>
        <v xml:space="preserve"> </v>
      </c>
      <c r="T39" s="246"/>
      <c r="U39" s="771"/>
      <c r="V39" s="249" t="str">
        <f t="shared" ref="V39:V49" si="8">IF(Q39&lt;1," ",IF(T39&lt;1," ",(T39-Q39)/Q39))</f>
        <v xml:space="preserve"> </v>
      </c>
    </row>
    <row r="40" spans="1:22" ht="15">
      <c r="A40" s="41"/>
      <c r="B40" s="243"/>
      <c r="C40" s="139" t="s">
        <v>181</v>
      </c>
      <c r="D40" s="241"/>
      <c r="E40" s="241"/>
      <c r="F40" s="241"/>
      <c r="G40" s="241"/>
      <c r="H40" s="242" t="s">
        <v>173</v>
      </c>
      <c r="I40" s="424">
        <f>'Budget-ADA'!I40</f>
        <v>192.37</v>
      </c>
      <c r="J40" s="648"/>
      <c r="K40" s="252">
        <f>'Budget-ADA'!K40</f>
        <v>182</v>
      </c>
      <c r="L40" s="648"/>
      <c r="M40" s="248">
        <f>'Budget-ADA'!M40</f>
        <v>-5.3906534282892368E-2</v>
      </c>
      <c r="N40" s="246"/>
      <c r="O40" s="648"/>
      <c r="P40" s="247" t="str">
        <f t="shared" si="6"/>
        <v xml:space="preserve"> </v>
      </c>
      <c r="Q40" s="246"/>
      <c r="R40" s="648"/>
      <c r="S40" s="247" t="str">
        <f t="shared" si="7"/>
        <v xml:space="preserve"> </v>
      </c>
      <c r="T40" s="246"/>
      <c r="U40" s="648"/>
      <c r="V40" s="249" t="str">
        <f t="shared" si="8"/>
        <v xml:space="preserve"> </v>
      </c>
    </row>
    <row r="41" spans="1:22" ht="15">
      <c r="A41" s="41"/>
      <c r="B41" s="243"/>
      <c r="C41" s="244" t="s">
        <v>169</v>
      </c>
      <c r="D41" s="241"/>
      <c r="E41" s="241"/>
      <c r="F41" s="241"/>
      <c r="G41" s="241"/>
      <c r="H41" s="242" t="s">
        <v>174</v>
      </c>
      <c r="I41" s="424">
        <f>'Budget-ADA'!I41</f>
        <v>0</v>
      </c>
      <c r="J41" s="648"/>
      <c r="K41" s="252">
        <f>'Budget-ADA'!K41</f>
        <v>0</v>
      </c>
      <c r="L41" s="648"/>
      <c r="M41" s="248" t="str">
        <f>'Budget-ADA'!M41</f>
        <v xml:space="preserve"> </v>
      </c>
      <c r="N41" s="246"/>
      <c r="O41" s="648"/>
      <c r="P41" s="247" t="str">
        <f t="shared" si="6"/>
        <v xml:space="preserve"> </v>
      </c>
      <c r="Q41" s="246"/>
      <c r="R41" s="648"/>
      <c r="S41" s="247" t="str">
        <f t="shared" si="7"/>
        <v xml:space="preserve"> </v>
      </c>
      <c r="T41" s="246"/>
      <c r="U41" s="648"/>
      <c r="V41" s="249" t="str">
        <f t="shared" si="8"/>
        <v xml:space="preserve"> </v>
      </c>
    </row>
    <row r="42" spans="1:22" ht="15">
      <c r="A42" s="41"/>
      <c r="B42" s="243"/>
      <c r="C42" s="139" t="s">
        <v>182</v>
      </c>
      <c r="D42" s="241"/>
      <c r="E42" s="241"/>
      <c r="F42" s="241"/>
      <c r="G42" s="241"/>
      <c r="H42" s="242" t="s">
        <v>175</v>
      </c>
      <c r="I42" s="424">
        <f>'Budget-ADA'!I42</f>
        <v>0</v>
      </c>
      <c r="J42" s="648"/>
      <c r="K42" s="252">
        <f>'Budget-ADA'!K42</f>
        <v>0</v>
      </c>
      <c r="L42" s="648"/>
      <c r="M42" s="248" t="str">
        <f>'Budget-ADA'!M42</f>
        <v xml:space="preserve"> </v>
      </c>
      <c r="N42" s="246"/>
      <c r="O42" s="648"/>
      <c r="P42" s="247" t="str">
        <f t="shared" si="6"/>
        <v xml:space="preserve"> </v>
      </c>
      <c r="Q42" s="246"/>
      <c r="R42" s="648"/>
      <c r="S42" s="247" t="str">
        <f t="shared" si="7"/>
        <v xml:space="preserve"> </v>
      </c>
      <c r="T42" s="246"/>
      <c r="U42" s="648"/>
      <c r="V42" s="249" t="str">
        <f t="shared" si="8"/>
        <v xml:space="preserve"> </v>
      </c>
    </row>
    <row r="43" spans="1:22" ht="15">
      <c r="A43" s="41"/>
      <c r="B43" s="243"/>
      <c r="C43" s="244" t="s">
        <v>170</v>
      </c>
      <c r="D43" s="241"/>
      <c r="E43" s="241"/>
      <c r="F43" s="241"/>
      <c r="G43" s="241"/>
      <c r="H43" s="242" t="s">
        <v>176</v>
      </c>
      <c r="I43" s="424">
        <f>'Budget-ADA'!I43</f>
        <v>0</v>
      </c>
      <c r="J43" s="648"/>
      <c r="K43" s="252">
        <f>'Budget-ADA'!K43</f>
        <v>0</v>
      </c>
      <c r="L43" s="648"/>
      <c r="M43" s="248" t="str">
        <f>'Budget-ADA'!M43</f>
        <v xml:space="preserve"> </v>
      </c>
      <c r="N43" s="246"/>
      <c r="O43" s="648"/>
      <c r="P43" s="247" t="str">
        <f t="shared" si="6"/>
        <v xml:space="preserve"> </v>
      </c>
      <c r="Q43" s="246"/>
      <c r="R43" s="648"/>
      <c r="S43" s="247" t="str">
        <f t="shared" si="7"/>
        <v xml:space="preserve"> </v>
      </c>
      <c r="T43" s="246"/>
      <c r="U43" s="648"/>
      <c r="V43" s="249" t="str">
        <f t="shared" si="8"/>
        <v xml:space="preserve"> </v>
      </c>
    </row>
    <row r="44" spans="1:22" ht="15">
      <c r="A44" s="41"/>
      <c r="B44" s="243"/>
      <c r="C44" s="139" t="s">
        <v>183</v>
      </c>
      <c r="D44" s="241"/>
      <c r="E44" s="241"/>
      <c r="F44" s="241"/>
      <c r="G44" s="241"/>
      <c r="H44" s="242" t="s">
        <v>187</v>
      </c>
      <c r="I44" s="424">
        <f>'Budget-ADA'!I44</f>
        <v>0</v>
      </c>
      <c r="J44" s="648"/>
      <c r="K44" s="252">
        <f>'Budget-ADA'!K44</f>
        <v>0</v>
      </c>
      <c r="L44" s="648"/>
      <c r="M44" s="248" t="str">
        <f>'Budget-ADA'!M44</f>
        <v xml:space="preserve"> </v>
      </c>
      <c r="N44" s="246"/>
      <c r="O44" s="648"/>
      <c r="P44" s="247" t="str">
        <f t="shared" si="6"/>
        <v xml:space="preserve"> </v>
      </c>
      <c r="Q44" s="246"/>
      <c r="R44" s="648"/>
      <c r="S44" s="247" t="str">
        <f t="shared" si="7"/>
        <v xml:space="preserve"> </v>
      </c>
      <c r="T44" s="246"/>
      <c r="U44" s="648"/>
      <c r="V44" s="249" t="str">
        <f t="shared" si="8"/>
        <v xml:space="preserve"> </v>
      </c>
    </row>
    <row r="45" spans="1:22" ht="15">
      <c r="A45" s="41"/>
      <c r="B45" s="243"/>
      <c r="C45" s="244" t="s">
        <v>184</v>
      </c>
      <c r="D45" s="241"/>
      <c r="E45" s="241"/>
      <c r="F45" s="241"/>
      <c r="G45" s="241"/>
      <c r="H45" s="242" t="s">
        <v>188</v>
      </c>
      <c r="I45" s="424">
        <f>'Budget-ADA'!I45</f>
        <v>0</v>
      </c>
      <c r="J45" s="648"/>
      <c r="K45" s="252">
        <f>'Budget-ADA'!K45</f>
        <v>0</v>
      </c>
      <c r="L45" s="648"/>
      <c r="M45" s="248" t="str">
        <f>'Budget-ADA'!M45</f>
        <v xml:space="preserve"> </v>
      </c>
      <c r="N45" s="246"/>
      <c r="O45" s="648"/>
      <c r="P45" s="247" t="str">
        <f t="shared" si="6"/>
        <v xml:space="preserve"> </v>
      </c>
      <c r="Q45" s="246"/>
      <c r="R45" s="648"/>
      <c r="S45" s="247" t="str">
        <f t="shared" si="7"/>
        <v xml:space="preserve"> </v>
      </c>
      <c r="T45" s="246"/>
      <c r="U45" s="648"/>
      <c r="V45" s="249" t="str">
        <f t="shared" si="8"/>
        <v xml:space="preserve"> </v>
      </c>
    </row>
    <row r="46" spans="1:22" ht="15">
      <c r="A46" s="41"/>
      <c r="B46" s="243"/>
      <c r="C46" s="139" t="s">
        <v>185</v>
      </c>
      <c r="D46" s="241"/>
      <c r="E46" s="241"/>
      <c r="F46" s="241"/>
      <c r="G46" s="241"/>
      <c r="H46" s="242" t="s">
        <v>189</v>
      </c>
      <c r="I46" s="424">
        <f>'Budget-ADA'!I46</f>
        <v>0</v>
      </c>
      <c r="J46" s="648"/>
      <c r="K46" s="252">
        <f>'Budget-ADA'!K46</f>
        <v>0</v>
      </c>
      <c r="L46" s="648"/>
      <c r="M46" s="248" t="str">
        <f>'Budget-ADA'!M46</f>
        <v xml:space="preserve"> </v>
      </c>
      <c r="N46" s="246"/>
      <c r="O46" s="648"/>
      <c r="P46" s="247" t="str">
        <f t="shared" si="6"/>
        <v xml:space="preserve"> </v>
      </c>
      <c r="Q46" s="246"/>
      <c r="R46" s="648"/>
      <c r="S46" s="247" t="str">
        <f t="shared" si="7"/>
        <v xml:space="preserve"> </v>
      </c>
      <c r="T46" s="246"/>
      <c r="U46" s="648"/>
      <c r="V46" s="249" t="str">
        <f t="shared" si="8"/>
        <v xml:space="preserve"> </v>
      </c>
    </row>
    <row r="47" spans="1:22" ht="18.75" customHeight="1">
      <c r="A47" s="67"/>
      <c r="B47" s="1679" t="s">
        <v>358</v>
      </c>
      <c r="C47" s="1680"/>
      <c r="D47" s="1680"/>
      <c r="E47" s="1680"/>
      <c r="F47" s="1680"/>
      <c r="G47" s="1681"/>
      <c r="H47" s="242" t="s">
        <v>190</v>
      </c>
      <c r="I47" s="424">
        <f>'Budget-ADA'!I47</f>
        <v>192.37</v>
      </c>
      <c r="J47" s="251">
        <f>IF(('Budget-ADA'!J47="Cell G10 CANNOT be blank"), "Missing Data, BUDGET-ADA Tab, cell G10",'Budget-ADA'!J47)</f>
        <v>0</v>
      </c>
      <c r="K47" s="252">
        <f>'Budget-ADA'!K47</f>
        <v>182</v>
      </c>
      <c r="L47" s="439">
        <f>IF(('Budget-ADA'!L47="Cell G10 CANNOT be blank"), "Missing Data, BUDGET-ADA Tab, cell G10",'Budget-ADA'!L47)</f>
        <v>0</v>
      </c>
      <c r="M47" s="438">
        <f>'Budget-ADA'!M47</f>
        <v>-5.3906534282892368E-2</v>
      </c>
      <c r="N47" s="250">
        <f>N39+N41+N43+N45</f>
        <v>0</v>
      </c>
      <c r="O47" s="648"/>
      <c r="P47" s="248" t="str">
        <f t="shared" si="6"/>
        <v xml:space="preserve"> </v>
      </c>
      <c r="Q47" s="250">
        <f>Q39+Q41+Q43+Q45</f>
        <v>0</v>
      </c>
      <c r="R47" s="648"/>
      <c r="S47" s="248" t="str">
        <f t="shared" si="7"/>
        <v xml:space="preserve"> </v>
      </c>
      <c r="T47" s="250">
        <f>T39+T41+T43+T45</f>
        <v>0</v>
      </c>
      <c r="U47" s="648"/>
      <c r="V47" s="431" t="str">
        <f t="shared" si="8"/>
        <v xml:space="preserve"> </v>
      </c>
    </row>
    <row r="48" spans="1:22" ht="15">
      <c r="A48" s="67"/>
      <c r="B48" s="1679" t="s">
        <v>359</v>
      </c>
      <c r="C48" s="1680"/>
      <c r="D48" s="1680"/>
      <c r="E48" s="1680"/>
      <c r="F48" s="1680"/>
      <c r="G48" s="1681"/>
      <c r="H48" s="242" t="s">
        <v>191</v>
      </c>
      <c r="I48" s="424">
        <f>'Budget-ADA'!I48</f>
        <v>192.37</v>
      </c>
      <c r="J48" s="251">
        <f>'Budget-ADA'!J48</f>
        <v>192.37</v>
      </c>
      <c r="K48" s="252">
        <f>'Budget-ADA'!K48</f>
        <v>182</v>
      </c>
      <c r="L48" s="439">
        <f>'Budget-ADA'!L48</f>
        <v>182</v>
      </c>
      <c r="M48" s="438">
        <f>'Budget-ADA'!M48</f>
        <v>-5.3906534282892368E-2</v>
      </c>
      <c r="N48" s="250">
        <f>N40+N42+N44+N46</f>
        <v>0</v>
      </c>
      <c r="O48" s="439">
        <f>N48</f>
        <v>0</v>
      </c>
      <c r="P48" s="248" t="str">
        <f t="shared" si="6"/>
        <v xml:space="preserve"> </v>
      </c>
      <c r="Q48" s="250">
        <f>Q40+Q42+Q44+Q46</f>
        <v>0</v>
      </c>
      <c r="R48" s="439">
        <f>Q48</f>
        <v>0</v>
      </c>
      <c r="S48" s="248" t="str">
        <f t="shared" si="7"/>
        <v xml:space="preserve"> </v>
      </c>
      <c r="T48" s="250">
        <f>T40+T42+T44+T46</f>
        <v>0</v>
      </c>
      <c r="U48" s="439">
        <f>T48</f>
        <v>0</v>
      </c>
      <c r="V48" s="431" t="str">
        <f t="shared" si="8"/>
        <v xml:space="preserve"> </v>
      </c>
    </row>
    <row r="49" spans="1:22" ht="47.25" customHeight="1">
      <c r="A49" s="67"/>
      <c r="B49" s="1679" t="s">
        <v>356</v>
      </c>
      <c r="C49" s="1680"/>
      <c r="D49" s="1680"/>
      <c r="E49" s="1680"/>
      <c r="F49" s="1680"/>
      <c r="G49" s="1681"/>
      <c r="H49" s="242" t="s">
        <v>355</v>
      </c>
      <c r="I49" s="424">
        <f>'Budget-ADA'!I49</f>
        <v>0</v>
      </c>
      <c r="J49" s="439">
        <f>'Budget-ADA'!J49</f>
        <v>0</v>
      </c>
      <c r="K49" s="252">
        <f>'Budget-ADA'!K49</f>
        <v>0</v>
      </c>
      <c r="L49" s="439">
        <f>'Budget-ADA'!L49</f>
        <v>0</v>
      </c>
      <c r="M49" s="248" t="str">
        <f>'Budget-ADA'!M49</f>
        <v xml:space="preserve"> </v>
      </c>
      <c r="N49" s="250">
        <f>N47-N48</f>
        <v>0</v>
      </c>
      <c r="O49" s="439" t="str">
        <f>IF($G$10="","Cell G10 CANNOT be blank",N49*$G$10)</f>
        <v>Cell G10 CANNOT be blank</v>
      </c>
      <c r="P49" s="248" t="str">
        <f t="shared" si="6"/>
        <v xml:space="preserve"> </v>
      </c>
      <c r="Q49" s="252">
        <f>Q47-Q48</f>
        <v>0</v>
      </c>
      <c r="R49" s="439" t="str">
        <f>IF($G$10="","Cell G10 CANNOT be blank",Q49*$G$10)</f>
        <v>Cell G10 CANNOT be blank</v>
      </c>
      <c r="S49" s="248" t="str">
        <f t="shared" si="7"/>
        <v xml:space="preserve"> </v>
      </c>
      <c r="T49" s="252">
        <f>T47-T48</f>
        <v>0</v>
      </c>
      <c r="U49" s="439" t="str">
        <f>IF($G$10="","Cell G10 CANNOT be blank",T49*$G$10)</f>
        <v>Cell G10 CANNOT be blank</v>
      </c>
      <c r="V49" s="431" t="str">
        <f t="shared" si="8"/>
        <v xml:space="preserve"> </v>
      </c>
    </row>
    <row r="50" spans="1:22" ht="15">
      <c r="A50" s="41"/>
      <c r="B50" s="432"/>
      <c r="C50" s="432"/>
      <c r="D50" s="432"/>
      <c r="E50" s="432"/>
      <c r="F50" s="432"/>
      <c r="G50" s="432"/>
      <c r="H50" s="552"/>
      <c r="I50" s="90"/>
      <c r="J50" s="38"/>
      <c r="K50" s="38"/>
      <c r="L50" s="38"/>
      <c r="M50" s="38"/>
      <c r="N50" s="38"/>
      <c r="O50" s="38"/>
      <c r="P50" s="38"/>
      <c r="Q50" s="38"/>
      <c r="R50" s="38"/>
      <c r="S50" s="38"/>
      <c r="T50" s="38"/>
      <c r="U50" s="38"/>
      <c r="V50" s="234"/>
    </row>
    <row r="51" spans="1:22" ht="15">
      <c r="A51" s="42" t="s">
        <v>179</v>
      </c>
      <c r="B51" s="433"/>
      <c r="C51" s="150"/>
      <c r="D51" s="240"/>
      <c r="E51" s="240"/>
      <c r="F51" s="240"/>
      <c r="G51" s="240"/>
      <c r="H51" s="551"/>
      <c r="I51" s="435"/>
      <c r="J51" s="239"/>
      <c r="K51" s="435"/>
      <c r="L51" s="239"/>
      <c r="M51" s="560"/>
      <c r="N51" s="435"/>
      <c r="O51" s="239"/>
      <c r="P51" s="239"/>
      <c r="Q51" s="435"/>
      <c r="R51" s="239"/>
      <c r="S51" s="239"/>
      <c r="T51" s="435"/>
      <c r="U51" s="239"/>
      <c r="V51" s="434"/>
    </row>
    <row r="52" spans="1:22" ht="15">
      <c r="A52" s="437"/>
      <c r="B52" s="243"/>
      <c r="C52" s="244" t="s">
        <v>168</v>
      </c>
      <c r="D52" s="241"/>
      <c r="E52" s="241"/>
      <c r="F52" s="241"/>
      <c r="G52" s="241"/>
      <c r="H52" s="242" t="s">
        <v>172</v>
      </c>
      <c r="I52" s="424">
        <f>'Budget-ADA'!I52</f>
        <v>311.95999999999998</v>
      </c>
      <c r="J52" s="771"/>
      <c r="K52" s="252">
        <f>'Budget-ADA'!K52</f>
        <v>318.5</v>
      </c>
      <c r="L52" s="771"/>
      <c r="M52" s="248">
        <f>'Budget-ADA'!M52</f>
        <v>2.096422618284402E-2</v>
      </c>
      <c r="N52" s="246"/>
      <c r="O52" s="771"/>
      <c r="P52" s="247" t="str">
        <f t="shared" ref="P52:P62" si="9">IF(K52&lt;1," ",IF(N52&lt;1," ",(N52-K52)/K52))</f>
        <v xml:space="preserve"> </v>
      </c>
      <c r="Q52" s="246"/>
      <c r="R52" s="771"/>
      <c r="S52" s="247" t="str">
        <f t="shared" ref="S52:S62" si="10">IF(N52&lt;1," ",IF(Q52&lt;1," ",(Q52-N52)/N52))</f>
        <v xml:space="preserve"> </v>
      </c>
      <c r="T52" s="246"/>
      <c r="U52" s="771"/>
      <c r="V52" s="249" t="str">
        <f t="shared" ref="V52:V62" si="11">IF(Q52&lt;1," ",IF(T52&lt;1," ",(T52-Q52)/Q52))</f>
        <v xml:space="preserve"> </v>
      </c>
    </row>
    <row r="53" spans="1:22" ht="15">
      <c r="A53" s="41"/>
      <c r="B53" s="243"/>
      <c r="C53" s="139" t="s">
        <v>181</v>
      </c>
      <c r="D53" s="241"/>
      <c r="E53" s="241"/>
      <c r="F53" s="241"/>
      <c r="G53" s="241"/>
      <c r="H53" s="242" t="s">
        <v>173</v>
      </c>
      <c r="I53" s="424">
        <f>'Budget-ADA'!I53</f>
        <v>311.95999999999998</v>
      </c>
      <c r="J53" s="648"/>
      <c r="K53" s="252">
        <f>'Budget-ADA'!K53</f>
        <v>318.5</v>
      </c>
      <c r="L53" s="648"/>
      <c r="M53" s="248">
        <f>'Budget-ADA'!M53</f>
        <v>2.096422618284402E-2</v>
      </c>
      <c r="N53" s="246"/>
      <c r="O53" s="648"/>
      <c r="P53" s="247" t="str">
        <f t="shared" si="9"/>
        <v xml:space="preserve"> </v>
      </c>
      <c r="Q53" s="246"/>
      <c r="R53" s="648"/>
      <c r="S53" s="247" t="str">
        <f t="shared" si="10"/>
        <v xml:space="preserve"> </v>
      </c>
      <c r="T53" s="246"/>
      <c r="U53" s="648"/>
      <c r="V53" s="249" t="str">
        <f t="shared" si="11"/>
        <v xml:space="preserve"> </v>
      </c>
    </row>
    <row r="54" spans="1:22" ht="15">
      <c r="A54" s="41"/>
      <c r="B54" s="243"/>
      <c r="C54" s="244" t="s">
        <v>169</v>
      </c>
      <c r="D54" s="241"/>
      <c r="E54" s="241"/>
      <c r="F54" s="241"/>
      <c r="G54" s="241"/>
      <c r="H54" s="242" t="s">
        <v>174</v>
      </c>
      <c r="I54" s="424">
        <f>'Budget-ADA'!I54</f>
        <v>0</v>
      </c>
      <c r="J54" s="648"/>
      <c r="K54" s="252">
        <f>'Budget-ADA'!K54</f>
        <v>0</v>
      </c>
      <c r="L54" s="648"/>
      <c r="M54" s="248" t="str">
        <f>'Budget-ADA'!M54</f>
        <v xml:space="preserve"> </v>
      </c>
      <c r="N54" s="246"/>
      <c r="O54" s="648"/>
      <c r="P54" s="247" t="str">
        <f t="shared" si="9"/>
        <v xml:space="preserve"> </v>
      </c>
      <c r="Q54" s="246"/>
      <c r="R54" s="648"/>
      <c r="S54" s="247" t="str">
        <f t="shared" si="10"/>
        <v xml:space="preserve"> </v>
      </c>
      <c r="T54" s="246"/>
      <c r="U54" s="648"/>
      <c r="V54" s="249" t="str">
        <f t="shared" si="11"/>
        <v xml:space="preserve"> </v>
      </c>
    </row>
    <row r="55" spans="1:22" ht="15">
      <c r="A55" s="41"/>
      <c r="B55" s="243"/>
      <c r="C55" s="139" t="s">
        <v>182</v>
      </c>
      <c r="D55" s="241"/>
      <c r="E55" s="241"/>
      <c r="F55" s="241"/>
      <c r="G55" s="241"/>
      <c r="H55" s="242" t="s">
        <v>175</v>
      </c>
      <c r="I55" s="424">
        <f>'Budget-ADA'!I55</f>
        <v>0</v>
      </c>
      <c r="J55" s="648"/>
      <c r="K55" s="252">
        <f>'Budget-ADA'!K55</f>
        <v>0</v>
      </c>
      <c r="L55" s="648"/>
      <c r="M55" s="248" t="str">
        <f>'Budget-ADA'!M55</f>
        <v xml:space="preserve"> </v>
      </c>
      <c r="N55" s="246"/>
      <c r="O55" s="648"/>
      <c r="P55" s="247" t="str">
        <f t="shared" si="9"/>
        <v xml:space="preserve"> </v>
      </c>
      <c r="Q55" s="246"/>
      <c r="R55" s="648"/>
      <c r="S55" s="247" t="str">
        <f t="shared" si="10"/>
        <v xml:space="preserve"> </v>
      </c>
      <c r="T55" s="246"/>
      <c r="U55" s="648"/>
      <c r="V55" s="249" t="str">
        <f t="shared" si="11"/>
        <v xml:space="preserve"> </v>
      </c>
    </row>
    <row r="56" spans="1:22" ht="15">
      <c r="A56" s="41"/>
      <c r="B56" s="243"/>
      <c r="C56" s="244" t="s">
        <v>170</v>
      </c>
      <c r="D56" s="241"/>
      <c r="E56" s="241"/>
      <c r="F56" s="241"/>
      <c r="G56" s="241"/>
      <c r="H56" s="242" t="s">
        <v>176</v>
      </c>
      <c r="I56" s="424">
        <f>'Budget-ADA'!I56</f>
        <v>0</v>
      </c>
      <c r="J56" s="648"/>
      <c r="K56" s="252">
        <f>'Budget-ADA'!K56</f>
        <v>0</v>
      </c>
      <c r="L56" s="648"/>
      <c r="M56" s="248" t="str">
        <f>'Budget-ADA'!M56</f>
        <v xml:space="preserve"> </v>
      </c>
      <c r="N56" s="246"/>
      <c r="O56" s="648"/>
      <c r="P56" s="247" t="str">
        <f t="shared" si="9"/>
        <v xml:space="preserve"> </v>
      </c>
      <c r="Q56" s="246"/>
      <c r="R56" s="648"/>
      <c r="S56" s="247" t="str">
        <f t="shared" si="10"/>
        <v xml:space="preserve"> </v>
      </c>
      <c r="T56" s="246"/>
      <c r="U56" s="648"/>
      <c r="V56" s="249" t="str">
        <f t="shared" si="11"/>
        <v xml:space="preserve"> </v>
      </c>
    </row>
    <row r="57" spans="1:22" ht="15">
      <c r="A57" s="41"/>
      <c r="B57" s="243"/>
      <c r="C57" s="139" t="s">
        <v>183</v>
      </c>
      <c r="D57" s="241"/>
      <c r="E57" s="241"/>
      <c r="F57" s="241"/>
      <c r="G57" s="241"/>
      <c r="H57" s="242" t="s">
        <v>187</v>
      </c>
      <c r="I57" s="424">
        <f>'Budget-ADA'!I57</f>
        <v>0</v>
      </c>
      <c r="J57" s="648"/>
      <c r="K57" s="252">
        <f>'Budget-ADA'!K57</f>
        <v>0</v>
      </c>
      <c r="L57" s="648"/>
      <c r="M57" s="248" t="str">
        <f>'Budget-ADA'!M57</f>
        <v xml:space="preserve"> </v>
      </c>
      <c r="N57" s="246"/>
      <c r="O57" s="648"/>
      <c r="P57" s="247" t="str">
        <f t="shared" si="9"/>
        <v xml:space="preserve"> </v>
      </c>
      <c r="Q57" s="246"/>
      <c r="R57" s="648"/>
      <c r="S57" s="247" t="str">
        <f t="shared" si="10"/>
        <v xml:space="preserve"> </v>
      </c>
      <c r="T57" s="246"/>
      <c r="U57" s="648"/>
      <c r="V57" s="249" t="str">
        <f t="shared" si="11"/>
        <v xml:space="preserve"> </v>
      </c>
    </row>
    <row r="58" spans="1:22" ht="15">
      <c r="A58" s="41"/>
      <c r="B58" s="243"/>
      <c r="C58" s="244" t="s">
        <v>184</v>
      </c>
      <c r="D58" s="241"/>
      <c r="E58" s="241"/>
      <c r="F58" s="241"/>
      <c r="G58" s="241"/>
      <c r="H58" s="242" t="s">
        <v>188</v>
      </c>
      <c r="I58" s="424">
        <f>'Budget-ADA'!I58</f>
        <v>0</v>
      </c>
      <c r="J58" s="648"/>
      <c r="K58" s="252">
        <f>'Budget-ADA'!K58</f>
        <v>0</v>
      </c>
      <c r="L58" s="648"/>
      <c r="M58" s="248" t="str">
        <f>'Budget-ADA'!M58</f>
        <v xml:space="preserve"> </v>
      </c>
      <c r="N58" s="246"/>
      <c r="O58" s="648"/>
      <c r="P58" s="247" t="str">
        <f t="shared" si="9"/>
        <v xml:space="preserve"> </v>
      </c>
      <c r="Q58" s="246"/>
      <c r="R58" s="648"/>
      <c r="S58" s="247" t="str">
        <f t="shared" si="10"/>
        <v xml:space="preserve"> </v>
      </c>
      <c r="T58" s="246"/>
      <c r="U58" s="648"/>
      <c r="V58" s="249" t="str">
        <f t="shared" si="11"/>
        <v xml:space="preserve"> </v>
      </c>
    </row>
    <row r="59" spans="1:22" ht="15">
      <c r="A59" s="41"/>
      <c r="B59" s="243"/>
      <c r="C59" s="139" t="s">
        <v>185</v>
      </c>
      <c r="D59" s="241"/>
      <c r="E59" s="241"/>
      <c r="F59" s="241"/>
      <c r="G59" s="241"/>
      <c r="H59" s="242" t="s">
        <v>189</v>
      </c>
      <c r="I59" s="424">
        <f>'Budget-ADA'!I59</f>
        <v>0</v>
      </c>
      <c r="J59" s="648"/>
      <c r="K59" s="252">
        <f>'Budget-ADA'!K59</f>
        <v>0</v>
      </c>
      <c r="L59" s="648"/>
      <c r="M59" s="248" t="str">
        <f>'Budget-ADA'!M59</f>
        <v xml:space="preserve"> </v>
      </c>
      <c r="N59" s="246"/>
      <c r="O59" s="648"/>
      <c r="P59" s="247" t="str">
        <f t="shared" si="9"/>
        <v xml:space="preserve"> </v>
      </c>
      <c r="Q59" s="246"/>
      <c r="R59" s="648"/>
      <c r="S59" s="247" t="str">
        <f t="shared" si="10"/>
        <v xml:space="preserve"> </v>
      </c>
      <c r="T59" s="246"/>
      <c r="U59" s="648"/>
      <c r="V59" s="249" t="str">
        <f t="shared" si="11"/>
        <v xml:space="preserve"> </v>
      </c>
    </row>
    <row r="60" spans="1:22" ht="18.75" customHeight="1">
      <c r="A60" s="67"/>
      <c r="B60" s="1679" t="s">
        <v>358</v>
      </c>
      <c r="C60" s="1680"/>
      <c r="D60" s="1680"/>
      <c r="E60" s="1680"/>
      <c r="F60" s="1680"/>
      <c r="G60" s="1681"/>
      <c r="H60" s="242" t="s">
        <v>190</v>
      </c>
      <c r="I60" s="424">
        <f>'Budget-ADA'!I60</f>
        <v>311.95999999999998</v>
      </c>
      <c r="J60" s="251">
        <f>IF(('Budget-ADA'!J60="Cell G10 CANNOT be blank"), "Missing Data, BUDGET-ADA Tab, cell G10",'Budget-ADA'!J60)</f>
        <v>0</v>
      </c>
      <c r="K60" s="252">
        <f>'Budget-ADA'!K60</f>
        <v>318.5</v>
      </c>
      <c r="L60" s="439">
        <f>IF(('Budget-ADA'!L60="Cell G10 CANNOT be blank"), "Missing Data, BUDGET-ADA Tab, cell G10",'Budget-ADA'!L60)</f>
        <v>0</v>
      </c>
      <c r="M60" s="438">
        <f>'Budget-ADA'!M60</f>
        <v>2.096422618284402E-2</v>
      </c>
      <c r="N60" s="250">
        <f>N52+N54+N56+N58</f>
        <v>0</v>
      </c>
      <c r="O60" s="648"/>
      <c r="P60" s="248" t="str">
        <f t="shared" si="9"/>
        <v xml:space="preserve"> </v>
      </c>
      <c r="Q60" s="250">
        <f>Q52+Q54+Q56+Q58</f>
        <v>0</v>
      </c>
      <c r="R60" s="648"/>
      <c r="S60" s="248" t="str">
        <f t="shared" si="10"/>
        <v xml:space="preserve"> </v>
      </c>
      <c r="T60" s="250">
        <f>T52+T54+T56+T58</f>
        <v>0</v>
      </c>
      <c r="U60" s="648"/>
      <c r="V60" s="431" t="str">
        <f t="shared" si="11"/>
        <v xml:space="preserve"> </v>
      </c>
    </row>
    <row r="61" spans="1:22" ht="15">
      <c r="A61" s="67"/>
      <c r="B61" s="1679" t="s">
        <v>359</v>
      </c>
      <c r="C61" s="1680"/>
      <c r="D61" s="1680"/>
      <c r="E61" s="1680"/>
      <c r="F61" s="1680"/>
      <c r="G61" s="1681"/>
      <c r="H61" s="242" t="s">
        <v>191</v>
      </c>
      <c r="I61" s="424">
        <f>'Budget-ADA'!I61</f>
        <v>311.95999999999998</v>
      </c>
      <c r="J61" s="251">
        <f>'Budget-ADA'!J61</f>
        <v>311.95999999999998</v>
      </c>
      <c r="K61" s="252">
        <f>'Budget-ADA'!K61</f>
        <v>318.5</v>
      </c>
      <c r="L61" s="439">
        <f>'Budget-ADA'!L61</f>
        <v>318.5</v>
      </c>
      <c r="M61" s="438">
        <f>'Budget-ADA'!M61</f>
        <v>2.096422618284402E-2</v>
      </c>
      <c r="N61" s="250">
        <f>N53+N55+N57+N59</f>
        <v>0</v>
      </c>
      <c r="O61" s="439">
        <f>N61</f>
        <v>0</v>
      </c>
      <c r="P61" s="248" t="str">
        <f t="shared" si="9"/>
        <v xml:space="preserve"> </v>
      </c>
      <c r="Q61" s="250">
        <f>Q53+Q55+Q57+Q59</f>
        <v>0</v>
      </c>
      <c r="R61" s="439">
        <f>Q61</f>
        <v>0</v>
      </c>
      <c r="S61" s="248" t="str">
        <f t="shared" si="10"/>
        <v xml:space="preserve"> </v>
      </c>
      <c r="T61" s="250">
        <f>T53+T55+T57+T59</f>
        <v>0</v>
      </c>
      <c r="U61" s="439">
        <f>T61</f>
        <v>0</v>
      </c>
      <c r="V61" s="431" t="str">
        <f t="shared" si="11"/>
        <v xml:space="preserve"> </v>
      </c>
    </row>
    <row r="62" spans="1:22" ht="47.25" customHeight="1">
      <c r="A62" s="67"/>
      <c r="B62" s="1679" t="s">
        <v>356</v>
      </c>
      <c r="C62" s="1680"/>
      <c r="D62" s="1680"/>
      <c r="E62" s="1680"/>
      <c r="F62" s="1680"/>
      <c r="G62" s="1681"/>
      <c r="H62" s="242" t="s">
        <v>355</v>
      </c>
      <c r="I62" s="424">
        <f>'Budget-ADA'!I62</f>
        <v>0</v>
      </c>
      <c r="J62" s="439">
        <f>'Budget-ADA'!J62</f>
        <v>0</v>
      </c>
      <c r="K62" s="252">
        <f>'Budget-ADA'!K62</f>
        <v>0</v>
      </c>
      <c r="L62" s="439">
        <f>'Budget-ADA'!L62</f>
        <v>0</v>
      </c>
      <c r="M62" s="248" t="str">
        <f>'Budget-ADA'!M62</f>
        <v xml:space="preserve"> </v>
      </c>
      <c r="N62" s="250">
        <f>N60-N61</f>
        <v>0</v>
      </c>
      <c r="O62" s="439" t="str">
        <f>IF($G$10="","Cell G10 CANNOT be blank",N62*$G$10)</f>
        <v>Cell G10 CANNOT be blank</v>
      </c>
      <c r="P62" s="248" t="str">
        <f t="shared" si="9"/>
        <v xml:space="preserve"> </v>
      </c>
      <c r="Q62" s="252">
        <f>Q60-Q61</f>
        <v>0</v>
      </c>
      <c r="R62" s="439" t="str">
        <f>IF($G$10="","Cell G10 CANNOT be blank",Q62*$G$10)</f>
        <v>Cell G10 CANNOT be blank</v>
      </c>
      <c r="S62" s="248" t="str">
        <f t="shared" si="10"/>
        <v xml:space="preserve"> </v>
      </c>
      <c r="T62" s="252">
        <f>T60-T61</f>
        <v>0</v>
      </c>
      <c r="U62" s="439" t="str">
        <f>IF($G$10="","Cell G10 CANNOT be blank",T62*$G$10)</f>
        <v>Cell G10 CANNOT be blank</v>
      </c>
      <c r="V62" s="431" t="str">
        <f t="shared" si="11"/>
        <v xml:space="preserve"> </v>
      </c>
    </row>
    <row r="63" spans="1:22" ht="15">
      <c r="A63" s="41"/>
      <c r="B63" s="432"/>
      <c r="C63" s="432"/>
      <c r="D63" s="432"/>
      <c r="E63" s="432"/>
      <c r="F63" s="432"/>
      <c r="G63" s="432"/>
      <c r="H63" s="552"/>
      <c r="I63" s="90"/>
      <c r="J63" s="38"/>
      <c r="K63" s="90"/>
      <c r="L63" s="38"/>
      <c r="M63" s="561"/>
      <c r="N63" s="90"/>
      <c r="O63" s="38"/>
      <c r="P63" s="38"/>
      <c r="Q63" s="90"/>
      <c r="R63" s="38"/>
      <c r="S63" s="38"/>
      <c r="T63" s="90"/>
      <c r="U63" s="38"/>
      <c r="V63" s="234"/>
    </row>
    <row r="64" spans="1:22" ht="15">
      <c r="A64" s="106" t="s">
        <v>180</v>
      </c>
      <c r="C64" s="239"/>
      <c r="D64" s="240"/>
      <c r="E64" s="240"/>
      <c r="F64" s="240"/>
      <c r="G64" s="240"/>
      <c r="H64" s="551"/>
      <c r="I64" s="435"/>
      <c r="J64" s="239"/>
      <c r="K64" s="435"/>
      <c r="L64" s="239"/>
      <c r="M64" s="560"/>
      <c r="N64" s="435"/>
      <c r="O64" s="239"/>
      <c r="P64" s="239"/>
      <c r="Q64" s="435"/>
      <c r="R64" s="239"/>
      <c r="S64" s="239"/>
      <c r="T64" s="435"/>
      <c r="U64" s="239"/>
      <c r="V64" s="434"/>
    </row>
    <row r="65" spans="1:22" ht="15">
      <c r="A65" s="437"/>
      <c r="B65" s="243"/>
      <c r="C65" s="244" t="s">
        <v>168</v>
      </c>
      <c r="D65" s="241"/>
      <c r="E65" s="241"/>
      <c r="F65" s="241"/>
      <c r="G65" s="241"/>
      <c r="H65" s="242" t="s">
        <v>172</v>
      </c>
      <c r="I65" s="424">
        <f>'Budget-ADA'!I65</f>
        <v>504.33</v>
      </c>
      <c r="J65" s="771"/>
      <c r="K65" s="252">
        <f>'Budget-ADA'!K65</f>
        <v>500.5</v>
      </c>
      <c r="L65" s="771"/>
      <c r="M65" s="248">
        <f>'Budget-ADA'!M65</f>
        <v>-7.5942339341303995E-3</v>
      </c>
      <c r="N65" s="252">
        <f t="shared" ref="N65:N72" si="12">N12+N26+N39+N52</f>
        <v>0</v>
      </c>
      <c r="O65" s="771"/>
      <c r="P65" s="247" t="str">
        <f t="shared" ref="P65:P75" si="13">IF(K65&lt;1," ",IF(N65&lt;1," ",(N65-K65)/K65))</f>
        <v xml:space="preserve"> </v>
      </c>
      <c r="Q65" s="252">
        <f t="shared" ref="Q65:Q72" si="14">Q12+Q26+Q39+Q52</f>
        <v>0</v>
      </c>
      <c r="R65" s="771"/>
      <c r="S65" s="247" t="str">
        <f t="shared" ref="S65:S75" si="15">IF(N65&lt;1," ",IF(Q65&lt;1," ",(Q65-N65)/N65))</f>
        <v xml:space="preserve"> </v>
      </c>
      <c r="T65" s="252">
        <f t="shared" ref="T65:T72" si="16">T12+T26+T39+T52</f>
        <v>0</v>
      </c>
      <c r="U65" s="771"/>
      <c r="V65" s="249" t="str">
        <f t="shared" ref="V65:V75" si="17">IF(Q65&lt;1," ",IF(T65&lt;1," ",(T65-Q65)/Q65))</f>
        <v xml:space="preserve"> </v>
      </c>
    </row>
    <row r="66" spans="1:22" ht="15">
      <c r="A66" s="41"/>
      <c r="B66" s="243"/>
      <c r="C66" s="139" t="s">
        <v>181</v>
      </c>
      <c r="D66" s="241"/>
      <c r="E66" s="241"/>
      <c r="F66" s="241"/>
      <c r="G66" s="241"/>
      <c r="H66" s="242" t="s">
        <v>173</v>
      </c>
      <c r="I66" s="424">
        <f>'Budget-ADA'!I66</f>
        <v>504.33</v>
      </c>
      <c r="J66" s="648"/>
      <c r="K66" s="252">
        <f>'Budget-ADA'!K66</f>
        <v>500.5</v>
      </c>
      <c r="L66" s="648"/>
      <c r="M66" s="248">
        <f>'Budget-ADA'!M66</f>
        <v>-7.5942339341303995E-3</v>
      </c>
      <c r="N66" s="252">
        <f t="shared" si="12"/>
        <v>0</v>
      </c>
      <c r="O66" s="648"/>
      <c r="P66" s="247" t="str">
        <f t="shared" si="13"/>
        <v xml:space="preserve"> </v>
      </c>
      <c r="Q66" s="252">
        <f t="shared" si="14"/>
        <v>0</v>
      </c>
      <c r="R66" s="648"/>
      <c r="S66" s="247" t="str">
        <f t="shared" si="15"/>
        <v xml:space="preserve"> </v>
      </c>
      <c r="T66" s="252">
        <f t="shared" si="16"/>
        <v>0</v>
      </c>
      <c r="U66" s="648"/>
      <c r="V66" s="249" t="str">
        <f t="shared" si="17"/>
        <v xml:space="preserve"> </v>
      </c>
    </row>
    <row r="67" spans="1:22" ht="15">
      <c r="A67" s="41"/>
      <c r="B67" s="243"/>
      <c r="C67" s="244" t="s">
        <v>169</v>
      </c>
      <c r="D67" s="241"/>
      <c r="E67" s="241"/>
      <c r="F67" s="241"/>
      <c r="G67" s="241"/>
      <c r="H67" s="242" t="s">
        <v>174</v>
      </c>
      <c r="I67" s="424">
        <f>'Budget-ADA'!I67</f>
        <v>0</v>
      </c>
      <c r="J67" s="648"/>
      <c r="K67" s="252">
        <f>'Budget-ADA'!K67</f>
        <v>0</v>
      </c>
      <c r="L67" s="648"/>
      <c r="M67" s="248" t="str">
        <f>'Budget-ADA'!M67</f>
        <v xml:space="preserve"> </v>
      </c>
      <c r="N67" s="252">
        <f t="shared" si="12"/>
        <v>0</v>
      </c>
      <c r="O67" s="648"/>
      <c r="P67" s="247" t="str">
        <f t="shared" si="13"/>
        <v xml:space="preserve"> </v>
      </c>
      <c r="Q67" s="252">
        <f t="shared" si="14"/>
        <v>0</v>
      </c>
      <c r="R67" s="648"/>
      <c r="S67" s="247" t="str">
        <f t="shared" si="15"/>
        <v xml:space="preserve"> </v>
      </c>
      <c r="T67" s="252">
        <f t="shared" si="16"/>
        <v>0</v>
      </c>
      <c r="U67" s="648"/>
      <c r="V67" s="249" t="str">
        <f t="shared" si="17"/>
        <v xml:space="preserve"> </v>
      </c>
    </row>
    <row r="68" spans="1:22" ht="15">
      <c r="A68" s="41"/>
      <c r="B68" s="243"/>
      <c r="C68" s="139" t="s">
        <v>182</v>
      </c>
      <c r="D68" s="241"/>
      <c r="E68" s="241"/>
      <c r="F68" s="241"/>
      <c r="G68" s="241"/>
      <c r="H68" s="242" t="s">
        <v>175</v>
      </c>
      <c r="I68" s="424">
        <f>'Budget-ADA'!I68</f>
        <v>0</v>
      </c>
      <c r="J68" s="648"/>
      <c r="K68" s="252">
        <f>'Budget-ADA'!K68</f>
        <v>0</v>
      </c>
      <c r="L68" s="648"/>
      <c r="M68" s="248" t="str">
        <f>'Budget-ADA'!M68</f>
        <v xml:space="preserve"> </v>
      </c>
      <c r="N68" s="252">
        <f t="shared" si="12"/>
        <v>0</v>
      </c>
      <c r="O68" s="648"/>
      <c r="P68" s="247" t="str">
        <f t="shared" si="13"/>
        <v xml:space="preserve"> </v>
      </c>
      <c r="Q68" s="252">
        <f t="shared" si="14"/>
        <v>0</v>
      </c>
      <c r="R68" s="648"/>
      <c r="S68" s="247" t="str">
        <f t="shared" si="15"/>
        <v xml:space="preserve"> </v>
      </c>
      <c r="T68" s="252">
        <f t="shared" si="16"/>
        <v>0</v>
      </c>
      <c r="U68" s="648"/>
      <c r="V68" s="249" t="str">
        <f t="shared" si="17"/>
        <v xml:space="preserve"> </v>
      </c>
    </row>
    <row r="69" spans="1:22" ht="15">
      <c r="A69" s="41"/>
      <c r="B69" s="243"/>
      <c r="C69" s="244" t="s">
        <v>170</v>
      </c>
      <c r="D69" s="241"/>
      <c r="E69" s="241"/>
      <c r="F69" s="241"/>
      <c r="G69" s="241"/>
      <c r="H69" s="242" t="s">
        <v>176</v>
      </c>
      <c r="I69" s="424">
        <f>'Budget-ADA'!I69</f>
        <v>0</v>
      </c>
      <c r="J69" s="648"/>
      <c r="K69" s="252">
        <f>'Budget-ADA'!K69</f>
        <v>0</v>
      </c>
      <c r="L69" s="648"/>
      <c r="M69" s="248" t="str">
        <f>'Budget-ADA'!M69</f>
        <v xml:space="preserve"> </v>
      </c>
      <c r="N69" s="252">
        <f t="shared" si="12"/>
        <v>0</v>
      </c>
      <c r="O69" s="648"/>
      <c r="P69" s="247" t="str">
        <f t="shared" si="13"/>
        <v xml:space="preserve"> </v>
      </c>
      <c r="Q69" s="252">
        <f t="shared" si="14"/>
        <v>0</v>
      </c>
      <c r="R69" s="648"/>
      <c r="S69" s="247" t="str">
        <f t="shared" si="15"/>
        <v xml:space="preserve"> </v>
      </c>
      <c r="T69" s="252">
        <f t="shared" si="16"/>
        <v>0</v>
      </c>
      <c r="U69" s="648"/>
      <c r="V69" s="249" t="str">
        <f t="shared" si="17"/>
        <v xml:space="preserve"> </v>
      </c>
    </row>
    <row r="70" spans="1:22" ht="15">
      <c r="A70" s="106"/>
      <c r="B70" s="243"/>
      <c r="C70" s="139" t="s">
        <v>183</v>
      </c>
      <c r="D70" s="241"/>
      <c r="E70" s="241"/>
      <c r="F70" s="241"/>
      <c r="G70" s="241"/>
      <c r="H70" s="242" t="s">
        <v>187</v>
      </c>
      <c r="I70" s="424">
        <f>'Budget-ADA'!I70</f>
        <v>0</v>
      </c>
      <c r="J70" s="648"/>
      <c r="K70" s="252">
        <f>'Budget-ADA'!K70</f>
        <v>0</v>
      </c>
      <c r="L70" s="648"/>
      <c r="M70" s="248" t="str">
        <f>'Budget-ADA'!M70</f>
        <v xml:space="preserve"> </v>
      </c>
      <c r="N70" s="252">
        <f t="shared" si="12"/>
        <v>0</v>
      </c>
      <c r="O70" s="648"/>
      <c r="P70" s="247" t="str">
        <f t="shared" si="13"/>
        <v xml:space="preserve"> </v>
      </c>
      <c r="Q70" s="252">
        <f t="shared" si="14"/>
        <v>0</v>
      </c>
      <c r="R70" s="648"/>
      <c r="S70" s="247" t="str">
        <f t="shared" si="15"/>
        <v xml:space="preserve"> </v>
      </c>
      <c r="T70" s="252">
        <f t="shared" si="16"/>
        <v>0</v>
      </c>
      <c r="U70" s="648"/>
      <c r="V70" s="249" t="str">
        <f t="shared" si="17"/>
        <v xml:space="preserve"> </v>
      </c>
    </row>
    <row r="71" spans="1:22" ht="15">
      <c r="A71" s="106"/>
      <c r="B71" s="243"/>
      <c r="C71" s="244" t="s">
        <v>184</v>
      </c>
      <c r="D71" s="241"/>
      <c r="E71" s="241"/>
      <c r="F71" s="241"/>
      <c r="G71" s="241"/>
      <c r="H71" s="242" t="s">
        <v>188</v>
      </c>
      <c r="I71" s="424">
        <f>'Budget-ADA'!I71</f>
        <v>0</v>
      </c>
      <c r="J71" s="648"/>
      <c r="K71" s="252">
        <f>'Budget-ADA'!K71</f>
        <v>0</v>
      </c>
      <c r="L71" s="648"/>
      <c r="M71" s="248" t="str">
        <f>'Budget-ADA'!M71</f>
        <v xml:space="preserve"> </v>
      </c>
      <c r="N71" s="252">
        <f t="shared" si="12"/>
        <v>0</v>
      </c>
      <c r="O71" s="648"/>
      <c r="P71" s="247" t="str">
        <f t="shared" si="13"/>
        <v xml:space="preserve"> </v>
      </c>
      <c r="Q71" s="252">
        <f t="shared" si="14"/>
        <v>0</v>
      </c>
      <c r="R71" s="648"/>
      <c r="S71" s="247" t="str">
        <f t="shared" si="15"/>
        <v xml:space="preserve"> </v>
      </c>
      <c r="T71" s="252">
        <f t="shared" si="16"/>
        <v>0</v>
      </c>
      <c r="U71" s="648"/>
      <c r="V71" s="249" t="str">
        <f t="shared" si="17"/>
        <v xml:space="preserve"> </v>
      </c>
    </row>
    <row r="72" spans="1:22" ht="15">
      <c r="A72" s="106"/>
      <c r="B72" s="243"/>
      <c r="C72" s="139" t="s">
        <v>185</v>
      </c>
      <c r="D72" s="241"/>
      <c r="E72" s="241"/>
      <c r="F72" s="241"/>
      <c r="G72" s="241"/>
      <c r="H72" s="242" t="s">
        <v>189</v>
      </c>
      <c r="I72" s="424">
        <f>'Budget-ADA'!I72</f>
        <v>0</v>
      </c>
      <c r="J72" s="648"/>
      <c r="K72" s="252">
        <f>'Budget-ADA'!K72</f>
        <v>0</v>
      </c>
      <c r="L72" s="648"/>
      <c r="M72" s="438" t="str">
        <f>'Budget-ADA'!M72</f>
        <v xml:space="preserve"> </v>
      </c>
      <c r="N72" s="252">
        <f t="shared" si="12"/>
        <v>0</v>
      </c>
      <c r="O72" s="648"/>
      <c r="P72" s="247" t="str">
        <f t="shared" si="13"/>
        <v xml:space="preserve"> </v>
      </c>
      <c r="Q72" s="252">
        <f t="shared" si="14"/>
        <v>0</v>
      </c>
      <c r="R72" s="648"/>
      <c r="S72" s="247" t="str">
        <f t="shared" si="15"/>
        <v xml:space="preserve"> </v>
      </c>
      <c r="T72" s="252">
        <f t="shared" si="16"/>
        <v>0</v>
      </c>
      <c r="U72" s="648"/>
      <c r="V72" s="249" t="str">
        <f t="shared" si="17"/>
        <v xml:space="preserve"> </v>
      </c>
    </row>
    <row r="73" spans="1:22" ht="18.75" customHeight="1">
      <c r="A73" s="67"/>
      <c r="B73" s="1679" t="s">
        <v>358</v>
      </c>
      <c r="C73" s="1680"/>
      <c r="D73" s="1680"/>
      <c r="E73" s="1680"/>
      <c r="F73" s="1680"/>
      <c r="G73" s="1681"/>
      <c r="H73" s="242" t="s">
        <v>190</v>
      </c>
      <c r="I73" s="424">
        <f>'Budget-ADA'!I73</f>
        <v>504.33</v>
      </c>
      <c r="J73" s="251">
        <f>IF(('Budget-ADA'!J73="Cell G10 CANNOT be blank"), "Missing Data, BUDGET-ADA Tab, cell G10",'Budget-ADA'!J73)</f>
        <v>0</v>
      </c>
      <c r="K73" s="252">
        <f>'Budget-ADA'!K73</f>
        <v>500.5</v>
      </c>
      <c r="L73" s="439">
        <f>IF(('Budget-ADA'!L73="Cell G10 CANNOT be blank"), "Missing Data, BUDGET-ADA Tab, cell G10",'Budget-ADA'!L73)</f>
        <v>0</v>
      </c>
      <c r="M73" s="438">
        <f>'Budget-ADA'!M73</f>
        <v>-7.5942339341303995E-3</v>
      </c>
      <c r="N73" s="250">
        <f>N65+N67+N69+N71</f>
        <v>0</v>
      </c>
      <c r="O73" s="648"/>
      <c r="P73" s="248" t="str">
        <f t="shared" si="13"/>
        <v xml:space="preserve"> </v>
      </c>
      <c r="Q73" s="250">
        <f>Q65+Q67+Q69+Q71</f>
        <v>0</v>
      </c>
      <c r="R73" s="648"/>
      <c r="S73" s="248" t="str">
        <f t="shared" si="15"/>
        <v xml:space="preserve"> </v>
      </c>
      <c r="T73" s="250">
        <f>T65+T67+T69+T71</f>
        <v>0</v>
      </c>
      <c r="U73" s="648"/>
      <c r="V73" s="431" t="str">
        <f t="shared" si="17"/>
        <v xml:space="preserve"> </v>
      </c>
    </row>
    <row r="74" spans="1:22" ht="15">
      <c r="A74" s="67"/>
      <c r="B74" s="1679" t="s">
        <v>359</v>
      </c>
      <c r="C74" s="1680"/>
      <c r="D74" s="1680"/>
      <c r="E74" s="1680"/>
      <c r="F74" s="1680"/>
      <c r="G74" s="1681"/>
      <c r="H74" s="242" t="s">
        <v>191</v>
      </c>
      <c r="I74" s="424">
        <f>'Budget-ADA'!I74</f>
        <v>504.33</v>
      </c>
      <c r="J74" s="251">
        <f>'Budget-ADA'!J74</f>
        <v>504.33</v>
      </c>
      <c r="K74" s="252">
        <f>'Budget-ADA'!K74</f>
        <v>500.5</v>
      </c>
      <c r="L74" s="439">
        <f>'Budget-ADA'!L74</f>
        <v>500.5</v>
      </c>
      <c r="M74" s="438">
        <f>'Budget-ADA'!M74</f>
        <v>-7.5942339341303995E-3</v>
      </c>
      <c r="N74" s="250">
        <f>N66+N68+N70+N72</f>
        <v>0</v>
      </c>
      <c r="O74" s="439">
        <f>N74</f>
        <v>0</v>
      </c>
      <c r="P74" s="248" t="str">
        <f t="shared" si="13"/>
        <v xml:space="preserve"> </v>
      </c>
      <c r="Q74" s="250">
        <f>Q66+Q68+Q70+Q72</f>
        <v>0</v>
      </c>
      <c r="R74" s="439">
        <f>Q74</f>
        <v>0</v>
      </c>
      <c r="S74" s="248" t="str">
        <f t="shared" si="15"/>
        <v xml:space="preserve"> </v>
      </c>
      <c r="T74" s="250">
        <f>T66+T68+T70+T72</f>
        <v>0</v>
      </c>
      <c r="U74" s="439">
        <f>T74</f>
        <v>0</v>
      </c>
      <c r="V74" s="431" t="str">
        <f t="shared" si="17"/>
        <v xml:space="preserve"> </v>
      </c>
    </row>
    <row r="75" spans="1:22" ht="47.25" customHeight="1">
      <c r="A75" s="67"/>
      <c r="B75" s="1679" t="s">
        <v>356</v>
      </c>
      <c r="C75" s="1680"/>
      <c r="D75" s="1680"/>
      <c r="E75" s="1680"/>
      <c r="F75" s="1680"/>
      <c r="G75" s="1681"/>
      <c r="H75" s="242" t="s">
        <v>355</v>
      </c>
      <c r="I75" s="424">
        <f>'Budget-ADA'!I75</f>
        <v>0</v>
      </c>
      <c r="J75" s="439">
        <f>'Budget-ADA'!J75</f>
        <v>0</v>
      </c>
      <c r="K75" s="252">
        <f>'Budget-ADA'!K75</f>
        <v>0</v>
      </c>
      <c r="L75" s="439">
        <f>'Budget-ADA'!L75</f>
        <v>0</v>
      </c>
      <c r="M75" s="248" t="str">
        <f>'Budget-ADA'!M75</f>
        <v xml:space="preserve"> </v>
      </c>
      <c r="N75" s="250">
        <f>N73-N74</f>
        <v>0</v>
      </c>
      <c r="O75" s="439" t="str">
        <f>IF($G$10="","Cell G10 CANNOT be blank",N75*$G$10)</f>
        <v>Cell G10 CANNOT be blank</v>
      </c>
      <c r="P75" s="248" t="str">
        <f t="shared" si="13"/>
        <v xml:space="preserve"> </v>
      </c>
      <c r="Q75" s="252">
        <f>Q73-Q74</f>
        <v>0</v>
      </c>
      <c r="R75" s="439" t="str">
        <f>IF($G$10="","Cell G10 CANNOT be blank",Q75*$G$10)</f>
        <v>Cell G10 CANNOT be blank</v>
      </c>
      <c r="S75" s="248" t="str">
        <f t="shared" si="15"/>
        <v xml:space="preserve"> </v>
      </c>
      <c r="T75" s="252">
        <f>T73-T74</f>
        <v>0</v>
      </c>
      <c r="U75" s="439" t="str">
        <f>IF($G$10="","Cell G10 CANNOT be blank",T75*$G$10)</f>
        <v>Cell G10 CANNOT be blank</v>
      </c>
      <c r="V75" s="431" t="str">
        <f t="shared" si="17"/>
        <v xml:space="preserve"> </v>
      </c>
    </row>
    <row r="76" spans="1:22" ht="17.25" customHeight="1" thickBot="1">
      <c r="A76" s="236"/>
      <c r="B76" s="1682" t="s">
        <v>357</v>
      </c>
      <c r="C76" s="1683"/>
      <c r="D76" s="1683"/>
      <c r="E76" s="1683"/>
      <c r="F76" s="1683"/>
      <c r="G76" s="1684"/>
      <c r="H76" s="565"/>
      <c r="I76" s="998">
        <f>'Budget-ADA'!I76</f>
        <v>0</v>
      </c>
      <c r="J76" s="237">
        <f>'Budget-ADA'!J76</f>
        <v>504.33</v>
      </c>
      <c r="K76" s="999">
        <f>'Budget-ADA'!K76</f>
        <v>0</v>
      </c>
      <c r="L76" s="563">
        <f>'Budget-ADA'!L76</f>
        <v>500.5</v>
      </c>
      <c r="M76" s="996"/>
      <c r="N76" s="993"/>
      <c r="O76" s="995" t="e">
        <f>O74+O75</f>
        <v>#VALUE!</v>
      </c>
      <c r="P76" s="996"/>
      <c r="Q76" s="993"/>
      <c r="R76" s="995" t="e">
        <f>R74+R75</f>
        <v>#VALUE!</v>
      </c>
      <c r="S76" s="996"/>
      <c r="T76" s="993"/>
      <c r="U76" s="995" t="e">
        <f>U74+U75</f>
        <v>#VALUE!</v>
      </c>
      <c r="V76" s="997"/>
    </row>
    <row r="77" spans="1:22" ht="15">
      <c r="A77" s="38"/>
      <c r="B77" s="105"/>
      <c r="C77" s="34"/>
      <c r="D77" s="34"/>
      <c r="E77" s="34"/>
      <c r="F77" s="34"/>
      <c r="G77" s="34"/>
      <c r="H77" s="38"/>
      <c r="I77" s="224"/>
      <c r="J77" s="224"/>
      <c r="K77" s="224"/>
      <c r="L77" s="224"/>
      <c r="M77" s="224"/>
      <c r="N77" s="224"/>
      <c r="O77" s="224"/>
      <c r="P77" s="224"/>
      <c r="Q77" s="224"/>
      <c r="R77" s="224"/>
      <c r="S77" s="224"/>
      <c r="T77" s="224"/>
      <c r="U77" s="224"/>
    </row>
    <row r="78" spans="1:22" ht="21.75" customHeight="1">
      <c r="A78" s="562" t="s">
        <v>195</v>
      </c>
      <c r="B78" s="562"/>
      <c r="C78" s="224"/>
      <c r="D78" s="224"/>
      <c r="E78" s="224"/>
      <c r="F78" s="224"/>
      <c r="G78" s="224"/>
      <c r="H78" s="224"/>
      <c r="I78" s="6"/>
      <c r="J78" s="6"/>
      <c r="K78" s="6"/>
      <c r="L78" s="6"/>
      <c r="M78" s="6"/>
      <c r="N78" s="6"/>
      <c r="O78" s="6"/>
      <c r="P78" s="6"/>
      <c r="Q78" s="6"/>
      <c r="R78" s="6"/>
      <c r="S78" s="6"/>
      <c r="T78" s="6"/>
    </row>
    <row r="79" spans="1:22" ht="12.75">
      <c r="A79" s="6"/>
      <c r="B79" s="6"/>
      <c r="C79" s="6"/>
      <c r="D79" s="6"/>
      <c r="E79" s="6"/>
      <c r="F79" s="6"/>
      <c r="G79" s="6"/>
      <c r="H79" s="6"/>
      <c r="I79" s="6"/>
      <c r="J79" s="6"/>
      <c r="K79" s="6"/>
      <c r="L79" s="6"/>
      <c r="M79" s="6"/>
      <c r="N79" s="6"/>
      <c r="O79" s="6"/>
      <c r="P79" s="6"/>
      <c r="Q79" s="6"/>
      <c r="R79" s="6"/>
      <c r="S79" s="6"/>
      <c r="T79" s="6"/>
    </row>
    <row r="80" spans="1:22" ht="12.75">
      <c r="A80" s="6"/>
      <c r="B80" s="6"/>
      <c r="C80" s="6"/>
      <c r="D80" s="6"/>
      <c r="E80" s="6"/>
      <c r="F80" s="6"/>
      <c r="G80" s="6"/>
      <c r="H80" s="6"/>
      <c r="I80" s="6"/>
      <c r="J80" s="6"/>
      <c r="K80" s="6"/>
      <c r="L80" s="6"/>
      <c r="M80" s="6"/>
      <c r="N80" s="6"/>
      <c r="O80" s="6"/>
      <c r="P80" s="6"/>
      <c r="Q80" s="6"/>
      <c r="R80" s="6"/>
      <c r="S80" s="6"/>
      <c r="T80" s="6"/>
    </row>
    <row r="81" spans="1:20" ht="12.75">
      <c r="A81" s="6"/>
      <c r="B81" s="6"/>
      <c r="C81" s="6"/>
      <c r="D81" s="6"/>
      <c r="E81" s="6"/>
      <c r="F81" s="6"/>
      <c r="G81" s="6"/>
      <c r="H81" s="6"/>
      <c r="I81" s="6"/>
      <c r="J81" s="6"/>
      <c r="K81" s="6"/>
      <c r="L81" s="6"/>
      <c r="M81" s="6"/>
      <c r="N81" s="6"/>
      <c r="O81" s="6"/>
      <c r="P81" s="6"/>
      <c r="Q81" s="6"/>
      <c r="R81" s="6"/>
      <c r="S81" s="6"/>
      <c r="T81" s="6"/>
    </row>
    <row r="82" spans="1:20" ht="12.75">
      <c r="A82" s="6"/>
      <c r="B82" s="6"/>
      <c r="C82" s="6"/>
      <c r="D82" s="6"/>
      <c r="E82" s="6"/>
      <c r="F82" s="6"/>
      <c r="G82" s="6"/>
      <c r="H82" s="6"/>
      <c r="I82" s="6"/>
      <c r="J82" s="6"/>
      <c r="K82" s="6"/>
      <c r="L82" s="6"/>
      <c r="M82" s="6"/>
      <c r="N82" s="6"/>
      <c r="O82" s="6"/>
      <c r="P82" s="6"/>
      <c r="Q82" s="6"/>
      <c r="R82" s="6"/>
      <c r="S82" s="6"/>
      <c r="T82" s="6"/>
    </row>
    <row r="83" spans="1:20" ht="12.75">
      <c r="A83" s="6"/>
      <c r="B83" s="6"/>
      <c r="C83" s="6"/>
      <c r="D83" s="6"/>
      <c r="E83" s="6"/>
      <c r="F83" s="6"/>
      <c r="G83" s="6"/>
      <c r="H83" s="6"/>
      <c r="I83" s="6"/>
      <c r="J83" s="6"/>
      <c r="K83" s="6"/>
      <c r="L83" s="6"/>
      <c r="M83" s="6"/>
      <c r="N83" s="6"/>
      <c r="O83" s="6"/>
      <c r="P83" s="6"/>
      <c r="Q83" s="6"/>
      <c r="R83" s="6"/>
      <c r="S83" s="6"/>
      <c r="T83" s="6"/>
    </row>
    <row r="84" spans="1:20" ht="12.75">
      <c r="A84" s="6"/>
      <c r="B84" s="6"/>
      <c r="C84" s="6"/>
      <c r="D84" s="6"/>
      <c r="E84" s="6"/>
      <c r="F84" s="6"/>
      <c r="G84" s="6"/>
      <c r="H84" s="6"/>
      <c r="I84" s="6"/>
      <c r="J84" s="6"/>
      <c r="K84" s="6"/>
      <c r="L84" s="6"/>
      <c r="M84" s="6"/>
      <c r="N84" s="6"/>
      <c r="O84" s="6"/>
      <c r="P84" s="6"/>
      <c r="Q84" s="6"/>
      <c r="R84" s="6"/>
      <c r="S84" s="6"/>
      <c r="T84" s="6"/>
    </row>
    <row r="85" spans="1:20" ht="12.75">
      <c r="A85" s="6"/>
      <c r="B85" s="6"/>
      <c r="C85" s="6"/>
      <c r="D85" s="6"/>
      <c r="E85" s="6"/>
      <c r="F85" s="6"/>
      <c r="G85" s="6"/>
      <c r="H85" s="6"/>
      <c r="I85" s="6"/>
      <c r="J85" s="6"/>
      <c r="K85" s="6"/>
      <c r="L85" s="6"/>
      <c r="M85" s="6"/>
      <c r="N85" s="6"/>
      <c r="O85" s="6"/>
      <c r="P85" s="6"/>
      <c r="Q85" s="6"/>
      <c r="R85" s="6"/>
      <c r="S85" s="6"/>
      <c r="T85" s="6"/>
    </row>
    <row r="86" spans="1:20" ht="12.75">
      <c r="A86" s="6"/>
      <c r="B86" s="6"/>
      <c r="C86" s="6"/>
      <c r="D86" s="6"/>
      <c r="E86" s="6"/>
      <c r="F86" s="6"/>
      <c r="G86" s="6"/>
      <c r="H86" s="6"/>
      <c r="I86" s="6"/>
      <c r="J86" s="6"/>
      <c r="K86" s="6"/>
      <c r="L86" s="6"/>
      <c r="M86" s="6"/>
      <c r="N86" s="6"/>
      <c r="O86" s="6"/>
      <c r="P86" s="6"/>
      <c r="Q86" s="6"/>
      <c r="R86" s="6"/>
      <c r="S86" s="6"/>
      <c r="T86" s="6"/>
    </row>
    <row r="87" spans="1:20" ht="12.75">
      <c r="A87" s="6"/>
      <c r="B87" s="6"/>
      <c r="C87" s="6"/>
      <c r="D87" s="6"/>
      <c r="E87" s="6"/>
      <c r="F87" s="6"/>
      <c r="G87" s="6"/>
      <c r="H87" s="6"/>
      <c r="I87" s="6"/>
      <c r="J87" s="6"/>
      <c r="K87" s="6"/>
      <c r="L87" s="6"/>
      <c r="M87" s="6"/>
      <c r="N87" s="6"/>
      <c r="O87" s="6"/>
      <c r="P87" s="6"/>
      <c r="Q87" s="6"/>
      <c r="R87" s="6"/>
      <c r="S87" s="6"/>
      <c r="T87" s="6"/>
    </row>
    <row r="88" spans="1:20" ht="12.75">
      <c r="A88" s="6"/>
      <c r="B88" s="6"/>
      <c r="C88" s="6"/>
      <c r="D88" s="6"/>
      <c r="E88" s="6"/>
      <c r="F88" s="6"/>
      <c r="G88" s="6"/>
      <c r="H88" s="6"/>
    </row>
    <row r="89" spans="1:20" ht="12.75">
      <c r="A89" s="6"/>
    </row>
    <row r="90" spans="1:20" ht="12.75">
      <c r="A90" s="6"/>
    </row>
    <row r="91" spans="1:20" ht="12.75">
      <c r="A91" s="6"/>
    </row>
  </sheetData>
  <sheetProtection password="D94D" sheet="1"/>
  <mergeCells count="26">
    <mergeCell ref="I1:N1"/>
    <mergeCell ref="I2:N2"/>
    <mergeCell ref="B23:G23"/>
    <mergeCell ref="A7:G8"/>
    <mergeCell ref="V8:V9"/>
    <mergeCell ref="M8:M9"/>
    <mergeCell ref="P8:P9"/>
    <mergeCell ref="S8:S9"/>
    <mergeCell ref="A6:H6"/>
    <mergeCell ref="I7:J7"/>
    <mergeCell ref="B20:G20"/>
    <mergeCell ref="B21:G21"/>
    <mergeCell ref="B22:G22"/>
    <mergeCell ref="B34:G34"/>
    <mergeCell ref="B35:G35"/>
    <mergeCell ref="B36:G36"/>
    <mergeCell ref="B47:G47"/>
    <mergeCell ref="B48:G48"/>
    <mergeCell ref="B75:G75"/>
    <mergeCell ref="B76:G76"/>
    <mergeCell ref="B49:G49"/>
    <mergeCell ref="B60:G60"/>
    <mergeCell ref="B61:G61"/>
    <mergeCell ref="B62:G62"/>
    <mergeCell ref="B73:G73"/>
    <mergeCell ref="B74:G74"/>
  </mergeCells>
  <phoneticPr fontId="5" type="noConversion"/>
  <conditionalFormatting sqref="A7">
    <cfRule type="containsText" dxfId="233" priority="1" stopIfTrue="1" operator="containsText" text="Enter">
      <formula>NOT(ISERROR(SEARCH("Enter",A7)))</formula>
    </cfRule>
  </conditionalFormatting>
  <conditionalFormatting sqref="I1:I2">
    <cfRule type="containsText" dxfId="232" priority="316" stopIfTrue="1" operator="containsText" text="Enter">
      <formula>NOT(ISERROR(SEARCH("Enter",I1)))</formula>
    </cfRule>
  </conditionalFormatting>
  <conditionalFormatting sqref="J20:J22">
    <cfRule type="containsText" dxfId="231" priority="10" stopIfTrue="1" operator="containsText" text="Missin">
      <formula>NOT(ISERROR(SEARCH("Missin",J20)))</formula>
    </cfRule>
    <cfRule type="containsText" dxfId="230" priority="11" stopIfTrue="1" operator="containsText" text="Cell G10 CANNOT be blank">
      <formula>NOT(ISERROR(SEARCH("Cell G10 CANNOT be blank",J20)))</formula>
    </cfRule>
  </conditionalFormatting>
  <conditionalFormatting sqref="J34:J36">
    <cfRule type="containsText" dxfId="229" priority="8" stopIfTrue="1" operator="containsText" text="Missin">
      <formula>NOT(ISERROR(SEARCH("Missin",J34)))</formula>
    </cfRule>
    <cfRule type="containsText" dxfId="228" priority="9" stopIfTrue="1" operator="containsText" text="Cell G10 CANNOT be blank">
      <formula>NOT(ISERROR(SEARCH("Cell G10 CANNOT be blank",J34)))</formula>
    </cfRule>
  </conditionalFormatting>
  <conditionalFormatting sqref="J47:J49">
    <cfRule type="containsText" dxfId="227" priority="6" stopIfTrue="1" operator="containsText" text="Missin">
      <formula>NOT(ISERROR(SEARCH("Missin",J47)))</formula>
    </cfRule>
    <cfRule type="containsText" dxfId="226" priority="7" stopIfTrue="1" operator="containsText" text="Cell G10 CANNOT be blank">
      <formula>NOT(ISERROR(SEARCH("Cell G10 CANNOT be blank",J47)))</formula>
    </cfRule>
  </conditionalFormatting>
  <conditionalFormatting sqref="J60:J62">
    <cfRule type="containsText" dxfId="225" priority="4" stopIfTrue="1" operator="containsText" text="Missin">
      <formula>NOT(ISERROR(SEARCH("Missin",J60)))</formula>
    </cfRule>
    <cfRule type="containsText" dxfId="224" priority="5" stopIfTrue="1" operator="containsText" text="Cell G10 CANNOT be blank">
      <formula>NOT(ISERROR(SEARCH("Cell G10 CANNOT be blank",J60)))</formula>
    </cfRule>
  </conditionalFormatting>
  <conditionalFormatting sqref="J73:J75">
    <cfRule type="containsText" dxfId="223" priority="2" stopIfTrue="1" operator="containsText" text="Missin">
      <formula>NOT(ISERROR(SEARCH("Missin",J73)))</formula>
    </cfRule>
    <cfRule type="containsText" dxfId="222" priority="3" stopIfTrue="1" operator="containsText" text="Cell G10 CANNOT be blank">
      <formula>NOT(ISERROR(SEARCH("Cell G10 CANNOT be blank",J73)))</formula>
    </cfRule>
  </conditionalFormatting>
  <conditionalFormatting sqref="L20:L22">
    <cfRule type="containsText" dxfId="221" priority="190" stopIfTrue="1" operator="containsText" text="Missin">
      <formula>NOT(ISERROR(SEARCH("Missin",L20)))</formula>
    </cfRule>
    <cfRule type="containsText" dxfId="220" priority="191" stopIfTrue="1" operator="containsText" text="Cell G10 CANNOT be blank">
      <formula>NOT(ISERROR(SEARCH("Cell G10 CANNOT be blank",L20)))</formula>
    </cfRule>
  </conditionalFormatting>
  <conditionalFormatting sqref="L34:L36">
    <cfRule type="containsText" dxfId="219" priority="76" stopIfTrue="1" operator="containsText" text="Cell G10 CANNOT be blank">
      <formula>NOT(ISERROR(SEARCH("Cell G10 CANNOT be blank",L34)))</formula>
    </cfRule>
    <cfRule type="containsText" dxfId="218" priority="75" stopIfTrue="1" operator="containsText" text="Missin">
      <formula>NOT(ISERROR(SEARCH("Missin",L34)))</formula>
    </cfRule>
  </conditionalFormatting>
  <conditionalFormatting sqref="L47:L49">
    <cfRule type="containsText" dxfId="217" priority="59" stopIfTrue="1" operator="containsText" text="Cell G10 CANNOT be blank">
      <formula>NOT(ISERROR(SEARCH("Cell G10 CANNOT be blank",L47)))</formula>
    </cfRule>
    <cfRule type="containsText" dxfId="216" priority="58" stopIfTrue="1" operator="containsText" text="Missin">
      <formula>NOT(ISERROR(SEARCH("Missin",L47)))</formula>
    </cfRule>
  </conditionalFormatting>
  <conditionalFormatting sqref="L60:L62">
    <cfRule type="containsText" dxfId="215" priority="41" stopIfTrue="1" operator="containsText" text="Missin">
      <formula>NOT(ISERROR(SEARCH("Missin",L60)))</formula>
    </cfRule>
    <cfRule type="containsText" dxfId="214" priority="42" stopIfTrue="1" operator="containsText" text="Cell G10 CANNOT be blank">
      <formula>NOT(ISERROR(SEARCH("Cell G10 CANNOT be blank",L60)))</formula>
    </cfRule>
  </conditionalFormatting>
  <conditionalFormatting sqref="L73:L76">
    <cfRule type="containsText" dxfId="213" priority="12" stopIfTrue="1" operator="containsText" text="Missin">
      <formula>NOT(ISERROR(SEARCH("Missin",L73)))</formula>
    </cfRule>
    <cfRule type="containsText" dxfId="212" priority="13" stopIfTrue="1" operator="containsText" text="Cell G10 CANNOT be blank">
      <formula>NOT(ISERROR(SEARCH("Cell G10 CANNOT be blank",L73)))</formula>
    </cfRule>
  </conditionalFormatting>
  <conditionalFormatting sqref="O21">
    <cfRule type="containsText" dxfId="211" priority="91" stopIfTrue="1" operator="containsText" text="Cell G10 CANNOT be blank">
      <formula>NOT(ISERROR(SEARCH("Cell G10 CANNOT be blank",O21)))</formula>
    </cfRule>
  </conditionalFormatting>
  <conditionalFormatting sqref="O22">
    <cfRule type="containsText" dxfId="210" priority="193" stopIfTrue="1" operator="containsText" text="Cell G10 CANNOT be blank">
      <formula>NOT(ISERROR(SEARCH("Cell G10 CANNOT be blank",O22)))</formula>
    </cfRule>
    <cfRule type="containsText" dxfId="209" priority="192" stopIfTrue="1" operator="containsText" text="Missin">
      <formula>NOT(ISERROR(SEARCH("Missin",O22)))</formula>
    </cfRule>
  </conditionalFormatting>
  <conditionalFormatting sqref="O35">
    <cfRule type="containsText" dxfId="208" priority="74" stopIfTrue="1" operator="containsText" text="Cell G10 CANNOT be blank">
      <formula>NOT(ISERROR(SEARCH("Cell G10 CANNOT be blank",O35)))</formula>
    </cfRule>
  </conditionalFormatting>
  <conditionalFormatting sqref="O36">
    <cfRule type="containsText" dxfId="207" priority="78" stopIfTrue="1" operator="containsText" text="Cell G10 CANNOT be blank">
      <formula>NOT(ISERROR(SEARCH("Cell G10 CANNOT be blank",O36)))</formula>
    </cfRule>
    <cfRule type="containsText" dxfId="206" priority="77" stopIfTrue="1" operator="containsText" text="Missin">
      <formula>NOT(ISERROR(SEARCH("Missin",O36)))</formula>
    </cfRule>
  </conditionalFormatting>
  <conditionalFormatting sqref="O48">
    <cfRule type="containsText" dxfId="205" priority="57" stopIfTrue="1" operator="containsText" text="Cell G10 CANNOT be blank">
      <formula>NOT(ISERROR(SEARCH("Cell G10 CANNOT be blank",O48)))</formula>
    </cfRule>
  </conditionalFormatting>
  <conditionalFormatting sqref="O49">
    <cfRule type="containsText" dxfId="204" priority="60" stopIfTrue="1" operator="containsText" text="Missin">
      <formula>NOT(ISERROR(SEARCH("Missin",O49)))</formula>
    </cfRule>
    <cfRule type="containsText" dxfId="203" priority="61" stopIfTrue="1" operator="containsText" text="Cell G10 CANNOT be blank">
      <formula>NOT(ISERROR(SEARCH("Cell G10 CANNOT be blank",O49)))</formula>
    </cfRule>
  </conditionalFormatting>
  <conditionalFormatting sqref="O61">
    <cfRule type="containsText" dxfId="202" priority="40" stopIfTrue="1" operator="containsText" text="Cell G10 CANNOT be blank">
      <formula>NOT(ISERROR(SEARCH("Cell G10 CANNOT be blank",O61)))</formula>
    </cfRule>
  </conditionalFormatting>
  <conditionalFormatting sqref="O62">
    <cfRule type="containsText" dxfId="201" priority="43" stopIfTrue="1" operator="containsText" text="Missin">
      <formula>NOT(ISERROR(SEARCH("Missin",O62)))</formula>
    </cfRule>
    <cfRule type="containsText" dxfId="200" priority="44" stopIfTrue="1" operator="containsText" text="Cell G10 CANNOT be blank">
      <formula>NOT(ISERROR(SEARCH("Cell G10 CANNOT be blank",O62)))</formula>
    </cfRule>
  </conditionalFormatting>
  <conditionalFormatting sqref="O74">
    <cfRule type="containsText" dxfId="199" priority="23" stopIfTrue="1" operator="containsText" text="Cell G10 CANNOT be blank">
      <formula>NOT(ISERROR(SEARCH("Cell G10 CANNOT be blank",O74)))</formula>
    </cfRule>
  </conditionalFormatting>
  <conditionalFormatting sqref="O75">
    <cfRule type="containsText" dxfId="198" priority="26" stopIfTrue="1" operator="containsText" text="Missin">
      <formula>NOT(ISERROR(SEARCH("Missin",O75)))</formula>
    </cfRule>
    <cfRule type="containsText" dxfId="197" priority="27" stopIfTrue="1" operator="containsText" text="Cell G10 CANNOT be blank">
      <formula>NOT(ISERROR(SEARCH("Cell G10 CANNOT be blank",O75)))</formula>
    </cfRule>
  </conditionalFormatting>
  <conditionalFormatting sqref="O76 R76 U76">
    <cfRule type="containsText" dxfId="196" priority="16" stopIfTrue="1" operator="containsText" text="Cell G10 CANNOT be blank">
      <formula>NOT(ISERROR(SEARCH("Cell G10 CANNOT be blank",O76)))</formula>
    </cfRule>
  </conditionalFormatting>
  <conditionalFormatting sqref="R21">
    <cfRule type="containsText" dxfId="195" priority="88" stopIfTrue="1" operator="containsText" text="Cell G10 CANNOT be blank">
      <formula>NOT(ISERROR(SEARCH("Cell G10 CANNOT be blank",R21)))</formula>
    </cfRule>
  </conditionalFormatting>
  <conditionalFormatting sqref="R22">
    <cfRule type="containsText" dxfId="194" priority="89" stopIfTrue="1" operator="containsText" text="Missin">
      <formula>NOT(ISERROR(SEARCH("Missin",R22)))</formula>
    </cfRule>
    <cfRule type="containsText" dxfId="193" priority="90" stopIfTrue="1" operator="containsText" text="Cell G10 CANNOT be blank">
      <formula>NOT(ISERROR(SEARCH("Cell G10 CANNOT be blank",R22)))</formula>
    </cfRule>
  </conditionalFormatting>
  <conditionalFormatting sqref="R35">
    <cfRule type="containsText" dxfId="192" priority="71" stopIfTrue="1" operator="containsText" text="Cell G10 CANNOT be blank">
      <formula>NOT(ISERROR(SEARCH("Cell G10 CANNOT be blank",R35)))</formula>
    </cfRule>
  </conditionalFormatting>
  <conditionalFormatting sqref="R36">
    <cfRule type="containsText" dxfId="191" priority="73" stopIfTrue="1" operator="containsText" text="Cell G10 CANNOT be blank">
      <formula>NOT(ISERROR(SEARCH("Cell G10 CANNOT be blank",R36)))</formula>
    </cfRule>
    <cfRule type="containsText" dxfId="190" priority="72" stopIfTrue="1" operator="containsText" text="Missin">
      <formula>NOT(ISERROR(SEARCH("Missin",R36)))</formula>
    </cfRule>
  </conditionalFormatting>
  <conditionalFormatting sqref="R48">
    <cfRule type="containsText" dxfId="189" priority="54" stopIfTrue="1" operator="containsText" text="Cell G10 CANNOT be blank">
      <formula>NOT(ISERROR(SEARCH("Cell G10 CANNOT be blank",R48)))</formula>
    </cfRule>
  </conditionalFormatting>
  <conditionalFormatting sqref="R49">
    <cfRule type="containsText" dxfId="188" priority="55" stopIfTrue="1" operator="containsText" text="Missin">
      <formula>NOT(ISERROR(SEARCH("Missin",R49)))</formula>
    </cfRule>
    <cfRule type="containsText" dxfId="187" priority="56" stopIfTrue="1" operator="containsText" text="Cell G10 CANNOT be blank">
      <formula>NOT(ISERROR(SEARCH("Cell G10 CANNOT be blank",R49)))</formula>
    </cfRule>
  </conditionalFormatting>
  <conditionalFormatting sqref="R61">
    <cfRule type="containsText" dxfId="186" priority="37" stopIfTrue="1" operator="containsText" text="Cell G10 CANNOT be blank">
      <formula>NOT(ISERROR(SEARCH("Cell G10 CANNOT be blank",R61)))</formula>
    </cfRule>
  </conditionalFormatting>
  <conditionalFormatting sqref="R62">
    <cfRule type="containsText" dxfId="185" priority="39" stopIfTrue="1" operator="containsText" text="Cell G10 CANNOT be blank">
      <formula>NOT(ISERROR(SEARCH("Cell G10 CANNOT be blank",R62)))</formula>
    </cfRule>
    <cfRule type="containsText" dxfId="184" priority="38" stopIfTrue="1" operator="containsText" text="Missin">
      <formula>NOT(ISERROR(SEARCH("Missin",R62)))</formula>
    </cfRule>
  </conditionalFormatting>
  <conditionalFormatting sqref="R74">
    <cfRule type="containsText" dxfId="183" priority="20" stopIfTrue="1" operator="containsText" text="Cell G10 CANNOT be blank">
      <formula>NOT(ISERROR(SEARCH("Cell G10 CANNOT be blank",R74)))</formula>
    </cfRule>
  </conditionalFormatting>
  <conditionalFormatting sqref="R75">
    <cfRule type="containsText" dxfId="182" priority="21" stopIfTrue="1" operator="containsText" text="Missin">
      <formula>NOT(ISERROR(SEARCH("Missin",R75)))</formula>
    </cfRule>
    <cfRule type="containsText" dxfId="181" priority="22" stopIfTrue="1" operator="containsText" text="Cell G10 CANNOT be blank">
      <formula>NOT(ISERROR(SEARCH("Cell G10 CANNOT be blank",R75)))</formula>
    </cfRule>
  </conditionalFormatting>
  <conditionalFormatting sqref="U21">
    <cfRule type="containsText" dxfId="180" priority="85" stopIfTrue="1" operator="containsText" text="Cell G10 CANNOT be blank">
      <formula>NOT(ISERROR(SEARCH("Cell G10 CANNOT be blank",U21)))</formula>
    </cfRule>
  </conditionalFormatting>
  <conditionalFormatting sqref="U22">
    <cfRule type="containsText" dxfId="179" priority="87" stopIfTrue="1" operator="containsText" text="Cell G10 CANNOT be blank">
      <formula>NOT(ISERROR(SEARCH("Cell G10 CANNOT be blank",U22)))</formula>
    </cfRule>
    <cfRule type="containsText" dxfId="178" priority="86" stopIfTrue="1" operator="containsText" text="Missin">
      <formula>NOT(ISERROR(SEARCH("Missin",U22)))</formula>
    </cfRule>
  </conditionalFormatting>
  <conditionalFormatting sqref="U35">
    <cfRule type="containsText" dxfId="177" priority="68" stopIfTrue="1" operator="containsText" text="Cell G10 CANNOT be blank">
      <formula>NOT(ISERROR(SEARCH("Cell G10 CANNOT be blank",U35)))</formula>
    </cfRule>
  </conditionalFormatting>
  <conditionalFormatting sqref="U36">
    <cfRule type="containsText" dxfId="176" priority="69" stopIfTrue="1" operator="containsText" text="Missin">
      <formula>NOT(ISERROR(SEARCH("Missin",U36)))</formula>
    </cfRule>
    <cfRule type="containsText" dxfId="175" priority="70" stopIfTrue="1" operator="containsText" text="Cell G10 CANNOT be blank">
      <formula>NOT(ISERROR(SEARCH("Cell G10 CANNOT be blank",U36)))</formula>
    </cfRule>
  </conditionalFormatting>
  <conditionalFormatting sqref="U48">
    <cfRule type="containsText" dxfId="174" priority="51" stopIfTrue="1" operator="containsText" text="Cell G10 CANNOT be blank">
      <formula>NOT(ISERROR(SEARCH("Cell G10 CANNOT be blank",U48)))</formula>
    </cfRule>
  </conditionalFormatting>
  <conditionalFormatting sqref="U49">
    <cfRule type="containsText" dxfId="173" priority="53" stopIfTrue="1" operator="containsText" text="Cell G10 CANNOT be blank">
      <formula>NOT(ISERROR(SEARCH("Cell G10 CANNOT be blank",U49)))</formula>
    </cfRule>
    <cfRule type="containsText" dxfId="172" priority="52" stopIfTrue="1" operator="containsText" text="Missin">
      <formula>NOT(ISERROR(SEARCH("Missin",U49)))</formula>
    </cfRule>
  </conditionalFormatting>
  <conditionalFormatting sqref="U61">
    <cfRule type="containsText" dxfId="171" priority="34" stopIfTrue="1" operator="containsText" text="Cell G10 CANNOT be blank">
      <formula>NOT(ISERROR(SEARCH("Cell G10 CANNOT be blank",U61)))</formula>
    </cfRule>
  </conditionalFormatting>
  <conditionalFormatting sqref="U62">
    <cfRule type="containsText" dxfId="170" priority="36" stopIfTrue="1" operator="containsText" text="Cell G10 CANNOT be blank">
      <formula>NOT(ISERROR(SEARCH("Cell G10 CANNOT be blank",U62)))</formula>
    </cfRule>
    <cfRule type="containsText" dxfId="169" priority="35" stopIfTrue="1" operator="containsText" text="Missin">
      <formula>NOT(ISERROR(SEARCH("Missin",U62)))</formula>
    </cfRule>
  </conditionalFormatting>
  <conditionalFormatting sqref="U74">
    <cfRule type="containsText" dxfId="168" priority="17" stopIfTrue="1" operator="containsText" text="Cell G10 CANNOT be blank">
      <formula>NOT(ISERROR(SEARCH("Cell G10 CANNOT be blank",U74)))</formula>
    </cfRule>
  </conditionalFormatting>
  <conditionalFormatting sqref="U75">
    <cfRule type="containsText" dxfId="167" priority="19" stopIfTrue="1" operator="containsText" text="Cell G10 CANNOT be blank">
      <formula>NOT(ISERROR(SEARCH("Cell G10 CANNOT be blank",U75)))</formula>
    </cfRule>
    <cfRule type="containsText" dxfId="166" priority="18" stopIfTrue="1" operator="containsText" text="Missin">
      <formula>NOT(ISERROR(SEARCH("Missin",U75)))</formula>
    </cfRule>
  </conditionalFormatting>
  <printOptions horizontalCentered="1"/>
  <pageMargins left="0.25" right="0.25" top="0.75" bottom="0.75" header="0.3" footer="0.3"/>
  <pageSetup scale="52" fitToHeight="2" orientation="landscape" r:id="rId1"/>
  <headerFooter alignWithMargins="0">
    <oddHeader>&amp;RPage &amp;P of &amp;N</oddHeader>
  </headerFooter>
  <rowBreaks count="1" manualBreakCount="1">
    <brk id="5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4"/>
    <pageSetUpPr fitToPage="1"/>
  </sheetPr>
  <dimension ref="A1:AH94"/>
  <sheetViews>
    <sheetView showGridLines="0" zoomScale="85" zoomScaleNormal="85" workbookViewId="0">
      <pane xSplit="6" ySplit="6" topLeftCell="G7" activePane="bottomRight" state="frozen"/>
      <selection activeCell="J13" sqref="J13"/>
      <selection pane="topRight" activeCell="J13" sqref="J13"/>
      <selection pane="bottomLeft" activeCell="J13" sqref="J13"/>
      <selection pane="bottomRight" activeCell="G21" sqref="G21"/>
    </sheetView>
  </sheetViews>
  <sheetFormatPr defaultRowHeight="12.75"/>
  <cols>
    <col min="1" max="1" width="3.86328125" customWidth="1"/>
    <col min="2" max="2" width="11" customWidth="1"/>
    <col min="3" max="3" width="16.46484375" customWidth="1"/>
    <col min="4" max="4" width="29.6640625" customWidth="1"/>
    <col min="6" max="6" width="13.6640625" customWidth="1"/>
    <col min="7" max="8" width="19.46484375" customWidth="1"/>
    <col min="9" max="9" width="11.33203125" customWidth="1"/>
    <col min="10" max="10" width="18.86328125" customWidth="1"/>
    <col min="11" max="11" width="11.33203125" customWidth="1"/>
    <col min="12" max="12" width="83.53125" style="1177" customWidth="1"/>
    <col min="13" max="28" width="9.1328125" customWidth="1"/>
  </cols>
  <sheetData>
    <row r="1" spans="1:34" s="2" customFormat="1" ht="15.4">
      <c r="A1" s="1664" t="str">
        <f>IF('INTERIM-CERTIFICATION'!$M$1="","CHARTER NAME: Enter Charter Name on INTERIM-CERTIFICATION Worksheet",(CONCATENATE("CHARTER NAME: ",'INTERIM-CERTIFICATION'!$M$1)))</f>
        <v>CHARTER NAME: Encor Jr./Sr. High School for the Performing and Visual Arts</v>
      </c>
      <c r="B1" s="1664"/>
      <c r="C1" s="1664"/>
      <c r="D1" s="1664"/>
      <c r="E1" s="1664"/>
      <c r="F1" s="1664"/>
      <c r="G1" s="12"/>
      <c r="H1" s="12"/>
      <c r="I1" s="12"/>
      <c r="J1" s="1"/>
      <c r="K1" s="1"/>
      <c r="L1" s="1177"/>
      <c r="M1"/>
      <c r="N1"/>
      <c r="O1"/>
      <c r="P1"/>
      <c r="Q1"/>
      <c r="R1"/>
      <c r="S1"/>
      <c r="T1"/>
      <c r="U1"/>
      <c r="V1"/>
      <c r="W1"/>
      <c r="X1"/>
      <c r="Y1"/>
      <c r="Z1"/>
      <c r="AA1"/>
      <c r="AB1"/>
      <c r="AC1"/>
      <c r="AD1"/>
      <c r="AE1"/>
      <c r="AF1"/>
      <c r="AG1" s="1"/>
      <c r="AH1" s="1"/>
    </row>
    <row r="2" spans="1:34" s="2" customFormat="1" ht="15.4">
      <c r="A2" s="1664" t="str">
        <f>IF('INTERIM-CERTIFICATION'!$M$2="","CDS #: Enter Charter CDS # on INTERIM-CERTIFICATION Worksheet",(_xlfn.CONCAT("CDS #: ",'INTERIM-CERTIFICATION'!$M$2)))</f>
        <v>CDS #: 35-75044-01166707</v>
      </c>
      <c r="B2" s="1664"/>
      <c r="C2" s="1664"/>
      <c r="D2" s="1664"/>
      <c r="E2" s="1664"/>
      <c r="F2" s="1664"/>
      <c r="G2" s="80"/>
      <c r="H2" s="80"/>
      <c r="I2" s="80"/>
      <c r="J2" s="1"/>
      <c r="K2" s="1"/>
      <c r="L2" s="1177"/>
      <c r="M2"/>
      <c r="N2"/>
      <c r="O2"/>
      <c r="P2"/>
      <c r="Q2"/>
      <c r="R2"/>
      <c r="S2"/>
      <c r="T2"/>
      <c r="U2"/>
      <c r="V2"/>
      <c r="W2"/>
      <c r="X2"/>
      <c r="Y2"/>
      <c r="Z2"/>
      <c r="AA2"/>
      <c r="AB2"/>
      <c r="AC2"/>
      <c r="AD2"/>
      <c r="AE2"/>
      <c r="AF2"/>
      <c r="AG2" s="1"/>
      <c r="AH2" s="1"/>
    </row>
    <row r="3" spans="1:34" s="2" customFormat="1" ht="15.4">
      <c r="A3" s="1664" t="str">
        <f>IF('INTERIM-CERTIFICATION'!$M$5="","CHARTER #: Enter Charter # on INTERIM-CERTIFICATION Worksheet",(_xlfn.CONCAT("CHARTER #: ",'INTERIM-CERTIFICATION'!$M$5)))</f>
        <v>CHARTER #: 0971</v>
      </c>
      <c r="B3" s="1664"/>
      <c r="C3" s="1664"/>
      <c r="D3" s="1664"/>
      <c r="E3" s="1664"/>
      <c r="F3" s="1664"/>
      <c r="G3" s="12"/>
      <c r="H3" s="12"/>
      <c r="I3" s="12"/>
      <c r="J3" s="1"/>
      <c r="K3" s="1"/>
      <c r="L3" s="1177"/>
      <c r="M3"/>
      <c r="N3"/>
      <c r="O3"/>
      <c r="P3"/>
      <c r="Q3"/>
      <c r="R3"/>
      <c r="S3"/>
      <c r="T3"/>
      <c r="U3"/>
      <c r="V3"/>
      <c r="W3"/>
      <c r="X3"/>
      <c r="Y3"/>
      <c r="Z3"/>
      <c r="AA3"/>
      <c r="AB3"/>
      <c r="AC3"/>
      <c r="AD3"/>
      <c r="AE3"/>
      <c r="AF3"/>
      <c r="AG3" s="1"/>
      <c r="AH3" s="1"/>
    </row>
    <row r="4" spans="1:34" s="2" customFormat="1" ht="15.4">
      <c r="A4" s="1721" t="str">
        <f>'1st Interim-ADA'!J4</f>
        <v>Fiscal Year 2024-25 First Interim Report</v>
      </c>
      <c r="B4" s="1721"/>
      <c r="C4" s="1721"/>
      <c r="D4" s="1721"/>
      <c r="E4" s="1721"/>
      <c r="F4" s="1721"/>
      <c r="G4" s="1721"/>
      <c r="H4" s="1721"/>
      <c r="I4" s="1721"/>
      <c r="J4" s="1721"/>
      <c r="K4" s="1721"/>
      <c r="L4" s="1177"/>
      <c r="M4"/>
      <c r="N4"/>
      <c r="O4"/>
      <c r="P4"/>
      <c r="Q4"/>
      <c r="R4"/>
      <c r="S4"/>
      <c r="T4"/>
      <c r="U4"/>
      <c r="V4"/>
      <c r="W4"/>
      <c r="X4"/>
      <c r="Y4"/>
      <c r="Z4"/>
      <c r="AA4"/>
      <c r="AB4"/>
      <c r="AC4"/>
      <c r="AD4"/>
      <c r="AE4"/>
      <c r="AF4"/>
      <c r="AG4" s="1"/>
      <c r="AH4" s="1"/>
    </row>
    <row r="5" spans="1:34" s="2" customFormat="1" ht="15.75" thickBot="1">
      <c r="A5" s="1559" t="str">
        <f>Instructions!H1</f>
        <v>Form Revised (revision date here if revised)</v>
      </c>
      <c r="B5" s="263"/>
      <c r="C5" s="263"/>
      <c r="D5" s="12"/>
      <c r="E5" s="12"/>
      <c r="F5" s="12"/>
      <c r="G5" s="12"/>
      <c r="H5" s="12"/>
      <c r="I5" s="12"/>
      <c r="J5" s="1"/>
      <c r="K5" s="12"/>
      <c r="L5" s="1177"/>
      <c r="M5"/>
      <c r="N5"/>
      <c r="O5"/>
      <c r="P5"/>
      <c r="Q5"/>
      <c r="R5"/>
      <c r="S5"/>
      <c r="T5"/>
      <c r="U5"/>
      <c r="V5"/>
      <c r="W5"/>
      <c r="X5"/>
      <c r="Y5"/>
      <c r="Z5"/>
      <c r="AA5"/>
      <c r="AB5"/>
      <c r="AC5"/>
      <c r="AD5"/>
      <c r="AE5"/>
      <c r="AF5"/>
      <c r="AG5" s="1"/>
      <c r="AH5" s="1"/>
    </row>
    <row r="6" spans="1:34" ht="15.4" thickBot="1">
      <c r="A6" s="672" t="s">
        <v>35</v>
      </c>
      <c r="B6" s="673"/>
      <c r="C6" s="673"/>
      <c r="D6" s="673"/>
      <c r="E6" s="673"/>
      <c r="F6" s="674"/>
      <c r="G6" s="277" t="str">
        <f>'Budget-Assumptions'!G6</f>
        <v>2024-25</v>
      </c>
      <c r="H6" s="278" t="str">
        <f>'Budget-Assumptions'!H6</f>
        <v>2025-26</v>
      </c>
      <c r="I6" s="278" t="s">
        <v>22</v>
      </c>
      <c r="J6" s="278" t="str">
        <f>'Budget-Assumptions'!J6</f>
        <v>2026-27</v>
      </c>
      <c r="K6" s="279" t="s">
        <v>22</v>
      </c>
    </row>
    <row r="7" spans="1:34" ht="8.25" customHeight="1">
      <c r="A7" s="328"/>
      <c r="B7" s="1"/>
      <c r="C7" s="1"/>
      <c r="D7" s="1"/>
      <c r="E7" s="1"/>
      <c r="F7" s="1192"/>
      <c r="G7" s="1527"/>
      <c r="H7" s="166"/>
      <c r="I7" s="166"/>
      <c r="J7" s="166"/>
      <c r="K7" s="654"/>
    </row>
    <row r="8" spans="1:34" ht="15">
      <c r="A8" s="675" t="s">
        <v>325</v>
      </c>
      <c r="C8" s="153"/>
      <c r="D8" s="153"/>
      <c r="E8" s="153"/>
      <c r="F8" s="653"/>
      <c r="G8" s="655"/>
      <c r="H8" s="655"/>
      <c r="I8" s="643"/>
      <c r="J8" s="655"/>
      <c r="K8" s="644"/>
    </row>
    <row r="9" spans="1:34" ht="15">
      <c r="A9" s="67"/>
      <c r="B9" s="140" t="s">
        <v>247</v>
      </c>
      <c r="C9" s="139"/>
      <c r="D9" s="141"/>
      <c r="E9" s="139"/>
      <c r="F9" s="1477"/>
      <c r="G9" s="1478"/>
      <c r="H9" s="1478"/>
      <c r="I9" s="483">
        <f>SUM(H9-G9)</f>
        <v>0</v>
      </c>
      <c r="J9" s="1479"/>
      <c r="K9" s="482">
        <f>SUM(J9-H9)</f>
        <v>0</v>
      </c>
    </row>
    <row r="10" spans="1:34" ht="15.75" hidden="1" customHeight="1">
      <c r="A10" s="280"/>
      <c r="B10" s="142" t="s">
        <v>248</v>
      </c>
      <c r="C10" s="143"/>
      <c r="D10" s="141"/>
      <c r="E10" s="143"/>
      <c r="F10" s="1477"/>
      <c r="G10" s="1480">
        <v>1</v>
      </c>
      <c r="H10" s="1480">
        <v>1</v>
      </c>
      <c r="I10" s="483">
        <f>SUM(H10-G10)</f>
        <v>0</v>
      </c>
      <c r="J10" s="1479">
        <v>1</v>
      </c>
      <c r="K10" s="482">
        <f>SUM(J10-H10)</f>
        <v>0</v>
      </c>
    </row>
    <row r="11" spans="1:34" ht="15">
      <c r="A11" s="280"/>
      <c r="B11" s="142" t="s">
        <v>366</v>
      </c>
      <c r="C11" s="143"/>
      <c r="D11" s="143"/>
      <c r="E11" s="143"/>
      <c r="F11" s="1477"/>
      <c r="G11" s="1481"/>
      <c r="H11" s="1482"/>
      <c r="I11" s="483" t="e">
        <f>SUM(H11-G11)/G11</f>
        <v>#DIV/0!</v>
      </c>
      <c r="J11" s="1481"/>
      <c r="K11" s="482" t="e">
        <f>SUM(J11-H11)/H11</f>
        <v>#DIV/0!</v>
      </c>
    </row>
    <row r="12" spans="1:34" ht="15.75" hidden="1" customHeight="1">
      <c r="A12" s="280"/>
      <c r="B12" s="370" t="s">
        <v>324</v>
      </c>
      <c r="C12" s="143" t="s">
        <v>368</v>
      </c>
      <c r="D12" s="143"/>
      <c r="E12" s="143"/>
      <c r="F12" s="154"/>
      <c r="G12" s="679"/>
      <c r="H12" s="680"/>
      <c r="I12" s="199"/>
      <c r="J12" s="679"/>
      <c r="K12" s="282"/>
    </row>
    <row r="13" spans="1:34" ht="15.75" hidden="1" customHeight="1">
      <c r="A13" s="280"/>
      <c r="B13" s="142"/>
      <c r="C13" s="143" t="s">
        <v>249</v>
      </c>
      <c r="D13" s="143"/>
      <c r="E13" s="143"/>
      <c r="F13" s="154"/>
      <c r="G13" s="679"/>
      <c r="H13" s="680"/>
      <c r="I13" s="199"/>
      <c r="J13" s="679"/>
      <c r="K13" s="282"/>
    </row>
    <row r="14" spans="1:34" ht="15">
      <c r="A14" s="280"/>
      <c r="B14" s="329"/>
      <c r="C14" s="329"/>
      <c r="D14" s="329"/>
      <c r="E14" s="329"/>
      <c r="F14" s="656"/>
      <c r="G14" s="657"/>
      <c r="H14" s="658"/>
      <c r="I14" s="489"/>
      <c r="J14" s="659"/>
      <c r="K14" s="660"/>
    </row>
    <row r="15" spans="1:34" ht="15">
      <c r="A15" s="675" t="s">
        <v>340</v>
      </c>
      <c r="B15" s="132"/>
      <c r="C15" s="661"/>
      <c r="D15" s="661"/>
      <c r="E15" s="661"/>
      <c r="F15" s="662"/>
      <c r="G15" s="663"/>
      <c r="H15" s="663"/>
      <c r="I15" s="664"/>
      <c r="J15" s="663"/>
      <c r="K15" s="665"/>
    </row>
    <row r="16" spans="1:34" ht="15">
      <c r="A16" s="280"/>
      <c r="B16" s="142" t="s">
        <v>147</v>
      </c>
      <c r="C16" s="143"/>
      <c r="D16" s="143"/>
      <c r="E16" s="143"/>
      <c r="F16" s="1477"/>
      <c r="G16" s="1481"/>
      <c r="H16" s="1481"/>
      <c r="I16" s="1488">
        <f>SUM(H16-G16)</f>
        <v>0</v>
      </c>
      <c r="J16" s="1481"/>
      <c r="K16" s="1489">
        <f>SUM(J16-H16)</f>
        <v>0</v>
      </c>
    </row>
    <row r="17" spans="1:11" ht="15">
      <c r="A17" s="280"/>
      <c r="B17" s="142" t="s">
        <v>148</v>
      </c>
      <c r="C17" s="143"/>
      <c r="D17" s="143"/>
      <c r="E17" s="143"/>
      <c r="F17" s="1477"/>
      <c r="G17" s="1481"/>
      <c r="H17" s="1481"/>
      <c r="I17" s="1488">
        <f>SUM(H17-G17)</f>
        <v>0</v>
      </c>
      <c r="J17" s="1481"/>
      <c r="K17" s="1489">
        <f>SUM(J17-H17)</f>
        <v>0</v>
      </c>
    </row>
    <row r="18" spans="1:11" ht="15">
      <c r="A18" s="280"/>
      <c r="B18" s="329"/>
      <c r="C18" s="329"/>
      <c r="D18" s="329"/>
      <c r="E18" s="329"/>
      <c r="F18" s="656"/>
      <c r="G18" s="657"/>
      <c r="H18" s="658"/>
      <c r="I18" s="489"/>
      <c r="J18" s="659"/>
      <c r="K18" s="660"/>
    </row>
    <row r="19" spans="1:11" ht="15">
      <c r="A19" s="676" t="s">
        <v>198</v>
      </c>
      <c r="C19" s="164"/>
      <c r="D19" s="164"/>
      <c r="E19" s="164"/>
      <c r="F19" s="653"/>
      <c r="G19" s="666"/>
      <c r="H19" s="666"/>
      <c r="I19" s="541"/>
      <c r="J19" s="667"/>
      <c r="K19" s="542"/>
    </row>
    <row r="20" spans="1:11" ht="15">
      <c r="A20" s="280"/>
      <c r="B20" s="142" t="s">
        <v>149</v>
      </c>
      <c r="C20" s="143"/>
      <c r="D20" s="143"/>
      <c r="E20" s="143"/>
      <c r="F20" s="1490"/>
      <c r="G20" s="1491">
        <f>'1st Interim-ADA'!N75</f>
        <v>0</v>
      </c>
      <c r="H20" s="1492">
        <f>'1st Interim-ADA'!Q75</f>
        <v>0</v>
      </c>
      <c r="I20" s="1493">
        <f>H20-G20</f>
        <v>0</v>
      </c>
      <c r="J20" s="1492">
        <f>'1st Interim-ADA'!T75</f>
        <v>0</v>
      </c>
      <c r="K20" s="1504">
        <f>J20-H20</f>
        <v>0</v>
      </c>
    </row>
    <row r="21" spans="1:11" ht="51" customHeight="1">
      <c r="A21" s="280"/>
      <c r="B21" s="642" t="s">
        <v>151</v>
      </c>
      <c r="C21" s="143"/>
      <c r="D21" s="143"/>
      <c r="E21" s="143"/>
      <c r="F21" s="1490"/>
      <c r="G21" s="1494" t="str">
        <f>IF(('1st Interim-ADA'!O75="Cell G10 CANNOT be blank"), "Missing Data 1st Interim-ADA Tab, cell G10",'1st Interim-ADA'!O75)</f>
        <v>Missing Data 1st Interim-ADA Tab, cell G10</v>
      </c>
      <c r="H21" s="1494" t="str">
        <f>IF(('1st Interim-ADA'!R75="Cell G10 CANNOT be blank"), "Missing Data 1st Interim-ADA Tab, cell G10",'1st Interim-ADA'!R75)</f>
        <v>Missing Data 1st Interim-ADA Tab, cell G10</v>
      </c>
      <c r="I21" s="1493" t="e">
        <f>H21-G21</f>
        <v>#VALUE!</v>
      </c>
      <c r="J21" s="1494" t="str">
        <f>IF(('1st Interim-ADA'!U75="Cell G10 CANNOT be blank"), "Missing Data 1st Interim-ADA Tab, cell G10",'1st Interim-ADA'!U75)</f>
        <v>Missing Data 1st Interim-ADA Tab, cell G10</v>
      </c>
      <c r="K21" s="1504" t="e">
        <f>J21-H21</f>
        <v>#VALUE!</v>
      </c>
    </row>
    <row r="22" spans="1:11" ht="15">
      <c r="A22" s="280"/>
      <c r="B22" s="142" t="s">
        <v>150</v>
      </c>
      <c r="C22" s="143"/>
      <c r="D22" s="143"/>
      <c r="E22" s="143"/>
      <c r="F22" s="1490"/>
      <c r="G22" s="1495">
        <f>'1st Interim-ADA'!O74</f>
        <v>0</v>
      </c>
      <c r="H22" s="1492">
        <f>'1st Interim-ADA'!R74</f>
        <v>0</v>
      </c>
      <c r="I22" s="1493">
        <f>H22-G22</f>
        <v>0</v>
      </c>
      <c r="J22" s="1492">
        <f>'1st Interim-ADA'!U74</f>
        <v>0</v>
      </c>
      <c r="K22" s="1504">
        <f>J22-H22</f>
        <v>0</v>
      </c>
    </row>
    <row r="23" spans="1:11" ht="15">
      <c r="A23" s="67"/>
      <c r="B23" s="145" t="s">
        <v>36</v>
      </c>
      <c r="C23" s="139"/>
      <c r="D23" s="139"/>
      <c r="E23" s="139"/>
      <c r="F23" s="1490"/>
      <c r="G23" s="1496">
        <f>SUM(G21:G22)</f>
        <v>0</v>
      </c>
      <c r="H23" s="1496">
        <f>SUM(H21:H22)</f>
        <v>0</v>
      </c>
      <c r="I23" s="1493">
        <f>H23-G23</f>
        <v>0</v>
      </c>
      <c r="J23" s="1496">
        <f>SUM(J21:J22)</f>
        <v>0</v>
      </c>
      <c r="K23" s="1504">
        <f>J23-H23</f>
        <v>0</v>
      </c>
    </row>
    <row r="24" spans="1:11" ht="15">
      <c r="A24" s="281"/>
      <c r="B24" s="146" t="s">
        <v>137</v>
      </c>
      <c r="C24" s="147"/>
      <c r="D24" s="147"/>
      <c r="E24" s="148" t="s">
        <v>333</v>
      </c>
      <c r="F24" s="1497"/>
      <c r="G24" s="1498"/>
      <c r="H24" s="1498"/>
      <c r="I24" s="1493">
        <f>H24-G24</f>
        <v>0</v>
      </c>
      <c r="J24" s="1498"/>
      <c r="K24" s="1504">
        <f>J24-H24</f>
        <v>0</v>
      </c>
    </row>
    <row r="25" spans="1:11" ht="15">
      <c r="A25" s="281"/>
      <c r="B25" s="146" t="s">
        <v>200</v>
      </c>
      <c r="C25" s="147"/>
      <c r="D25" s="147"/>
      <c r="E25" s="150"/>
      <c r="F25" s="1499"/>
      <c r="G25" s="483" t="e">
        <f>(G24-F24)/F24</f>
        <v>#DIV/0!</v>
      </c>
      <c r="H25" s="483" t="e">
        <f>(H24-G24)/G24</f>
        <v>#DIV/0!</v>
      </c>
      <c r="I25" s="1486" t="s">
        <v>2</v>
      </c>
      <c r="J25" s="483" t="e">
        <f>(J24-H24)/H24</f>
        <v>#DIV/0!</v>
      </c>
      <c r="K25" s="1487" t="s">
        <v>2</v>
      </c>
    </row>
    <row r="26" spans="1:11" ht="15">
      <c r="A26" s="281"/>
      <c r="B26" s="146" t="s">
        <v>199</v>
      </c>
      <c r="C26" s="147"/>
      <c r="D26" s="147"/>
      <c r="E26" s="215" t="str">
        <f>'1st Interim-ADA'!$I$7</f>
        <v>2023-24</v>
      </c>
      <c r="F26" s="1500" t="e">
        <f>'1st Interim-ADA'!$J$76/F24</f>
        <v>#DIV/0!</v>
      </c>
      <c r="G26" s="483" t="e">
        <f>G23/G24</f>
        <v>#DIV/0!</v>
      </c>
      <c r="H26" s="483" t="e">
        <f>H23/H24</f>
        <v>#DIV/0!</v>
      </c>
      <c r="I26" s="1486" t="s">
        <v>2</v>
      </c>
      <c r="J26" s="483" t="e">
        <f>J23/J24</f>
        <v>#DIV/0!</v>
      </c>
      <c r="K26" s="1487" t="s">
        <v>2</v>
      </c>
    </row>
    <row r="27" spans="1:11" ht="15">
      <c r="A27" s="281"/>
      <c r="B27" s="146" t="s">
        <v>362</v>
      </c>
      <c r="C27" s="147"/>
      <c r="D27" s="147"/>
      <c r="E27" s="148" t="s">
        <v>353</v>
      </c>
      <c r="F27" s="1497"/>
      <c r="G27" s="1498"/>
      <c r="H27" s="1498"/>
      <c r="I27" s="1493">
        <f>H27-G27</f>
        <v>0</v>
      </c>
      <c r="J27" s="1498"/>
      <c r="K27" s="1504">
        <f>J27-H27</f>
        <v>0</v>
      </c>
    </row>
    <row r="28" spans="1:11" ht="15">
      <c r="A28" s="281"/>
      <c r="B28" s="146" t="s">
        <v>481</v>
      </c>
      <c r="C28" s="147"/>
      <c r="D28" s="147"/>
      <c r="E28" s="215" t="str">
        <f>E26</f>
        <v>2023-24</v>
      </c>
      <c r="F28" s="1380"/>
      <c r="G28" s="1501"/>
      <c r="H28" s="1501"/>
      <c r="I28" s="1486"/>
      <c r="J28" s="1501"/>
      <c r="K28" s="1487" t="s">
        <v>2</v>
      </c>
    </row>
    <row r="29" spans="1:11" ht="15">
      <c r="A29" s="280"/>
      <c r="B29" s="329"/>
      <c r="C29" s="329"/>
      <c r="D29" s="329"/>
      <c r="E29" s="329"/>
      <c r="F29" s="1192"/>
      <c r="G29" s="657"/>
      <c r="H29" s="658"/>
      <c r="I29" s="489"/>
      <c r="J29" s="659"/>
      <c r="K29" s="660"/>
    </row>
    <row r="30" spans="1:11" ht="15">
      <c r="A30" s="677" t="s">
        <v>202</v>
      </c>
      <c r="C30" s="153"/>
      <c r="D30" s="153"/>
      <c r="E30" s="153"/>
      <c r="F30" s="150"/>
      <c r="G30" s="1295"/>
      <c r="H30" s="1295"/>
      <c r="I30" s="541"/>
      <c r="J30" s="668"/>
      <c r="K30" s="542"/>
    </row>
    <row r="31" spans="1:11" ht="15">
      <c r="A31" s="67"/>
      <c r="B31" s="145" t="s">
        <v>230</v>
      </c>
      <c r="C31" s="139"/>
      <c r="D31" s="139"/>
      <c r="E31" s="139"/>
      <c r="F31" s="1490"/>
      <c r="G31" s="1502"/>
      <c r="H31" s="1502"/>
      <c r="I31" s="1493">
        <f>H31-G31</f>
        <v>0</v>
      </c>
      <c r="J31" s="1503"/>
      <c r="K31" s="1504">
        <f>J31-H31</f>
        <v>0</v>
      </c>
    </row>
    <row r="32" spans="1:11" ht="15">
      <c r="A32" s="67"/>
      <c r="B32" s="145" t="s">
        <v>489</v>
      </c>
      <c r="C32" s="139"/>
      <c r="D32" s="139"/>
      <c r="E32" s="139"/>
      <c r="F32" s="1505"/>
      <c r="G32" s="1502"/>
      <c r="H32" s="1502"/>
      <c r="I32" s="1493">
        <f>SUM(H32-G32)</f>
        <v>0</v>
      </c>
      <c r="J32" s="1503"/>
      <c r="K32" s="1504">
        <f>SUM(J32-H32)</f>
        <v>0</v>
      </c>
    </row>
    <row r="33" spans="1:11" ht="15">
      <c r="A33" s="67"/>
      <c r="B33" s="145" t="s">
        <v>377</v>
      </c>
      <c r="C33" s="139"/>
      <c r="D33" s="139"/>
      <c r="E33" s="139"/>
      <c r="F33" s="1505"/>
      <c r="G33" s="1506"/>
      <c r="H33" s="1506"/>
      <c r="I33" s="1493">
        <f>SUM(H33-G33)</f>
        <v>0</v>
      </c>
      <c r="J33" s="1503"/>
      <c r="K33" s="1504">
        <f>SUM(J33-H33)</f>
        <v>0</v>
      </c>
    </row>
    <row r="34" spans="1:11" ht="15">
      <c r="A34" s="281"/>
      <c r="B34" s="149" t="s">
        <v>201</v>
      </c>
      <c r="C34" s="139"/>
      <c r="D34" s="147"/>
      <c r="E34" s="147"/>
      <c r="F34" s="1505"/>
      <c r="G34" s="1493" t="e">
        <f>G24/G31</f>
        <v>#DIV/0!</v>
      </c>
      <c r="H34" s="1493" t="e">
        <f>H24/H31</f>
        <v>#DIV/0!</v>
      </c>
      <c r="I34" s="1493" t="e">
        <f>H34-G34</f>
        <v>#DIV/0!</v>
      </c>
      <c r="J34" s="1493" t="e">
        <f>J24/J31</f>
        <v>#DIV/0!</v>
      </c>
      <c r="K34" s="1504" t="e">
        <f>J34-H34</f>
        <v>#DIV/0!</v>
      </c>
    </row>
    <row r="35" spans="1:11" ht="15">
      <c r="A35" s="67"/>
      <c r="B35" s="145" t="s">
        <v>343</v>
      </c>
      <c r="C35" s="139"/>
      <c r="D35" s="139"/>
      <c r="E35" s="139"/>
      <c r="F35" s="1490"/>
      <c r="G35" s="1507"/>
      <c r="H35" s="1507"/>
      <c r="I35" s="1493">
        <f>H35-G35</f>
        <v>0</v>
      </c>
      <c r="J35" s="1507"/>
      <c r="K35" s="1504">
        <f>J35-H35</f>
        <v>0</v>
      </c>
    </row>
    <row r="36" spans="1:11" ht="15">
      <c r="A36" s="67"/>
      <c r="B36" s="140" t="s">
        <v>478</v>
      </c>
      <c r="C36" s="139"/>
      <c r="D36" s="139"/>
      <c r="E36" s="139"/>
      <c r="F36" s="1490"/>
      <c r="G36" s="1508"/>
      <c r="H36" s="1508"/>
      <c r="I36" s="622" t="str">
        <f>IF(G36&lt;1," ",IF(H36&lt;1," ",(H36-G36)/G36))</f>
        <v xml:space="preserve"> </v>
      </c>
      <c r="J36" s="1508"/>
      <c r="K36" s="482" t="str">
        <f>IF(H36&lt;1," ",IF(J36&lt;1," ",(J36-H36)/H36))</f>
        <v xml:space="preserve"> </v>
      </c>
    </row>
    <row r="37" spans="1:11" ht="15">
      <c r="A37" s="67"/>
      <c r="B37" s="140" t="s">
        <v>479</v>
      </c>
      <c r="C37" s="139"/>
      <c r="D37" s="139"/>
      <c r="E37" s="139"/>
      <c r="F37" s="1490"/>
      <c r="G37" s="1508"/>
      <c r="H37" s="1508"/>
      <c r="I37" s="622" t="str">
        <f>IF(G37&lt;1," ",IF(H37&lt;1," ",(H37-G37)/G37))</f>
        <v xml:space="preserve"> </v>
      </c>
      <c r="J37" s="1508"/>
      <c r="K37" s="482" t="str">
        <f>IF(H37&lt;1," ",IF(J37&lt;1," ",(J37-H37)/H37))</f>
        <v xml:space="preserve"> </v>
      </c>
    </row>
    <row r="38" spans="1:11" ht="15">
      <c r="A38" s="67"/>
      <c r="B38" s="140" t="s">
        <v>480</v>
      </c>
      <c r="C38" s="139"/>
      <c r="D38" s="139"/>
      <c r="E38" s="139"/>
      <c r="F38" s="1490"/>
      <c r="G38" s="1508"/>
      <c r="H38" s="1508"/>
      <c r="I38" s="622" t="str">
        <f>IF(G38&lt;1," ",IF(H38&lt;1," ",(H38-G38)/G38))</f>
        <v xml:space="preserve"> </v>
      </c>
      <c r="J38" s="1508"/>
      <c r="K38" s="482" t="str">
        <f>IF(H38&lt;1," ",IF(J38&lt;1," ",(J38-H38)/H38))</f>
        <v xml:space="preserve"> </v>
      </c>
    </row>
    <row r="39" spans="1:11" ht="15">
      <c r="A39" s="67"/>
      <c r="B39" s="145" t="s">
        <v>381</v>
      </c>
      <c r="C39" s="139"/>
      <c r="D39" s="139"/>
      <c r="E39" s="139"/>
      <c r="F39" s="1490"/>
      <c r="G39" s="1508"/>
      <c r="H39" s="1508"/>
      <c r="I39" s="483" t="str">
        <f>IF(H39&lt;1," ",IF(G39&lt;1," ",(H39-G39)/G39))</f>
        <v xml:space="preserve"> </v>
      </c>
      <c r="J39" s="1508"/>
      <c r="K39" s="482" t="str">
        <f>IF(J39&lt;1," ",IF(H39&lt;1," ",(J39-H39)/H39))</f>
        <v xml:space="preserve"> </v>
      </c>
    </row>
    <row r="40" spans="1:11" ht="15">
      <c r="A40" s="67"/>
      <c r="B40" s="145" t="s">
        <v>493</v>
      </c>
      <c r="C40" s="139"/>
      <c r="D40" s="139"/>
      <c r="E40" s="139"/>
      <c r="F40" s="1490"/>
      <c r="G40" s="1508"/>
      <c r="H40" s="1508"/>
      <c r="I40" s="483" t="str">
        <f>IF(H40&lt;1," ",IF(G40&lt;1," ",(H40-G40)/G40))</f>
        <v xml:space="preserve"> </v>
      </c>
      <c r="J40" s="1508"/>
      <c r="K40" s="482" t="str">
        <f>IF(J40&lt;1," ",IF(H40&lt;1," ",(J40-H40)/H40))</f>
        <v xml:space="preserve"> </v>
      </c>
    </row>
    <row r="41" spans="1:11" ht="15">
      <c r="A41" s="67"/>
      <c r="B41" s="145" t="s">
        <v>231</v>
      </c>
      <c r="C41" s="139"/>
      <c r="D41" s="139"/>
      <c r="E41" s="139"/>
      <c r="F41" s="1490"/>
      <c r="G41" s="1508"/>
      <c r="H41" s="1508"/>
      <c r="I41" s="483" t="str">
        <f>IF(H41&lt;1," ",IF(G41&lt;1," ",(H41-G41)/G41))</f>
        <v xml:space="preserve"> </v>
      </c>
      <c r="J41" s="1508"/>
      <c r="K41" s="482" t="str">
        <f>IF(J41&lt;1," ",IF(H41&lt;1," ",(J41-H41)/H41))</f>
        <v xml:space="preserve"> </v>
      </c>
    </row>
    <row r="42" spans="1:11" ht="15">
      <c r="A42" s="67"/>
      <c r="B42" s="140" t="s">
        <v>499</v>
      </c>
      <c r="C42" s="139"/>
      <c r="D42" s="139"/>
      <c r="E42" s="139"/>
      <c r="F42" s="1490"/>
      <c r="G42" s="1508"/>
      <c r="H42" s="1508"/>
      <c r="I42" s="483" t="str">
        <f>IF(H42&lt;1," ",IF(G42&lt;1," ",(H42-G42)/G42))</f>
        <v xml:space="preserve"> </v>
      </c>
      <c r="J42" s="1508"/>
      <c r="K42" s="482" t="str">
        <f>IF(J42&lt;1," ",IF(H42&lt;1," ",(J42-H42)/H42))</f>
        <v xml:space="preserve"> </v>
      </c>
    </row>
    <row r="43" spans="1:11" ht="15">
      <c r="A43" s="67"/>
      <c r="B43" s="140" t="s">
        <v>439</v>
      </c>
      <c r="C43" s="139"/>
      <c r="D43" s="139"/>
      <c r="E43" s="139"/>
      <c r="F43" s="1490"/>
      <c r="G43" s="1306"/>
      <c r="H43" s="1306"/>
      <c r="I43" s="483">
        <f>H43-G43</f>
        <v>0</v>
      </c>
      <c r="J43" s="1306"/>
      <c r="K43" s="482">
        <f>J43-H43</f>
        <v>0</v>
      </c>
    </row>
    <row r="44" spans="1:11" ht="9" customHeight="1">
      <c r="A44" s="67"/>
      <c r="B44" s="1255"/>
      <c r="C44" s="151"/>
      <c r="D44" s="151"/>
      <c r="E44" s="151"/>
      <c r="F44" s="1256"/>
      <c r="G44" s="1257"/>
      <c r="H44" s="1257"/>
      <c r="I44" s="1258"/>
      <c r="J44" s="1257"/>
      <c r="K44" s="1518"/>
    </row>
    <row r="45" spans="1:11" ht="12" customHeight="1">
      <c r="A45" s="67"/>
      <c r="B45" s="1294" t="s">
        <v>495</v>
      </c>
      <c r="C45" s="1"/>
      <c r="D45" s="1"/>
      <c r="E45" s="1"/>
      <c r="G45" s="1257"/>
      <c r="H45" s="1257"/>
      <c r="I45" s="1352"/>
      <c r="J45" s="1257"/>
      <c r="K45" s="1565"/>
    </row>
    <row r="46" spans="1:11" ht="51" customHeight="1">
      <c r="A46" s="67"/>
      <c r="B46" s="1716"/>
      <c r="C46" s="1717"/>
      <c r="D46" s="1717"/>
      <c r="E46" s="1717"/>
      <c r="F46" s="1717"/>
      <c r="G46" s="1717"/>
      <c r="H46" s="1717"/>
      <c r="I46" s="1717"/>
      <c r="J46" s="1717"/>
      <c r="K46" s="1718"/>
    </row>
    <row r="47" spans="1:11" ht="15">
      <c r="A47" s="67"/>
      <c r="B47" s="1719" t="s">
        <v>384</v>
      </c>
      <c r="C47" s="1719"/>
      <c r="D47" s="1719"/>
      <c r="E47" s="1719"/>
      <c r="F47" s="1719"/>
      <c r="G47" s="1719"/>
      <c r="H47" s="1719"/>
      <c r="I47" s="1719"/>
      <c r="J47" s="1719"/>
      <c r="K47" s="1720"/>
    </row>
    <row r="48" spans="1:11" ht="87.75" customHeight="1">
      <c r="A48" s="67"/>
      <c r="B48" s="1716"/>
      <c r="C48" s="1717"/>
      <c r="D48" s="1717"/>
      <c r="E48" s="1717"/>
      <c r="F48" s="1717"/>
      <c r="G48" s="1717"/>
      <c r="H48" s="1717"/>
      <c r="I48" s="1717"/>
      <c r="J48" s="1717"/>
      <c r="K48" s="1718"/>
    </row>
    <row r="49" spans="1:11" ht="15">
      <c r="A49" s="280"/>
      <c r="B49" s="1191"/>
      <c r="C49" s="1191"/>
      <c r="D49" s="1191"/>
      <c r="E49" s="1191"/>
      <c r="F49" s="1192"/>
      <c r="G49" s="1193"/>
      <c r="H49" s="1194"/>
      <c r="I49" s="1031"/>
      <c r="J49" s="1195"/>
      <c r="K49" s="309"/>
    </row>
    <row r="50" spans="1:11" ht="15">
      <c r="A50" s="677" t="s">
        <v>376</v>
      </c>
      <c r="C50" s="153"/>
      <c r="D50" s="153"/>
      <c r="E50" s="153"/>
      <c r="F50" s="150"/>
      <c r="G50" s="1295"/>
      <c r="H50" s="1295"/>
      <c r="I50" s="541"/>
      <c r="J50" s="668"/>
      <c r="K50" s="542"/>
    </row>
    <row r="51" spans="1:11" ht="15">
      <c r="A51" s="67"/>
      <c r="B51" s="145" t="s">
        <v>455</v>
      </c>
      <c r="C51" s="139"/>
      <c r="D51" s="139"/>
      <c r="E51" s="139"/>
      <c r="F51" s="1490"/>
      <c r="G51" s="1502"/>
      <c r="H51" s="1502"/>
      <c r="I51" s="1493">
        <f>SUM(H51-G51)</f>
        <v>0</v>
      </c>
      <c r="J51" s="1503"/>
      <c r="K51" s="1504">
        <f>SUM(J51-H51)</f>
        <v>0</v>
      </c>
    </row>
    <row r="52" spans="1:11" ht="15">
      <c r="A52" s="67"/>
      <c r="B52" s="145" t="s">
        <v>454</v>
      </c>
      <c r="C52" s="139"/>
      <c r="D52" s="139"/>
      <c r="E52" s="139"/>
      <c r="F52" s="1490"/>
      <c r="G52" s="1502"/>
      <c r="H52" s="1502"/>
      <c r="I52" s="1493">
        <f>SUM(H52-G52)</f>
        <v>0</v>
      </c>
      <c r="J52" s="1503"/>
      <c r="K52" s="1504">
        <f>SUM(J52-H52)</f>
        <v>0</v>
      </c>
    </row>
    <row r="53" spans="1:11" ht="15">
      <c r="A53" s="67"/>
      <c r="B53" s="140" t="s">
        <v>485</v>
      </c>
      <c r="C53" s="139"/>
      <c r="D53" s="139"/>
      <c r="E53" s="139"/>
      <c r="F53" s="1490"/>
      <c r="G53" s="1508"/>
      <c r="H53" s="1508"/>
      <c r="I53" s="622" t="str">
        <f t="shared" ref="I53:I58" si="0">IF(G53&lt;1," ",IF(H53&lt;1," ",(H53-G53)/G53))</f>
        <v xml:space="preserve"> </v>
      </c>
      <c r="J53" s="1508"/>
      <c r="K53" s="482" t="str">
        <f t="shared" ref="K53:K58" si="1">IF(H53&lt;1," ",IF(J53&lt;1," ",(J53-H53)/H53))</f>
        <v xml:space="preserve"> </v>
      </c>
    </row>
    <row r="54" spans="1:11" ht="15">
      <c r="A54" s="67"/>
      <c r="B54" s="140" t="s">
        <v>486</v>
      </c>
      <c r="C54" s="139"/>
      <c r="D54" s="139"/>
      <c r="E54" s="139"/>
      <c r="F54" s="1490"/>
      <c r="G54" s="1508"/>
      <c r="H54" s="1508"/>
      <c r="I54" s="622" t="str">
        <f t="shared" si="0"/>
        <v xml:space="preserve"> </v>
      </c>
      <c r="J54" s="1508"/>
      <c r="K54" s="482" t="str">
        <f t="shared" si="1"/>
        <v xml:space="preserve"> </v>
      </c>
    </row>
    <row r="55" spans="1:11" ht="15">
      <c r="A55" s="67"/>
      <c r="B55" s="145" t="s">
        <v>380</v>
      </c>
      <c r="C55" s="139"/>
      <c r="D55" s="139"/>
      <c r="E55" s="139"/>
      <c r="F55" s="1490"/>
      <c r="G55" s="1508"/>
      <c r="H55" s="1508"/>
      <c r="I55" s="483" t="str">
        <f t="shared" si="0"/>
        <v xml:space="preserve"> </v>
      </c>
      <c r="J55" s="1508"/>
      <c r="K55" s="482" t="str">
        <f t="shared" si="1"/>
        <v xml:space="preserve"> </v>
      </c>
    </row>
    <row r="56" spans="1:11" ht="15">
      <c r="A56" s="67"/>
      <c r="B56" s="145" t="s">
        <v>493</v>
      </c>
      <c r="C56" s="139"/>
      <c r="D56" s="139"/>
      <c r="E56" s="139"/>
      <c r="F56" s="1490"/>
      <c r="G56" s="1508"/>
      <c r="H56" s="1508"/>
      <c r="I56" s="483" t="str">
        <f t="shared" si="0"/>
        <v xml:space="preserve"> </v>
      </c>
      <c r="J56" s="1508"/>
      <c r="K56" s="482" t="str">
        <f t="shared" si="1"/>
        <v xml:space="preserve"> </v>
      </c>
    </row>
    <row r="57" spans="1:11" ht="15">
      <c r="A57" s="67"/>
      <c r="B57" s="145" t="s">
        <v>379</v>
      </c>
      <c r="C57" s="139"/>
      <c r="D57" s="139"/>
      <c r="E57" s="139"/>
      <c r="F57" s="1490"/>
      <c r="G57" s="1508"/>
      <c r="H57" s="1508"/>
      <c r="I57" s="483" t="str">
        <f t="shared" si="0"/>
        <v xml:space="preserve"> </v>
      </c>
      <c r="J57" s="1508"/>
      <c r="K57" s="482" t="str">
        <f t="shared" si="1"/>
        <v xml:space="preserve"> </v>
      </c>
    </row>
    <row r="58" spans="1:11" ht="15">
      <c r="A58" s="67"/>
      <c r="B58" s="140" t="s">
        <v>498</v>
      </c>
      <c r="C58" s="139"/>
      <c r="D58" s="139"/>
      <c r="E58" s="139"/>
      <c r="F58" s="1490"/>
      <c r="G58" s="1508"/>
      <c r="H58" s="1508"/>
      <c r="I58" s="483" t="str">
        <f t="shared" si="0"/>
        <v xml:space="preserve"> </v>
      </c>
      <c r="J58" s="1508"/>
      <c r="K58" s="482" t="str">
        <f t="shared" si="1"/>
        <v xml:space="preserve"> </v>
      </c>
    </row>
    <row r="59" spans="1:11" ht="15">
      <c r="A59" s="67"/>
      <c r="B59" s="140" t="s">
        <v>440</v>
      </c>
      <c r="C59" s="139"/>
      <c r="D59" s="139"/>
      <c r="E59" s="139"/>
      <c r="F59" s="1490"/>
      <c r="G59" s="1306"/>
      <c r="H59" s="1306"/>
      <c r="I59" s="483">
        <f>H59-G59</f>
        <v>0</v>
      </c>
      <c r="J59" s="1306"/>
      <c r="K59" s="482">
        <f>J59-H59</f>
        <v>0</v>
      </c>
    </row>
    <row r="60" spans="1:11" ht="5.25" customHeight="1">
      <c r="A60" s="67"/>
      <c r="B60" s="1255"/>
      <c r="C60" s="151"/>
      <c r="D60" s="151"/>
      <c r="E60" s="151"/>
      <c r="F60" s="1256"/>
      <c r="G60" s="1257"/>
      <c r="H60" s="1257"/>
      <c r="I60" s="1258"/>
      <c r="J60" s="1257"/>
      <c r="K60" s="1518"/>
    </row>
    <row r="61" spans="1:11" ht="12" customHeight="1">
      <c r="A61" s="67"/>
      <c r="B61" s="1294" t="s">
        <v>495</v>
      </c>
      <c r="C61" s="1"/>
      <c r="D61" s="1"/>
      <c r="E61" s="1"/>
      <c r="G61" s="1257"/>
      <c r="H61" s="1257"/>
      <c r="I61" s="1352"/>
      <c r="J61" s="1257"/>
      <c r="K61" s="1565"/>
    </row>
    <row r="62" spans="1:11" ht="51" customHeight="1">
      <c r="A62" s="67"/>
      <c r="B62" s="1716"/>
      <c r="C62" s="1717"/>
      <c r="D62" s="1717"/>
      <c r="E62" s="1717"/>
      <c r="F62" s="1717"/>
      <c r="G62" s="1717"/>
      <c r="H62" s="1717"/>
      <c r="I62" s="1717"/>
      <c r="J62" s="1717"/>
      <c r="K62" s="1718"/>
    </row>
    <row r="63" spans="1:11" ht="12.75" customHeight="1">
      <c r="A63" s="67"/>
      <c r="B63" s="1719" t="s">
        <v>384</v>
      </c>
      <c r="C63" s="1719"/>
      <c r="D63" s="1719"/>
      <c r="E63" s="1719"/>
      <c r="F63" s="1719"/>
      <c r="G63" s="1719"/>
      <c r="H63" s="1719"/>
      <c r="I63" s="1719"/>
      <c r="J63" s="1719"/>
      <c r="K63" s="1720"/>
    </row>
    <row r="64" spans="1:11" ht="89.25" customHeight="1">
      <c r="A64" s="67"/>
      <c r="B64" s="1716"/>
      <c r="C64" s="1717"/>
      <c r="D64" s="1717"/>
      <c r="E64" s="1717"/>
      <c r="F64" s="1717"/>
      <c r="G64" s="1717"/>
      <c r="H64" s="1717"/>
      <c r="I64" s="1717"/>
      <c r="J64" s="1717"/>
      <c r="K64" s="1718"/>
    </row>
    <row r="65" spans="1:13">
      <c r="A65" s="235"/>
      <c r="H65" s="1519"/>
      <c r="J65" s="1519"/>
      <c r="K65" s="467"/>
    </row>
    <row r="66" spans="1:13" ht="15">
      <c r="A66" s="677" t="s">
        <v>444</v>
      </c>
      <c r="K66" s="467"/>
      <c r="M66" s="1254"/>
    </row>
    <row r="67" spans="1:13" ht="15">
      <c r="A67" s="235"/>
      <c r="B67" s="1220" t="s">
        <v>488</v>
      </c>
      <c r="C67" s="1221"/>
      <c r="D67" s="144"/>
      <c r="E67" s="144"/>
      <c r="F67" s="1490"/>
      <c r="G67" s="1509"/>
      <c r="H67" s="1306"/>
      <c r="I67" s="483">
        <f>H67-G67</f>
        <v>0</v>
      </c>
      <c r="J67" s="1306"/>
      <c r="K67" s="482">
        <f>J67-H67</f>
        <v>0</v>
      </c>
      <c r="M67" s="1254"/>
    </row>
    <row r="68" spans="1:13" ht="15">
      <c r="A68" s="235"/>
      <c r="B68" s="1220" t="s">
        <v>487</v>
      </c>
      <c r="C68" s="144"/>
      <c r="D68" s="144"/>
      <c r="E68" s="144"/>
      <c r="F68" s="1490"/>
      <c r="G68" s="1509"/>
      <c r="H68" s="1306"/>
      <c r="I68" s="483">
        <f>H68-G68</f>
        <v>0</v>
      </c>
      <c r="J68" s="1306"/>
      <c r="K68" s="482">
        <f>J68-H68</f>
        <v>0</v>
      </c>
      <c r="M68" s="1254"/>
    </row>
    <row r="69" spans="1:13" ht="15">
      <c r="A69" s="235"/>
      <c r="B69" s="1220" t="s">
        <v>447</v>
      </c>
      <c r="C69" s="144"/>
      <c r="D69" s="144"/>
      <c r="E69" s="144"/>
      <c r="F69" s="1490"/>
      <c r="G69" s="1371"/>
      <c r="H69" s="1306"/>
      <c r="I69" s="483">
        <f>H69-G69</f>
        <v>0</v>
      </c>
      <c r="J69" s="1306"/>
      <c r="K69" s="482">
        <f>J69-H69</f>
        <v>0</v>
      </c>
      <c r="M69" s="1254"/>
    </row>
    <row r="70" spans="1:13" ht="15">
      <c r="A70" s="235"/>
      <c r="B70" s="1220" t="s">
        <v>448</v>
      </c>
      <c r="C70" s="144"/>
      <c r="D70" s="144"/>
      <c r="E70" s="144"/>
      <c r="F70" s="1490"/>
      <c r="G70" s="1533"/>
      <c r="H70" s="1533"/>
      <c r="I70" s="1510">
        <f>H70-G70</f>
        <v>0</v>
      </c>
      <c r="J70" s="1533"/>
      <c r="K70" s="482">
        <f>J70-H70</f>
        <v>0</v>
      </c>
    </row>
    <row r="71" spans="1:13" ht="15">
      <c r="A71" s="280"/>
      <c r="B71" s="329"/>
      <c r="C71" s="329"/>
      <c r="D71" s="329"/>
      <c r="E71" s="329"/>
      <c r="F71" s="656"/>
      <c r="G71" s="1193"/>
      <c r="H71" s="1194"/>
      <c r="I71" s="1031"/>
      <c r="J71" s="1195"/>
      <c r="K71" s="660"/>
    </row>
    <row r="72" spans="1:13" ht="15">
      <c r="A72" s="675" t="s">
        <v>335</v>
      </c>
      <c r="B72" s="164"/>
      <c r="C72" s="164"/>
      <c r="D72" s="164"/>
      <c r="E72" s="164"/>
      <c r="F72" s="653"/>
      <c r="G72" s="1193"/>
      <c r="H72" s="1194"/>
      <c r="I72" s="541"/>
      <c r="J72" s="1528"/>
      <c r="K72" s="542"/>
    </row>
    <row r="73" spans="1:13" ht="15">
      <c r="A73" s="67"/>
      <c r="B73" s="1529" t="s">
        <v>336</v>
      </c>
      <c r="C73" s="139"/>
      <c r="D73" s="139"/>
      <c r="E73" s="139"/>
      <c r="F73" s="1490"/>
      <c r="G73" s="1508"/>
      <c r="H73" s="1508"/>
      <c r="I73" s="483" t="str">
        <f>IF(G73&lt;1," ",IF(H73&lt;1," ",(H73-G73)/G73))</f>
        <v xml:space="preserve"> </v>
      </c>
      <c r="J73" s="1508"/>
      <c r="K73" s="482" t="str">
        <f>IF(H73&lt;1," ",IF(J73&lt;1," ",(J73-H73)/H73))</f>
        <v xml:space="preserve"> </v>
      </c>
    </row>
    <row r="74" spans="1:13" ht="15">
      <c r="A74" s="67"/>
      <c r="B74" s="145" t="s">
        <v>337</v>
      </c>
      <c r="C74" s="139"/>
      <c r="D74" s="139"/>
      <c r="E74" s="139"/>
      <c r="F74" s="1490"/>
      <c r="G74" s="1508"/>
      <c r="H74" s="1508"/>
      <c r="I74" s="483" t="str">
        <f>IF(G74&lt;1," ",IF(H74&lt;1," ",(H74-G74)/G74))</f>
        <v xml:space="preserve"> </v>
      </c>
      <c r="J74" s="1508"/>
      <c r="K74" s="482" t="str">
        <f>IF(H74&lt;1," ",IF(J74&lt;1," ",(J74-H74)/H74))</f>
        <v xml:space="preserve"> </v>
      </c>
    </row>
    <row r="75" spans="1:13" ht="15">
      <c r="A75" s="67"/>
      <c r="B75" s="145" t="s">
        <v>338</v>
      </c>
      <c r="C75" s="139"/>
      <c r="D75" s="139"/>
      <c r="E75" s="139"/>
      <c r="F75" s="1490"/>
      <c r="G75" s="1508"/>
      <c r="H75" s="1508"/>
      <c r="I75" s="483" t="str">
        <f>IF(G75&lt;1," ",IF(H75&lt;1," ",(H75-G75)/G75))</f>
        <v xml:space="preserve"> </v>
      </c>
      <c r="J75" s="1508"/>
      <c r="K75" s="482" t="str">
        <f>IF(H75&lt;1," ",IF(J75&lt;1," ",(J75-H75)/H75))</f>
        <v xml:space="preserve"> </v>
      </c>
    </row>
    <row r="76" spans="1:13" ht="15">
      <c r="A76" s="67"/>
      <c r="B76" s="145" t="s">
        <v>158</v>
      </c>
      <c r="C76" s="139"/>
      <c r="D76" s="139"/>
      <c r="E76" s="139"/>
      <c r="F76" s="1490"/>
      <c r="G76" s="1508"/>
      <c r="H76" s="1508"/>
      <c r="I76" s="483" t="str">
        <f>IF(G76&lt;1," ",IF(H76&lt;1," ",(H76-G76)/G76))</f>
        <v xml:space="preserve"> </v>
      </c>
      <c r="J76" s="1508"/>
      <c r="K76" s="482" t="str">
        <f>IF(H76&lt;1," ",IF(J76&lt;1," ",(J76-H76)/H76))</f>
        <v xml:space="preserve"> </v>
      </c>
    </row>
    <row r="77" spans="1:13" ht="9.75" customHeight="1">
      <c r="A77" s="67"/>
      <c r="B77" s="1255"/>
      <c r="C77" s="151"/>
      <c r="D77" s="151"/>
      <c r="E77" s="151"/>
      <c r="F77" s="1256"/>
      <c r="G77" s="1257"/>
      <c r="H77" s="1257"/>
      <c r="I77" s="1258"/>
      <c r="J77" s="1257"/>
      <c r="K77" s="1518"/>
    </row>
    <row r="78" spans="1:13" ht="15">
      <c r="A78" s="67"/>
      <c r="B78" s="1719" t="s">
        <v>456</v>
      </c>
      <c r="C78" s="1719"/>
      <c r="D78" s="1719"/>
      <c r="E78" s="1719"/>
      <c r="F78" s="1719"/>
      <c r="G78" s="1719"/>
      <c r="H78" s="1719"/>
      <c r="I78" s="1719"/>
      <c r="J78" s="1719"/>
      <c r="K78" s="1720"/>
    </row>
    <row r="79" spans="1:13" ht="42" customHeight="1">
      <c r="A79" s="67"/>
      <c r="B79" s="1716"/>
      <c r="C79" s="1717"/>
      <c r="D79" s="1717"/>
      <c r="E79" s="1717"/>
      <c r="F79" s="1717"/>
      <c r="G79" s="1717"/>
      <c r="H79" s="1717"/>
      <c r="I79" s="1717"/>
      <c r="J79" s="1717"/>
      <c r="K79" s="1718"/>
    </row>
    <row r="80" spans="1:13" ht="15">
      <c r="A80" s="1259"/>
      <c r="B80" s="1260"/>
      <c r="C80" s="1260"/>
      <c r="D80" s="1260"/>
      <c r="E80" s="1260"/>
      <c r="F80" s="656"/>
      <c r="G80" s="1261"/>
      <c r="H80" s="1262"/>
      <c r="I80" s="1263"/>
      <c r="J80" s="1264"/>
      <c r="K80" s="1265"/>
    </row>
    <row r="81" spans="1:11" ht="15">
      <c r="A81" s="302" t="s">
        <v>203</v>
      </c>
      <c r="C81" s="1"/>
      <c r="D81" s="1"/>
      <c r="E81" s="1"/>
      <c r="F81" s="150"/>
      <c r="G81" s="1530"/>
      <c r="H81" s="1530"/>
      <c r="I81" s="157"/>
      <c r="J81" s="1530"/>
      <c r="K81" s="1267"/>
    </row>
    <row r="82" spans="1:11" ht="15">
      <c r="A82" s="67"/>
      <c r="B82" s="681">
        <v>0.01</v>
      </c>
      <c r="C82" s="139" t="s">
        <v>41</v>
      </c>
      <c r="D82" s="139"/>
      <c r="E82" s="139"/>
      <c r="F82" s="1490"/>
      <c r="G82" s="1520">
        <f>B82*('1st Interim-Summary MYP'!G13+'1st Interim-Summary MYP'!G14+'1st Interim-Summary MYP'!G15+'1st Interim-Summary MYP'!G16)</f>
        <v>0</v>
      </c>
      <c r="H82" s="1520">
        <f>B82*('1st Interim-Summary MYP'!I13+'1st Interim-Summary MYP'!I14+'1st Interim-Summary MYP'!I15+'1st Interim-Summary MYP'!I16)</f>
        <v>0</v>
      </c>
      <c r="I82" s="294" t="str">
        <f>IF(G82&lt;1," ",IF(H82&lt;1," ",(H82-G82)/G82))</f>
        <v xml:space="preserve"> </v>
      </c>
      <c r="J82" s="1520">
        <f>B82*('1st Interim-Summary MYP'!K13+'1st Interim-Summary MYP'!K14+'1st Interim-Summary MYP'!K15+'1st Interim-Summary MYP'!K16)</f>
        <v>0</v>
      </c>
      <c r="K82" s="910" t="str">
        <f>IF(H82&lt;1," ",IF(J82&lt;1," ",(J82-H82)/H82))</f>
        <v xml:space="preserve"> </v>
      </c>
    </row>
    <row r="83" spans="1:11" ht="15">
      <c r="A83" s="67"/>
      <c r="B83" s="152"/>
      <c r="C83" s="139" t="s">
        <v>232</v>
      </c>
      <c r="D83" s="139"/>
      <c r="E83" s="139"/>
      <c r="F83" s="1490"/>
      <c r="G83" s="1512"/>
      <c r="H83" s="1512"/>
      <c r="I83" s="483" t="str">
        <f>IF(G83&lt;1," ",IF(H83&lt;1," ",(H83-G83)/G83))</f>
        <v xml:space="preserve"> </v>
      </c>
      <c r="J83" s="1512"/>
      <c r="K83" s="482" t="str">
        <f>IF(H83&lt;1," ",IF(J83&lt;1," ",(J83-H83)/H83))</f>
        <v xml:space="preserve"> </v>
      </c>
    </row>
    <row r="84" spans="1:11" ht="15">
      <c r="A84" s="67"/>
      <c r="B84" s="145"/>
      <c r="C84" s="139" t="s">
        <v>246</v>
      </c>
      <c r="D84" s="139"/>
      <c r="E84" s="139"/>
      <c r="F84" s="1490"/>
      <c r="G84" s="1512"/>
      <c r="H84" s="1512"/>
      <c r="I84" s="483" t="str">
        <f>IF(G84&lt;1," ",IF(H84&lt;1," ",(H84-G84)/G84))</f>
        <v xml:space="preserve"> </v>
      </c>
      <c r="J84" s="1512"/>
      <c r="K84" s="482" t="str">
        <f>IF(H84&lt;1," ",IF(J84&lt;1," ",(J84-H84)/H84))</f>
        <v xml:space="preserve"> </v>
      </c>
    </row>
    <row r="85" spans="1:11" ht="15">
      <c r="A85" s="280"/>
      <c r="B85" s="329"/>
      <c r="C85" s="329"/>
      <c r="D85" s="329"/>
      <c r="E85" s="329"/>
      <c r="F85" s="656"/>
      <c r="G85" s="657"/>
      <c r="H85" s="658"/>
      <c r="I85" s="489"/>
      <c r="J85" s="659"/>
      <c r="K85" s="660"/>
    </row>
    <row r="86" spans="1:11" ht="15">
      <c r="A86" s="675" t="s">
        <v>341</v>
      </c>
      <c r="C86" s="153"/>
      <c r="D86" s="153"/>
      <c r="E86" s="153"/>
      <c r="F86" s="150"/>
      <c r="G86" s="669"/>
      <c r="H86" s="669"/>
      <c r="I86" s="670"/>
      <c r="J86" s="669"/>
      <c r="K86" s="671"/>
    </row>
    <row r="87" spans="1:11" ht="15.4">
      <c r="A87" s="283"/>
      <c r="B87" s="1714"/>
      <c r="C87" s="1714"/>
      <c r="D87" s="1714"/>
      <c r="E87" s="1714"/>
      <c r="F87" s="1714"/>
      <c r="G87" s="1512"/>
      <c r="H87" s="1512"/>
      <c r="I87" s="483" t="str">
        <f t="shared" ref="I87:I94" si="2">IF(G87&lt;1," ",IF(H87&lt;1," ",(H87-G87)/G87))</f>
        <v xml:space="preserve"> </v>
      </c>
      <c r="J87" s="1512"/>
      <c r="K87" s="482" t="str">
        <f t="shared" ref="K87:K94" si="3">IF(H87&lt;1," ",IF(J87&lt;1," ",(J87-H87)/H87))</f>
        <v xml:space="preserve"> </v>
      </c>
    </row>
    <row r="88" spans="1:11" ht="15.4">
      <c r="A88" s="283"/>
      <c r="B88" s="1714"/>
      <c r="C88" s="1714"/>
      <c r="D88" s="1714"/>
      <c r="E88" s="1714"/>
      <c r="F88" s="1714"/>
      <c r="G88" s="1512"/>
      <c r="H88" s="1512"/>
      <c r="I88" s="483" t="str">
        <f t="shared" si="2"/>
        <v xml:space="preserve"> </v>
      </c>
      <c r="J88" s="1512"/>
      <c r="K88" s="482" t="str">
        <f t="shared" si="3"/>
        <v xml:space="preserve"> </v>
      </c>
    </row>
    <row r="89" spans="1:11" ht="15.4">
      <c r="A89" s="283"/>
      <c r="B89" s="1714"/>
      <c r="C89" s="1714"/>
      <c r="D89" s="1714"/>
      <c r="E89" s="1714"/>
      <c r="F89" s="1714"/>
      <c r="G89" s="1512"/>
      <c r="H89" s="1512"/>
      <c r="I89" s="483" t="str">
        <f t="shared" si="2"/>
        <v xml:space="preserve"> </v>
      </c>
      <c r="J89" s="1512"/>
      <c r="K89" s="482" t="str">
        <f t="shared" si="3"/>
        <v xml:space="preserve"> </v>
      </c>
    </row>
    <row r="90" spans="1:11" ht="15.4">
      <c r="A90" s="283"/>
      <c r="B90" s="1714"/>
      <c r="C90" s="1714"/>
      <c r="D90" s="1714"/>
      <c r="E90" s="1714"/>
      <c r="F90" s="1714"/>
      <c r="G90" s="1512"/>
      <c r="H90" s="1512"/>
      <c r="I90" s="483" t="str">
        <f t="shared" si="2"/>
        <v xml:space="preserve"> </v>
      </c>
      <c r="J90" s="1512"/>
      <c r="K90" s="482" t="str">
        <f t="shared" si="3"/>
        <v xml:space="preserve"> </v>
      </c>
    </row>
    <row r="91" spans="1:11" ht="15.4">
      <c r="A91" s="283"/>
      <c r="B91" s="1714"/>
      <c r="C91" s="1714"/>
      <c r="D91" s="1714"/>
      <c r="E91" s="1714"/>
      <c r="F91" s="1714"/>
      <c r="G91" s="1512"/>
      <c r="H91" s="1512"/>
      <c r="I91" s="483" t="str">
        <f t="shared" si="2"/>
        <v xml:space="preserve"> </v>
      </c>
      <c r="J91" s="1512"/>
      <c r="K91" s="482" t="str">
        <f t="shared" si="3"/>
        <v xml:space="preserve"> </v>
      </c>
    </row>
    <row r="92" spans="1:11" ht="15.4">
      <c r="A92" s="283"/>
      <c r="B92" s="1714"/>
      <c r="C92" s="1714"/>
      <c r="D92" s="1714"/>
      <c r="E92" s="1714"/>
      <c r="F92" s="1714"/>
      <c r="G92" s="1512"/>
      <c r="H92" s="1512"/>
      <c r="I92" s="483" t="str">
        <f t="shared" si="2"/>
        <v xml:space="preserve"> </v>
      </c>
      <c r="J92" s="1512"/>
      <c r="K92" s="482" t="str">
        <f t="shared" si="3"/>
        <v xml:space="preserve"> </v>
      </c>
    </row>
    <row r="93" spans="1:11" ht="15.4">
      <c r="A93" s="283"/>
      <c r="B93" s="1714"/>
      <c r="C93" s="1714"/>
      <c r="D93" s="1714"/>
      <c r="E93" s="1714"/>
      <c r="F93" s="1714"/>
      <c r="G93" s="1514"/>
      <c r="H93" s="1514"/>
      <c r="I93" s="483" t="str">
        <f t="shared" si="2"/>
        <v xml:space="preserve"> </v>
      </c>
      <c r="J93" s="1514"/>
      <c r="K93" s="482" t="str">
        <f t="shared" si="3"/>
        <v xml:space="preserve"> </v>
      </c>
    </row>
    <row r="94" spans="1:11" ht="15.75" thickBot="1">
      <c r="A94" s="284"/>
      <c r="B94" s="1715"/>
      <c r="C94" s="1715"/>
      <c r="D94" s="1715"/>
      <c r="E94" s="1715"/>
      <c r="F94" s="1715"/>
      <c r="G94" s="1515"/>
      <c r="H94" s="1515"/>
      <c r="I94" s="1516" t="str">
        <f t="shared" si="2"/>
        <v xml:space="preserve"> </v>
      </c>
      <c r="J94" s="1515"/>
      <c r="K94" s="1517" t="str">
        <f t="shared" si="3"/>
        <v xml:space="preserve"> </v>
      </c>
    </row>
  </sheetData>
  <sheetProtection password="D94D" sheet="1"/>
  <mergeCells count="20">
    <mergeCell ref="B63:K63"/>
    <mergeCell ref="B64:K64"/>
    <mergeCell ref="A1:F1"/>
    <mergeCell ref="A2:F2"/>
    <mergeCell ref="A3:F3"/>
    <mergeCell ref="A4:K4"/>
    <mergeCell ref="B47:K47"/>
    <mergeCell ref="B48:K48"/>
    <mergeCell ref="B46:K46"/>
    <mergeCell ref="B62:K62"/>
    <mergeCell ref="B78:K78"/>
    <mergeCell ref="B79:K79"/>
    <mergeCell ref="B94:F94"/>
    <mergeCell ref="B90:F90"/>
    <mergeCell ref="B91:F91"/>
    <mergeCell ref="B87:F87"/>
    <mergeCell ref="B88:F88"/>
    <mergeCell ref="B89:F89"/>
    <mergeCell ref="B92:F92"/>
    <mergeCell ref="B93:F93"/>
  </mergeCells>
  <phoneticPr fontId="5" type="noConversion"/>
  <conditionalFormatting sqref="A1:A3">
    <cfRule type="containsText" dxfId="165" priority="10" stopIfTrue="1" operator="containsText" text="Enter">
      <formula>NOT(ISERROR(SEARCH("Enter",A1)))</formula>
    </cfRule>
  </conditionalFormatting>
  <conditionalFormatting sqref="G21:H21 J21">
    <cfRule type="cellIs" dxfId="164" priority="17" stopIfTrue="1" operator="equal">
      <formula>"Cell G11 can NOT be blank"</formula>
    </cfRule>
  </conditionalFormatting>
  <conditionalFormatting sqref="G21:H21">
    <cfRule type="containsText" dxfId="163" priority="6" stopIfTrue="1" operator="containsText" text="Missing">
      <formula>NOT(ISERROR(SEARCH("Missing",G21)))</formula>
    </cfRule>
    <cfRule type="containsText" dxfId="162" priority="13" stopIfTrue="1" operator="containsText" text="Missing Data ADA Tab, cell G10">
      <formula>NOT(ISERROR(SEARCH("Missing Data ADA Tab, cell G10",G21)))</formula>
    </cfRule>
    <cfRule type="containsText" dxfId="161" priority="14" stopIfTrue="1" operator="containsText" text="Missing Data ADA Tab cell G10">
      <formula>NOT(ISERROR(SEARCH("Missing Data ADA Tab cell G10",G21)))</formula>
    </cfRule>
  </conditionalFormatting>
  <conditionalFormatting sqref="H21">
    <cfRule type="containsText" dxfId="160" priority="7" stopIfTrue="1" operator="containsText" text="Missing Data ADA Tab, cell G10">
      <formula>NOT(ISERROR(SEARCH("Missing Data ADA Tab, cell G10",H21)))</formula>
    </cfRule>
    <cfRule type="containsText" dxfId="159" priority="8" stopIfTrue="1" operator="containsText" text="Missing Data ADA Tab cell G10">
      <formula>NOT(ISERROR(SEARCH("Missing Data ADA Tab cell G10",H21)))</formula>
    </cfRule>
  </conditionalFormatting>
  <conditionalFormatting sqref="J21">
    <cfRule type="containsText" dxfId="158" priority="1" stopIfTrue="1" operator="containsText" text="Missing">
      <formula>NOT(ISERROR(SEARCH("Missing",J21)))</formula>
    </cfRule>
    <cfRule type="containsText" dxfId="157" priority="2" stopIfTrue="1" operator="containsText" text="Missing Data ADA Tab, cell G10">
      <formula>NOT(ISERROR(SEARCH("Missing Data ADA Tab, cell G10",J21)))</formula>
    </cfRule>
    <cfRule type="containsText" dxfId="156" priority="3" stopIfTrue="1" operator="containsText" text="Missing Data ADA Tab cell G10">
      <formula>NOT(ISERROR(SEARCH("Missing Data ADA Tab cell G10",J21)))</formula>
    </cfRule>
    <cfRule type="containsText" dxfId="155" priority="4" stopIfTrue="1" operator="containsText" text="Missing Data ADA Tab, cell G10">
      <formula>NOT(ISERROR(SEARCH("Missing Data ADA Tab, cell G10",J21)))</formula>
    </cfRule>
    <cfRule type="containsText" dxfId="154" priority="5" stopIfTrue="1" operator="containsText" text="Missing Data ADA Tab cell G10">
      <formula>NOT(ISERROR(SEARCH("Missing Data ADA Tab cell G10",J21)))</formula>
    </cfRule>
    <cfRule type="containsText" dxfId="153" priority="11" stopIfTrue="1" operator="containsText" text="Missing Data ADA Tab, cell G10">
      <formula>NOT(ISERROR(SEARCH("Missing Data ADA Tab, cell G10",J21)))</formula>
    </cfRule>
    <cfRule type="containsText" dxfId="152" priority="12" stopIfTrue="1" operator="containsText" text="Missing Data ADA Tab cell G10">
      <formula>NOT(ISERROR(SEARCH("Missing Data ADA Tab cell G10",J21)))</formula>
    </cfRule>
  </conditionalFormatting>
  <printOptions horizontalCentered="1"/>
  <pageMargins left="0.75" right="0.75" top="1" bottom="1" header="0.5" footer="0.5"/>
  <pageSetup scale="55" fitToHeight="0" orientation="portrait" r:id="rId1"/>
  <headerFooter alignWithMargins="0">
    <oddFooter>Page &amp;P of &amp;N</oddFooter>
  </headerFooter>
  <rowBreaks count="1" manualBreakCount="1">
    <brk id="6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4"/>
    <pageSetUpPr fitToPage="1"/>
  </sheetPr>
  <dimension ref="A1:O240"/>
  <sheetViews>
    <sheetView showGridLines="0" zoomScaleNormal="100" zoomScaleSheetLayoutView="100" workbookViewId="0">
      <pane xSplit="4" ySplit="10" topLeftCell="E11" activePane="bottomRight" state="frozen"/>
      <selection activeCell="J13" sqref="J13"/>
      <selection pane="topRight" activeCell="J13" sqref="J13"/>
      <selection pane="bottomLeft" activeCell="J13" sqref="J13"/>
      <selection pane="bottomRight" activeCell="F13" sqref="F13"/>
    </sheetView>
  </sheetViews>
  <sheetFormatPr defaultColWidth="72.53125" defaultRowHeight="12.75"/>
  <cols>
    <col min="1" max="1" width="5.46484375" customWidth="1"/>
    <col min="2" max="2" width="3" customWidth="1"/>
    <col min="3" max="3" width="85.1328125" customWidth="1"/>
    <col min="4" max="4" width="11" customWidth="1"/>
    <col min="5" max="7" width="14.53125" customWidth="1"/>
    <col min="8" max="8" width="10.53125" customWidth="1"/>
    <col min="9" max="9" width="14.53125" customWidth="1"/>
    <col min="10" max="10" width="10.53125" customWidth="1"/>
    <col min="11" max="11" width="14.53125" customWidth="1"/>
    <col min="12" max="12" width="10.53125" customWidth="1"/>
    <col min="13" max="13" width="72.53125" style="1177" customWidth="1"/>
  </cols>
  <sheetData>
    <row r="1" spans="1:15" ht="15">
      <c r="A1" s="1664" t="str">
        <f>IF('INTERIM-CERTIFICATION'!$M$1="","CHARTER NAME: Enter Charter Name on INTERIM-CERTIFICATION Worksheet",(CONCATENATE("CHARTER NAME: ",'INTERIM-CERTIFICATION'!$M$1)))</f>
        <v>CHARTER NAME: Encor Jr./Sr. High School for the Performing and Visual Arts</v>
      </c>
      <c r="B1" s="1664"/>
      <c r="C1" s="1664"/>
      <c r="D1" s="205"/>
      <c r="E1" s="12"/>
      <c r="F1" s="156"/>
      <c r="G1" s="155"/>
      <c r="H1" s="1"/>
      <c r="I1" s="157"/>
      <c r="J1" s="1"/>
      <c r="K1" s="157"/>
      <c r="L1" s="1"/>
    </row>
    <row r="2" spans="1:15" ht="15">
      <c r="A2" s="1664" t="str">
        <f>IF('INTERIM-CERTIFICATION'!$M$2="","CDS #: Enter Charter CDS # on INTERIM-CERTIFICATION Worksheet",(_xlfn.CONCAT("CDS #: ",'INTERIM-CERTIFICATION'!$M$2)))</f>
        <v>CDS #: 35-75044-01166707</v>
      </c>
      <c r="B2" s="1664"/>
      <c r="C2" s="1664"/>
      <c r="D2" s="205"/>
      <c r="E2" s="12"/>
      <c r="F2" s="156"/>
      <c r="G2" s="156"/>
      <c r="H2" s="1"/>
      <c r="I2" s="157"/>
      <c r="J2" s="1"/>
      <c r="K2" s="157"/>
      <c r="L2" s="1"/>
    </row>
    <row r="3" spans="1:15" ht="15">
      <c r="A3" s="1664" t="str">
        <f>IF('INTERIM-CERTIFICATION'!$M$5="","CHARTER #: Enter Charter # on INTERIM-CERTIFICATION Worksheet",(_xlfn.CONCAT("CHARTER #: ",'INTERIM-CERTIFICATION'!$M$5)))</f>
        <v>CHARTER #: 0971</v>
      </c>
      <c r="B3" s="1664"/>
      <c r="C3" s="1664"/>
      <c r="D3" s="205"/>
      <c r="E3" s="12"/>
      <c r="F3" s="155"/>
      <c r="G3" s="155"/>
      <c r="H3" s="1"/>
      <c r="I3" s="157"/>
      <c r="J3" s="1"/>
      <c r="K3" s="157"/>
      <c r="L3" s="1"/>
    </row>
    <row r="4" spans="1:15" ht="15.4">
      <c r="A4" s="2"/>
      <c r="B4" s="52"/>
      <c r="C4" s="52"/>
      <c r="D4" s="158" t="str">
        <f>'1st Interim-ADA'!J4</f>
        <v>Fiscal Year 2024-25 First Interim Report</v>
      </c>
      <c r="E4" s="52"/>
      <c r="F4" s="52"/>
      <c r="G4" s="52"/>
      <c r="H4" s="52"/>
      <c r="I4" s="52"/>
      <c r="J4" s="52"/>
      <c r="K4" s="52"/>
      <c r="L4" s="52"/>
    </row>
    <row r="5" spans="1:15" ht="15">
      <c r="A5" s="12"/>
      <c r="B5" s="12"/>
      <c r="C5" s="52"/>
      <c r="D5" s="158" t="s">
        <v>204</v>
      </c>
      <c r="E5" s="52"/>
      <c r="F5" s="159"/>
      <c r="G5" s="159"/>
      <c r="H5" s="1"/>
      <c r="I5" s="160"/>
      <c r="J5" s="1"/>
      <c r="K5" s="160"/>
      <c r="L5" s="1"/>
    </row>
    <row r="6" spans="1:15" ht="15.4" thickBot="1">
      <c r="A6" s="1560" t="str">
        <f>Instructions!H1</f>
        <v>Form Revised (revision date here if revised)</v>
      </c>
      <c r="B6" s="12"/>
      <c r="C6" s="12"/>
      <c r="D6" s="12"/>
      <c r="E6" s="12"/>
      <c r="F6" s="155"/>
      <c r="G6" s="155"/>
      <c r="H6" s="1"/>
      <c r="I6" s="157"/>
      <c r="J6" s="1"/>
      <c r="K6" s="157"/>
      <c r="L6" s="1"/>
    </row>
    <row r="7" spans="1:15" ht="15">
      <c r="A7" s="238"/>
      <c r="B7" s="233"/>
      <c r="C7" s="233"/>
      <c r="D7" s="295"/>
      <c r="E7" s="296"/>
      <c r="F7" s="297" t="s">
        <v>165</v>
      </c>
      <c r="G7" s="297" t="str">
        <f>$F$7</f>
        <v>First Interim</v>
      </c>
      <c r="H7" s="296"/>
      <c r="I7" s="298" t="str">
        <f>$F$7</f>
        <v>First Interim</v>
      </c>
      <c r="J7" s="296"/>
      <c r="K7" s="298" t="str">
        <f>$F$7</f>
        <v>First Interim</v>
      </c>
      <c r="L7" s="457"/>
    </row>
    <row r="8" spans="1:15" ht="15">
      <c r="A8" s="1775" t="s">
        <v>21</v>
      </c>
      <c r="B8" s="1776"/>
      <c r="C8" s="1776"/>
      <c r="D8" s="53"/>
      <c r="E8" s="14" t="s">
        <v>17</v>
      </c>
      <c r="F8" s="450" t="s">
        <v>61</v>
      </c>
      <c r="G8" s="161" t="s">
        <v>19</v>
      </c>
      <c r="H8" s="14" t="s">
        <v>18</v>
      </c>
      <c r="I8" s="299" t="s">
        <v>19</v>
      </c>
      <c r="J8" s="14" t="s">
        <v>18</v>
      </c>
      <c r="K8" s="299" t="s">
        <v>19</v>
      </c>
      <c r="L8" s="458" t="s">
        <v>18</v>
      </c>
    </row>
    <row r="9" spans="1:15" ht="15">
      <c r="A9" s="67"/>
      <c r="B9" s="1"/>
      <c r="C9" s="1"/>
      <c r="D9" s="53"/>
      <c r="E9" s="14" t="s">
        <v>16</v>
      </c>
      <c r="F9" s="161" t="s">
        <v>239</v>
      </c>
      <c r="G9" s="161" t="s">
        <v>16</v>
      </c>
      <c r="H9" s="14" t="s">
        <v>22</v>
      </c>
      <c r="I9" s="299" t="s">
        <v>16</v>
      </c>
      <c r="J9" s="14" t="s">
        <v>22</v>
      </c>
      <c r="K9" s="299" t="s">
        <v>16</v>
      </c>
      <c r="L9" s="458" t="s">
        <v>22</v>
      </c>
    </row>
    <row r="10" spans="1:15" ht="15.4" thickBot="1">
      <c r="A10" s="300"/>
      <c r="B10" s="162"/>
      <c r="C10" s="162"/>
      <c r="D10" s="54"/>
      <c r="E10" s="15" t="str">
        <f>'Budget-Unrestricted MYP'!F10</f>
        <v>2024-25</v>
      </c>
      <c r="F10" s="163" t="str">
        <f>'Budget-DEBT'!D13</f>
        <v>2024</v>
      </c>
      <c r="G10" s="204" t="str">
        <f>E10</f>
        <v>2024-25</v>
      </c>
      <c r="H10" s="15"/>
      <c r="I10" s="301" t="str">
        <f>'Budget-Unrestricted MYP'!H10</f>
        <v>2025-26</v>
      </c>
      <c r="J10" s="15"/>
      <c r="K10" s="301" t="str">
        <f>'Budget-Unrestricted MYP'!J10</f>
        <v>2026-27</v>
      </c>
      <c r="L10" s="459"/>
    </row>
    <row r="11" spans="1:15" ht="15.4" thickTop="1">
      <c r="A11" s="302" t="s">
        <v>1</v>
      </c>
      <c r="B11" s="1"/>
      <c r="C11" s="1"/>
      <c r="D11" s="333"/>
      <c r="E11" s="13"/>
      <c r="F11" s="1863"/>
      <c r="G11" s="1863"/>
      <c r="H11" s="1863"/>
      <c r="I11" s="1863"/>
      <c r="J11" s="451"/>
      <c r="K11" s="451"/>
      <c r="L11" s="460"/>
    </row>
    <row r="12" spans="1:15" ht="15">
      <c r="A12" s="302"/>
      <c r="B12" s="274" t="s">
        <v>303</v>
      </c>
      <c r="C12" s="145"/>
      <c r="D12" s="139"/>
      <c r="E12" s="334"/>
      <c r="F12" s="1861"/>
      <c r="G12" s="1861"/>
      <c r="H12" s="1861"/>
      <c r="I12" s="1861"/>
      <c r="J12" s="150"/>
      <c r="K12" s="150"/>
      <c r="L12" s="461"/>
    </row>
    <row r="13" spans="1:15" ht="15">
      <c r="A13" s="302"/>
      <c r="B13" s="145"/>
      <c r="C13" s="276" t="s">
        <v>152</v>
      </c>
      <c r="D13" s="342">
        <v>8011</v>
      </c>
      <c r="E13" s="684">
        <f>'Budget-Unrestricted MYP'!F13</f>
        <v>4666685</v>
      </c>
      <c r="F13" s="772"/>
      <c r="G13" s="684">
        <f>'1st Interim-Assumptions'!G11-G14-G16</f>
        <v>0</v>
      </c>
      <c r="H13" s="266" t="str">
        <f>IF(E13&lt;1," ",IF(G13&lt;1," ",(G13-E13)/E13))</f>
        <v xml:space="preserve"> </v>
      </c>
      <c r="I13" s="774">
        <f>'1st Interim-Assumptions'!H11-I14-I16</f>
        <v>0</v>
      </c>
      <c r="J13" s="266" t="str">
        <f>IF(G13&lt;1," ",IF(I13&lt;1," ",(I13-G13)/G13))</f>
        <v xml:space="preserve"> </v>
      </c>
      <c r="K13" s="684">
        <f>'1st Interim-Assumptions'!J11-K14-K16</f>
        <v>0</v>
      </c>
      <c r="L13" s="303" t="str">
        <f>IF(I13&lt;1," ",IF(K13&lt;1," ",(K13-I13)/I13))</f>
        <v xml:space="preserve"> </v>
      </c>
      <c r="O13" t="s">
        <v>154</v>
      </c>
    </row>
    <row r="14" spans="1:15" ht="15">
      <c r="A14" s="302"/>
      <c r="B14" s="145"/>
      <c r="C14" s="276" t="s">
        <v>153</v>
      </c>
      <c r="D14" s="342">
        <v>8012</v>
      </c>
      <c r="E14" s="684">
        <f>'Budget-Unrestricted MYP'!F14</f>
        <v>1916629</v>
      </c>
      <c r="F14" s="772"/>
      <c r="G14" s="772"/>
      <c r="H14" s="572" t="str">
        <f>IF(E14&lt;1," ",IF(G14&lt;1," ",(G14-E14)/E14))</f>
        <v xml:space="preserve"> </v>
      </c>
      <c r="I14" s="775"/>
      <c r="J14" s="266" t="str">
        <f>IF(G14&lt;1," ",IF(I14&lt;1," ",(I14-G14)/G14))</f>
        <v xml:space="preserve"> </v>
      </c>
      <c r="K14" s="772"/>
      <c r="L14" s="303" t="str">
        <f>IF(I14&lt;1," ",IF(K14&lt;1," ",(K14-I14)/I14))</f>
        <v xml:space="preserve"> </v>
      </c>
    </row>
    <row r="15" spans="1:15" ht="15">
      <c r="A15" s="67"/>
      <c r="B15" s="145"/>
      <c r="C15" s="276" t="s">
        <v>301</v>
      </c>
      <c r="D15" s="342">
        <v>8019</v>
      </c>
      <c r="E15" s="684">
        <f>'Budget-Unrestricted MYP'!F15</f>
        <v>0</v>
      </c>
      <c r="F15" s="772"/>
      <c r="G15" s="772"/>
      <c r="H15" s="572" t="str">
        <f>IF(E15&lt;1," ",IF(G15&lt;1," ",(G15-E15)/E15))</f>
        <v xml:space="preserve"> </v>
      </c>
      <c r="I15" s="776"/>
      <c r="J15" s="266" t="str">
        <f>IF(G15&lt;1," ",IF(I15&lt;1," ",(I15-G15)/G15))</f>
        <v xml:space="preserve"> </v>
      </c>
      <c r="K15" s="778"/>
      <c r="L15" s="303" t="str">
        <f>IF(I15&lt;1," ",IF(K15&lt;1," ",(K15-I15)/I15))</f>
        <v xml:space="preserve"> </v>
      </c>
    </row>
    <row r="16" spans="1:15" ht="15">
      <c r="A16" s="67"/>
      <c r="B16" s="145"/>
      <c r="C16" s="276" t="s">
        <v>302</v>
      </c>
      <c r="D16" s="342">
        <v>8096</v>
      </c>
      <c r="E16" s="684">
        <f>'Budget-Unrestricted MYP'!F16</f>
        <v>206686</v>
      </c>
      <c r="F16" s="772"/>
      <c r="G16" s="773"/>
      <c r="H16" s="631" t="str">
        <f>IF(E16&lt;1," ",IF(G16&lt;1," ",(G16-E16)/E16))</f>
        <v xml:space="preserve"> </v>
      </c>
      <c r="I16" s="777"/>
      <c r="J16" s="266" t="str">
        <f>IF(G16&lt;1," ",IF(I16&lt;1," ",(I16-G16)/G16))</f>
        <v xml:space="preserve"> </v>
      </c>
      <c r="K16" s="773"/>
      <c r="L16" s="303" t="str">
        <f>IF(I16&lt;1," ",IF(K16&lt;1," ",(K16-I16)/I16))</f>
        <v xml:space="preserve"> </v>
      </c>
    </row>
    <row r="17" spans="1:12" ht="15">
      <c r="A17" s="67"/>
      <c r="B17" s="274" t="s">
        <v>304</v>
      </c>
      <c r="C17" s="274"/>
      <c r="D17" s="342" t="s">
        <v>99</v>
      </c>
      <c r="E17" s="684">
        <f>'Budget-Unrestricted MYP'!F17</f>
        <v>0</v>
      </c>
      <c r="F17" s="744">
        <f>F85</f>
        <v>0</v>
      </c>
      <c r="G17" s="744">
        <f>G85</f>
        <v>0</v>
      </c>
      <c r="H17" s="266" t="str">
        <f>IF(E17&lt;1," ",IF(G17&lt;1," ",(G17-E17)/E17))</f>
        <v xml:space="preserve"> </v>
      </c>
      <c r="I17" s="287">
        <f>I85</f>
        <v>0</v>
      </c>
      <c r="J17" s="266" t="str">
        <f>IF(G17&lt;1," ",IF(I17&lt;1," ",(I17-G17)/G17))</f>
        <v xml:space="preserve"> </v>
      </c>
      <c r="K17" s="744">
        <f>K85</f>
        <v>0</v>
      </c>
      <c r="L17" s="303" t="str">
        <f>IF(I17&lt;1," ",IF(K17&lt;1," ",(K17-I17)/I17))</f>
        <v xml:space="preserve"> </v>
      </c>
    </row>
    <row r="18" spans="1:12" ht="15">
      <c r="A18" s="67"/>
      <c r="B18" s="145" t="s">
        <v>305</v>
      </c>
      <c r="C18" s="139"/>
      <c r="D18" s="139"/>
      <c r="E18" s="567"/>
      <c r="F18" s="569"/>
      <c r="G18" s="569"/>
      <c r="H18" s="573"/>
      <c r="I18" s="569"/>
      <c r="J18" s="573"/>
      <c r="K18" s="569"/>
      <c r="L18" s="577"/>
    </row>
    <row r="19" spans="1:12" ht="15">
      <c r="A19" s="67"/>
      <c r="B19" s="145"/>
      <c r="C19" s="276" t="s">
        <v>306</v>
      </c>
      <c r="D19" s="342">
        <v>8560</v>
      </c>
      <c r="E19" s="684">
        <f>'Budget-Unrestricted MYP'!F19</f>
        <v>92527.144709999993</v>
      </c>
      <c r="F19" s="772"/>
      <c r="G19" s="744" t="e">
        <f>G88</f>
        <v>#VALUE!</v>
      </c>
      <c r="H19" s="266" t="e">
        <f>IF(E19&lt;1," ",IF(G19&lt;1," ",(G19-E19)/E19))</f>
        <v>#VALUE!</v>
      </c>
      <c r="I19" s="287" t="e">
        <f>I88</f>
        <v>#VALUE!</v>
      </c>
      <c r="J19" s="266" t="e">
        <f>IF(G19&lt;1," ",IF(I19&lt;1," ",(I19-G19)/G19))</f>
        <v>#VALUE!</v>
      </c>
      <c r="K19" s="744" t="e">
        <f>K88</f>
        <v>#VALUE!</v>
      </c>
      <c r="L19" s="303" t="e">
        <f>IF(I19&lt;1," ",IF(K19&lt;1," ",(K19-I19)/I19))</f>
        <v>#VALUE!</v>
      </c>
    </row>
    <row r="20" spans="1:12" ht="15">
      <c r="A20" s="67"/>
      <c r="B20" s="462"/>
      <c r="C20" s="463" t="s">
        <v>307</v>
      </c>
      <c r="D20" s="464">
        <v>8560</v>
      </c>
      <c r="E20" s="779"/>
      <c r="F20" s="779"/>
      <c r="G20" s="779"/>
      <c r="H20" s="480"/>
      <c r="I20" s="780"/>
      <c r="J20" s="480"/>
      <c r="K20" s="779"/>
      <c r="L20" s="349"/>
    </row>
    <row r="21" spans="1:12" ht="15">
      <c r="A21" s="67"/>
      <c r="B21" s="145"/>
      <c r="C21" s="276" t="s">
        <v>308</v>
      </c>
      <c r="D21" s="342" t="s">
        <v>100</v>
      </c>
      <c r="E21" s="684">
        <f>'Budget-Unrestricted MYP'!F21</f>
        <v>21254</v>
      </c>
      <c r="F21" s="744">
        <f>F109</f>
        <v>0</v>
      </c>
      <c r="G21" s="744">
        <f>G109</f>
        <v>0</v>
      </c>
      <c r="H21" s="266" t="str">
        <f>IF(E21&lt;1," ",IF(G21&lt;1," ",(G21-E21)/E21))</f>
        <v xml:space="preserve"> </v>
      </c>
      <c r="I21" s="287">
        <f>I109</f>
        <v>0</v>
      </c>
      <c r="J21" s="266" t="str">
        <f>IF(G21&lt;1," ",IF(I21&lt;1," ",(I21-G21)/G21))</f>
        <v xml:space="preserve"> </v>
      </c>
      <c r="K21" s="744">
        <f>K109</f>
        <v>0</v>
      </c>
      <c r="L21" s="303" t="str">
        <f>IF(I21&lt;1," ",IF(K21&lt;1," ",(K21-I21)/I21))</f>
        <v xml:space="preserve"> </v>
      </c>
    </row>
    <row r="22" spans="1:12" ht="15">
      <c r="A22" s="67"/>
      <c r="B22" s="145" t="s">
        <v>309</v>
      </c>
      <c r="C22" s="139"/>
      <c r="D22" s="139"/>
      <c r="E22" s="567"/>
      <c r="F22" s="569"/>
      <c r="G22" s="569"/>
      <c r="H22" s="573"/>
      <c r="I22" s="569"/>
      <c r="J22" s="266"/>
      <c r="K22" s="566"/>
      <c r="L22" s="303"/>
    </row>
    <row r="23" spans="1:12" ht="15">
      <c r="A23" s="67"/>
      <c r="B23" s="145"/>
      <c r="C23" s="276" t="s">
        <v>236</v>
      </c>
      <c r="D23" s="342">
        <v>8660</v>
      </c>
      <c r="E23" s="684">
        <f>'Budget-Unrestricted MYP'!F23</f>
        <v>0</v>
      </c>
      <c r="F23" s="772"/>
      <c r="G23" s="772"/>
      <c r="H23" s="266" t="str">
        <f>IF(E23&lt;1," ",IF(G23&lt;1," ",(G23-E23)/E23))</f>
        <v xml:space="preserve"> </v>
      </c>
      <c r="I23" s="775"/>
      <c r="J23" s="266" t="str">
        <f>IF(G23&lt;1," ",IF(I23&lt;1," ",(I23-G23)/G23))</f>
        <v xml:space="preserve"> </v>
      </c>
      <c r="K23" s="772"/>
      <c r="L23" s="303" t="str">
        <f>IF(I23&lt;1," ",IF(K23&lt;1," ",(K23-I23)/I23))</f>
        <v xml:space="preserve"> </v>
      </c>
    </row>
    <row r="24" spans="1:12" ht="15">
      <c r="A24" s="67"/>
      <c r="B24" s="462"/>
      <c r="C24" s="463" t="s">
        <v>310</v>
      </c>
      <c r="D24" s="464">
        <v>8792</v>
      </c>
      <c r="E24" s="781"/>
      <c r="F24" s="779"/>
      <c r="G24" s="779"/>
      <c r="H24" s="480"/>
      <c r="I24" s="780"/>
      <c r="J24" s="480"/>
      <c r="K24" s="779"/>
      <c r="L24" s="349"/>
    </row>
    <row r="25" spans="1:12" ht="15.4" thickBot="1">
      <c r="A25" s="67"/>
      <c r="B25" s="883"/>
      <c r="C25" s="916" t="s">
        <v>311</v>
      </c>
      <c r="D25" s="917" t="s">
        <v>101</v>
      </c>
      <c r="E25" s="691">
        <f>'Budget-Unrestricted MYP'!F25</f>
        <v>160000</v>
      </c>
      <c r="F25" s="786">
        <f>F118</f>
        <v>0</v>
      </c>
      <c r="G25" s="786">
        <f>G118</f>
        <v>0</v>
      </c>
      <c r="H25" s="293" t="str">
        <f>IF(E25&lt;1," ",IF(G25&lt;1," ",(G25-E25)/E25))</f>
        <v xml:space="preserve"> </v>
      </c>
      <c r="I25" s="935">
        <f>I118</f>
        <v>0</v>
      </c>
      <c r="J25" s="293" t="str">
        <f>IF(G25&lt;1," ",IF(I25&lt;1," ",(I25-G25)/G25))</f>
        <v xml:space="preserve"> </v>
      </c>
      <c r="K25" s="786">
        <f>K118</f>
        <v>0</v>
      </c>
      <c r="L25" s="578" t="str">
        <f>IF(I25&lt;1," ",IF(K25&lt;1," ",(K25-I25)/I25))</f>
        <v xml:space="preserve"> </v>
      </c>
    </row>
    <row r="26" spans="1:12" ht="15.75" thickTop="1" thickBot="1">
      <c r="A26" s="67"/>
      <c r="B26" s="913" t="s">
        <v>312</v>
      </c>
      <c r="C26" s="914"/>
      <c r="D26" s="915"/>
      <c r="E26" s="884">
        <f>'Budget-Unrestricted MYP'!F26</f>
        <v>7063781.1447099997</v>
      </c>
      <c r="F26" s="794">
        <f>SUM(F13:F25)</f>
        <v>0</v>
      </c>
      <c r="G26" s="794" t="e">
        <f>SUM(G13:G25)</f>
        <v>#VALUE!</v>
      </c>
      <c r="H26" s="576" t="e">
        <f>IF(E26&lt;1," ",IF(G26&lt;1," ",(G26-E26)/E26))</f>
        <v>#VALUE!</v>
      </c>
      <c r="I26" s="884" t="e">
        <f>SUM(I13:I25)</f>
        <v>#VALUE!</v>
      </c>
      <c r="J26" s="576" t="e">
        <f>IF(G26&lt;1," ",IF(I26&lt;1," ",(I26-G26)/G26))</f>
        <v>#VALUE!</v>
      </c>
      <c r="K26" s="884" t="e">
        <f>SUM(K13:K25)</f>
        <v>#VALUE!</v>
      </c>
      <c r="L26" s="579" t="e">
        <f>IF(I26&lt;1," ",IF(K26&lt;1," ",(K26-I26)/I26))</f>
        <v>#VALUE!</v>
      </c>
    </row>
    <row r="27" spans="1:12" ht="10.5" customHeight="1" thickTop="1">
      <c r="A27" s="67"/>
      <c r="B27" s="1"/>
      <c r="C27" s="1"/>
      <c r="D27" s="1"/>
      <c r="E27" s="265"/>
      <c r="F27" s="1734"/>
      <c r="G27" s="1734"/>
      <c r="H27" s="1734"/>
      <c r="I27" s="1734"/>
      <c r="L27" s="467"/>
    </row>
    <row r="28" spans="1:12" ht="15">
      <c r="A28" s="1736" t="s">
        <v>3</v>
      </c>
      <c r="B28" s="1737"/>
      <c r="C28" s="1737"/>
      <c r="D28" s="153"/>
      <c r="E28" s="265"/>
      <c r="F28" s="1861"/>
      <c r="G28" s="1861"/>
      <c r="H28" s="1861"/>
      <c r="I28" s="1861"/>
      <c r="J28" s="150"/>
      <c r="K28" s="150"/>
      <c r="L28" s="461"/>
    </row>
    <row r="29" spans="1:12" ht="15">
      <c r="A29" s="67"/>
      <c r="B29" s="274" t="s">
        <v>4</v>
      </c>
      <c r="C29" s="274"/>
      <c r="D29" s="275" t="s">
        <v>102</v>
      </c>
      <c r="E29" s="684">
        <f>'Budget-Unrestricted MYP'!F29</f>
        <v>2029977</v>
      </c>
      <c r="F29" s="773"/>
      <c r="G29" s="773"/>
      <c r="H29" s="266" t="str">
        <f t="shared" ref="H29:H38" si="0">IF(E29&lt;1," ",IF(G29&lt;1," ",(G29-E29)/E29))</f>
        <v xml:space="preserve"> </v>
      </c>
      <c r="I29" s="777"/>
      <c r="J29" s="266" t="str">
        <f t="shared" ref="J29:J38" si="1">IF(G29&lt;1," ",IF(I29&lt;1," ",(I29-G29)/G29))</f>
        <v xml:space="preserve"> </v>
      </c>
      <c r="K29" s="773"/>
      <c r="L29" s="303" t="str">
        <f t="shared" ref="L29:L38" si="2">IF(I29&lt;1," ",IF(K29&lt;1," ",(K29-I29)/I29))</f>
        <v xml:space="preserve"> </v>
      </c>
    </row>
    <row r="30" spans="1:12" ht="15">
      <c r="A30" s="67"/>
      <c r="B30" s="274" t="s">
        <v>23</v>
      </c>
      <c r="C30" s="274"/>
      <c r="D30" s="275" t="s">
        <v>103</v>
      </c>
      <c r="E30" s="684">
        <f>'Budget-Unrestricted MYP'!F30</f>
        <v>1057248</v>
      </c>
      <c r="F30" s="773"/>
      <c r="G30" s="773"/>
      <c r="H30" s="266" t="str">
        <f t="shared" si="0"/>
        <v xml:space="preserve"> </v>
      </c>
      <c r="I30" s="777"/>
      <c r="J30" s="266" t="str">
        <f t="shared" si="1"/>
        <v xml:space="preserve"> </v>
      </c>
      <c r="K30" s="773"/>
      <c r="L30" s="303" t="str">
        <f t="shared" si="2"/>
        <v xml:space="preserve"> </v>
      </c>
    </row>
    <row r="31" spans="1:12" ht="15">
      <c r="A31" s="67"/>
      <c r="B31" s="274" t="s">
        <v>24</v>
      </c>
      <c r="C31" s="274"/>
      <c r="D31" s="275" t="s">
        <v>104</v>
      </c>
      <c r="E31" s="684">
        <f>'Budget-Unrestricted MYP'!F31</f>
        <v>1182999</v>
      </c>
      <c r="F31" s="773"/>
      <c r="G31" s="773"/>
      <c r="H31" s="266" t="str">
        <f t="shared" si="0"/>
        <v xml:space="preserve"> </v>
      </c>
      <c r="I31" s="777"/>
      <c r="J31" s="266" t="str">
        <f t="shared" si="1"/>
        <v xml:space="preserve"> </v>
      </c>
      <c r="K31" s="773"/>
      <c r="L31" s="303" t="str">
        <f t="shared" si="2"/>
        <v xml:space="preserve"> </v>
      </c>
    </row>
    <row r="32" spans="1:12" ht="15">
      <c r="A32" s="67"/>
      <c r="B32" s="274" t="s">
        <v>25</v>
      </c>
      <c r="C32" s="274"/>
      <c r="D32" s="275" t="s">
        <v>105</v>
      </c>
      <c r="E32" s="684">
        <f>'Budget-Unrestricted MYP'!F32</f>
        <v>299341</v>
      </c>
      <c r="F32" s="773"/>
      <c r="G32" s="773"/>
      <c r="H32" s="266" t="str">
        <f t="shared" si="0"/>
        <v xml:space="preserve"> </v>
      </c>
      <c r="I32" s="777"/>
      <c r="J32" s="266" t="str">
        <f t="shared" si="1"/>
        <v xml:space="preserve"> </v>
      </c>
      <c r="K32" s="773"/>
      <c r="L32" s="303" t="str">
        <f t="shared" si="2"/>
        <v xml:space="preserve"> </v>
      </c>
    </row>
    <row r="33" spans="1:12" ht="15">
      <c r="A33" s="67"/>
      <c r="B33" s="274" t="s">
        <v>26</v>
      </c>
      <c r="C33" s="274"/>
      <c r="D33" s="275" t="s">
        <v>106</v>
      </c>
      <c r="E33" s="684">
        <f>'Budget-Unrestricted MYP'!F33</f>
        <v>2991827</v>
      </c>
      <c r="F33" s="773"/>
      <c r="G33" s="773"/>
      <c r="H33" s="266" t="str">
        <f t="shared" si="0"/>
        <v xml:space="preserve"> </v>
      </c>
      <c r="I33" s="777"/>
      <c r="J33" s="266" t="str">
        <f t="shared" si="1"/>
        <v xml:space="preserve"> </v>
      </c>
      <c r="K33" s="773"/>
      <c r="L33" s="303" t="str">
        <f t="shared" si="2"/>
        <v xml:space="preserve"> </v>
      </c>
    </row>
    <row r="34" spans="1:12" ht="15">
      <c r="A34" s="67"/>
      <c r="B34" s="274" t="s">
        <v>508</v>
      </c>
      <c r="C34" s="274"/>
      <c r="D34" s="275" t="s">
        <v>107</v>
      </c>
      <c r="E34" s="684">
        <f>'Budget-Unrestricted MYP'!F34</f>
        <v>0</v>
      </c>
      <c r="F34" s="773"/>
      <c r="G34" s="773"/>
      <c r="H34" s="266" t="str">
        <f t="shared" si="0"/>
        <v xml:space="preserve"> </v>
      </c>
      <c r="I34" s="777"/>
      <c r="J34" s="266" t="str">
        <f t="shared" si="1"/>
        <v xml:space="preserve"> </v>
      </c>
      <c r="K34" s="773"/>
      <c r="L34" s="303" t="str">
        <f t="shared" si="2"/>
        <v xml:space="preserve"> </v>
      </c>
    </row>
    <row r="35" spans="1:12" ht="15">
      <c r="A35" s="67"/>
      <c r="B35" s="274" t="s">
        <v>507</v>
      </c>
      <c r="C35" s="274"/>
      <c r="D35" s="275">
        <v>6900</v>
      </c>
      <c r="E35" s="684">
        <f>'Budget-Unrestricted MYP'!F36</f>
        <v>0</v>
      </c>
      <c r="F35" s="773"/>
      <c r="G35" s="773"/>
      <c r="H35" s="266" t="str">
        <f t="shared" si="0"/>
        <v xml:space="preserve"> </v>
      </c>
      <c r="I35" s="777"/>
      <c r="J35" s="266" t="str">
        <f t="shared" si="1"/>
        <v xml:space="preserve"> </v>
      </c>
      <c r="K35" s="773"/>
      <c r="L35" s="303" t="str">
        <f t="shared" si="2"/>
        <v xml:space="preserve"> </v>
      </c>
    </row>
    <row r="36" spans="1:12" ht="15">
      <c r="A36" s="67"/>
      <c r="B36" s="274" t="s">
        <v>27</v>
      </c>
      <c r="C36" s="274"/>
      <c r="D36" s="275" t="s">
        <v>108</v>
      </c>
      <c r="E36" s="684">
        <f>'Budget-Unrestricted MYP'!F36</f>
        <v>0</v>
      </c>
      <c r="F36" s="773"/>
      <c r="G36" s="773"/>
      <c r="H36" s="266" t="str">
        <f t="shared" si="0"/>
        <v xml:space="preserve"> </v>
      </c>
      <c r="I36" s="777"/>
      <c r="J36" s="266" t="str">
        <f t="shared" si="1"/>
        <v xml:space="preserve"> </v>
      </c>
      <c r="K36" s="773"/>
      <c r="L36" s="303" t="str">
        <f t="shared" si="2"/>
        <v xml:space="preserve"> </v>
      </c>
    </row>
    <row r="37" spans="1:12" ht="15.4" thickBot="1">
      <c r="A37" s="67"/>
      <c r="B37" s="906" t="s">
        <v>146</v>
      </c>
      <c r="C37" s="906"/>
      <c r="D37" s="617" t="s">
        <v>111</v>
      </c>
      <c r="E37" s="691">
        <f>'Budget-Unrestricted MYP'!F37</f>
        <v>0</v>
      </c>
      <c r="F37" s="936"/>
      <c r="G37" s="936"/>
      <c r="H37" s="293" t="str">
        <f t="shared" si="0"/>
        <v xml:space="preserve"> </v>
      </c>
      <c r="I37" s="937"/>
      <c r="J37" s="293" t="str">
        <f t="shared" si="1"/>
        <v xml:space="preserve"> </v>
      </c>
      <c r="K37" s="936"/>
      <c r="L37" s="578" t="str">
        <f t="shared" si="2"/>
        <v xml:space="preserve"> </v>
      </c>
    </row>
    <row r="38" spans="1:12" ht="15.75" thickTop="1" thickBot="1">
      <c r="A38" s="67"/>
      <c r="B38" s="913" t="s">
        <v>28</v>
      </c>
      <c r="C38" s="914"/>
      <c r="D38" s="915"/>
      <c r="E38" s="884">
        <f>'Budget-Unrestricted MYP'!F38</f>
        <v>7561392</v>
      </c>
      <c r="F38" s="884">
        <f>SUM(F29:F37)</f>
        <v>0</v>
      </c>
      <c r="G38" s="884">
        <f>SUM(G29:G37)</f>
        <v>0</v>
      </c>
      <c r="H38" s="576" t="str">
        <f t="shared" si="0"/>
        <v xml:space="preserve"> </v>
      </c>
      <c r="I38" s="884">
        <f>SUM(I29:I37)</f>
        <v>0</v>
      </c>
      <c r="J38" s="576" t="str">
        <f t="shared" si="1"/>
        <v xml:space="preserve"> </v>
      </c>
      <c r="K38" s="884">
        <f>SUM(K29:K37)</f>
        <v>0</v>
      </c>
      <c r="L38" s="579" t="str">
        <f t="shared" si="2"/>
        <v xml:space="preserve"> </v>
      </c>
    </row>
    <row r="39" spans="1:12" ht="15.75" thickTop="1" thickBot="1">
      <c r="A39" s="67"/>
      <c r="B39" s="1"/>
      <c r="C39" s="1"/>
      <c r="D39" s="166"/>
      <c r="E39" s="20"/>
      <c r="F39" s="1854"/>
      <c r="G39" s="1854"/>
      <c r="H39" s="1854"/>
      <c r="I39" s="1854"/>
      <c r="L39" s="467"/>
    </row>
    <row r="40" spans="1:12" ht="15.75" thickTop="1" thickBot="1">
      <c r="A40" s="1855" t="s">
        <v>205</v>
      </c>
      <c r="B40" s="1856"/>
      <c r="C40" s="1856"/>
      <c r="D40" s="1856"/>
      <c r="E40" s="938">
        <f>'Budget-Unrestricted MYP'!F40</f>
        <v>-497610.85529000033</v>
      </c>
      <c r="F40" s="938">
        <f>SUM(F26-F38)</f>
        <v>0</v>
      </c>
      <c r="G40" s="938" t="e">
        <f>SUM(G26-G38)</f>
        <v>#VALUE!</v>
      </c>
      <c r="H40" s="930" t="str">
        <f>IF(E40&lt;1," ",IF(G40&lt;1," ",(G40-E40)/E40))</f>
        <v xml:space="preserve"> </v>
      </c>
      <c r="I40" s="938" t="e">
        <f>SUM(I26-I38)</f>
        <v>#VALUE!</v>
      </c>
      <c r="J40" s="930" t="e">
        <f>IF(G40&lt;1," ",IF(I40&lt;1," ",(I40-G40)/G40))</f>
        <v>#VALUE!</v>
      </c>
      <c r="K40" s="938" t="e">
        <f>SUM(K26-K38)</f>
        <v>#VALUE!</v>
      </c>
      <c r="L40" s="931" t="e">
        <f>IF(I40&lt;1," ",IF(K40&lt;1," ",(K40-I40)/I40))</f>
        <v>#VALUE!</v>
      </c>
    </row>
    <row r="41" spans="1:12" ht="9" customHeight="1" thickTop="1">
      <c r="A41" s="67"/>
      <c r="B41" s="1"/>
      <c r="C41" s="339"/>
      <c r="D41" s="340"/>
      <c r="E41" s="82"/>
      <c r="F41" s="1752"/>
      <c r="G41" s="1752"/>
      <c r="H41" s="1752"/>
      <c r="I41" s="1752"/>
      <c r="J41" s="486"/>
      <c r="K41" s="486"/>
      <c r="L41" s="487"/>
    </row>
    <row r="42" spans="1:12" ht="15">
      <c r="A42" s="302" t="s">
        <v>29</v>
      </c>
      <c r="B42" s="1"/>
      <c r="C42" s="153"/>
      <c r="D42" s="341"/>
      <c r="E42" s="81"/>
      <c r="F42" s="1754"/>
      <c r="G42" s="1754"/>
      <c r="H42" s="1754"/>
      <c r="I42" s="1754"/>
      <c r="J42" s="453"/>
      <c r="K42" s="453"/>
      <c r="L42" s="470"/>
    </row>
    <row r="43" spans="1:12" ht="15">
      <c r="A43" s="67"/>
      <c r="B43" s="145" t="s">
        <v>124</v>
      </c>
      <c r="C43" s="139"/>
      <c r="D43" s="306">
        <v>8900</v>
      </c>
      <c r="E43" s="752">
        <f>'Budget-Unrestricted MYP'!F43</f>
        <v>-134189</v>
      </c>
      <c r="F43" s="773"/>
      <c r="G43" s="773"/>
      <c r="H43" s="49" t="str">
        <f>IF(E43&lt;1," ",IF(G43&lt;1," ",(G43-E43)/E43))</f>
        <v xml:space="preserve"> </v>
      </c>
      <c r="I43" s="773"/>
      <c r="J43" s="622" t="str">
        <f>IF(G43&lt;1," ",IF(I43&lt;1," ",(I43-G43)/G43))</f>
        <v xml:space="preserve"> </v>
      </c>
      <c r="K43" s="773"/>
      <c r="L43" s="621" t="str">
        <f>IF(I43&lt;1," ",IF(K43&lt;1," ",(K43-I43)/I43))</f>
        <v xml:space="preserve"> </v>
      </c>
    </row>
    <row r="44" spans="1:12" ht="15.4" thickBot="1">
      <c r="A44" s="67"/>
      <c r="B44" s="883" t="s">
        <v>30</v>
      </c>
      <c r="C44" s="151"/>
      <c r="D44" s="912">
        <v>7600</v>
      </c>
      <c r="E44" s="799">
        <f>'Budget-Unrestricted MYP'!F44</f>
        <v>0</v>
      </c>
      <c r="F44" s="789"/>
      <c r="G44" s="789"/>
      <c r="H44" s="584" t="str">
        <f>IF(E44&lt;1," ",IF(G44&lt;1," ",(G44-E44)/E44))</f>
        <v xml:space="preserve"> </v>
      </c>
      <c r="I44" s="789"/>
      <c r="J44" s="629" t="str">
        <f>IF(G44&lt;1," ",IF(I44&lt;1," ",(I44-G44)/G44))</f>
        <v xml:space="preserve"> </v>
      </c>
      <c r="K44" s="789"/>
      <c r="L44" s="630" t="str">
        <f>IF(I44&lt;1," ",IF(K44&lt;1," ",(K44-I44)/I44))</f>
        <v xml:space="preserve"> </v>
      </c>
    </row>
    <row r="45" spans="1:12" ht="15.75" thickTop="1" thickBot="1">
      <c r="A45" s="67"/>
      <c r="B45" s="1783" t="s">
        <v>31</v>
      </c>
      <c r="C45" s="1784"/>
      <c r="D45" s="1784"/>
      <c r="E45" s="884">
        <f>'Budget-Unrestricted MYP'!F45</f>
        <v>-134189</v>
      </c>
      <c r="F45" s="884">
        <f>F43-F44</f>
        <v>0</v>
      </c>
      <c r="G45" s="884">
        <f>G43-G44</f>
        <v>0</v>
      </c>
      <c r="H45" s="576" t="str">
        <f>IF(E45&lt;1," ",IF(G45&lt;1," ",(G45-E45)/E45))</f>
        <v xml:space="preserve"> </v>
      </c>
      <c r="I45" s="884">
        <f>I43-I44</f>
        <v>0</v>
      </c>
      <c r="J45" s="576" t="str">
        <f>IF(G45&lt;1," ",IF(I45&lt;1," ",(I45-G45)/G45))</f>
        <v xml:space="preserve"> </v>
      </c>
      <c r="K45" s="884">
        <f>K43-K44</f>
        <v>0</v>
      </c>
      <c r="L45" s="579" t="str">
        <f>IF(I45&lt;1," ",IF(K45&lt;1," ",(K45-I45)/I45))</f>
        <v xml:space="preserve"> </v>
      </c>
    </row>
    <row r="46" spans="1:12" ht="15.75" thickTop="1" thickBot="1">
      <c r="A46" s="67"/>
      <c r="B46" s="1"/>
      <c r="C46" s="1"/>
      <c r="D46" s="166"/>
      <c r="E46" s="265"/>
      <c r="F46" s="51"/>
      <c r="G46" s="51"/>
      <c r="H46" s="265"/>
      <c r="I46" s="51"/>
      <c r="J46" s="265"/>
      <c r="K46" s="51"/>
      <c r="L46" s="865"/>
    </row>
    <row r="47" spans="1:12" ht="15.75" thickTop="1" thickBot="1">
      <c r="A47" s="1858" t="s">
        <v>32</v>
      </c>
      <c r="B47" s="1859"/>
      <c r="C47" s="1859"/>
      <c r="D47" s="1859"/>
      <c r="E47" s="884">
        <f>'Budget-Unrestricted MYP'!F47</f>
        <v>-631799.85529000033</v>
      </c>
      <c r="F47" s="884">
        <f>F40+F45</f>
        <v>0</v>
      </c>
      <c r="G47" s="884" t="e">
        <f>G40+G45</f>
        <v>#VALUE!</v>
      </c>
      <c r="H47" s="576" t="str">
        <f>IF(E47&lt;1," ",IF(G47&lt;1," ",(G47-E47)/E47))</f>
        <v xml:space="preserve"> </v>
      </c>
      <c r="I47" s="884" t="e">
        <f>I40+I45</f>
        <v>#VALUE!</v>
      </c>
      <c r="J47" s="576" t="e">
        <f>IF(G47&lt;1," ",IF(I47&lt;1," ",(I47-G47)/G47))</f>
        <v>#VALUE!</v>
      </c>
      <c r="K47" s="884" t="e">
        <f>K40+K45</f>
        <v>#VALUE!</v>
      </c>
      <c r="L47" s="579" t="e">
        <f>IF(I47&lt;1," ",IF(K47&lt;1," ",(K47-I47)/I47))</f>
        <v>#VALUE!</v>
      </c>
    </row>
    <row r="48" spans="1:12" ht="9.75" customHeight="1" thickTop="1">
      <c r="A48" s="302"/>
      <c r="B48" s="1"/>
      <c r="C48" s="1"/>
      <c r="D48" s="166"/>
      <c r="E48" s="265"/>
      <c r="F48" s="1734"/>
      <c r="G48" s="1734"/>
      <c r="H48" s="1734"/>
      <c r="I48" s="1734"/>
      <c r="L48" s="467"/>
    </row>
    <row r="49" spans="1:12" ht="15">
      <c r="A49" s="302" t="s">
        <v>6</v>
      </c>
      <c r="B49" s="1"/>
      <c r="C49" s="153"/>
      <c r="D49" s="341"/>
      <c r="E49" s="265"/>
      <c r="F49" s="1861"/>
      <c r="G49" s="1861"/>
      <c r="H49" s="1861"/>
      <c r="I49" s="1861"/>
      <c r="J49" s="150"/>
      <c r="K49" s="150"/>
      <c r="L49" s="461"/>
    </row>
    <row r="50" spans="1:12" ht="15">
      <c r="A50" s="67"/>
      <c r="B50" s="289" t="s">
        <v>159</v>
      </c>
      <c r="C50" s="290"/>
      <c r="D50" s="291">
        <v>9791</v>
      </c>
      <c r="E50" s="1619">
        <f>'Budget-Unrestricted MYP'!F50</f>
        <v>2481096.0499999998</v>
      </c>
      <c r="F50" s="809">
        <f>E50</f>
        <v>2481096.0499999998</v>
      </c>
      <c r="G50" s="701">
        <f>F50</f>
        <v>2481096.0499999998</v>
      </c>
      <c r="H50" s="1061"/>
      <c r="I50" s="1059"/>
      <c r="J50" s="1062"/>
      <c r="K50" s="1060"/>
      <c r="L50" s="1063"/>
    </row>
    <row r="51" spans="1:12" ht="15">
      <c r="A51" s="67"/>
      <c r="B51" s="311" t="s">
        <v>133</v>
      </c>
      <c r="C51" s="312"/>
      <c r="D51" s="313">
        <v>9792</v>
      </c>
      <c r="E51" s="876"/>
      <c r="F51" s="795">
        <f>G51</f>
        <v>0</v>
      </c>
      <c r="G51" s="810"/>
      <c r="H51" s="612"/>
      <c r="I51" s="784"/>
      <c r="J51" s="585"/>
      <c r="K51" s="782"/>
      <c r="L51" s="587"/>
    </row>
    <row r="52" spans="1:12" ht="15">
      <c r="A52" s="67"/>
      <c r="B52" s="1764" t="s">
        <v>233</v>
      </c>
      <c r="C52" s="1765"/>
      <c r="D52" s="1765"/>
      <c r="E52" s="876"/>
      <c r="F52" s="795">
        <f>F50+F51</f>
        <v>2481096.0499999998</v>
      </c>
      <c r="G52" s="751">
        <f>G50+G51</f>
        <v>2481096.0499999998</v>
      </c>
      <c r="H52" s="612"/>
      <c r="I52" s="784"/>
      <c r="J52" s="585"/>
      <c r="K52" s="782"/>
      <c r="L52" s="587"/>
    </row>
    <row r="53" spans="1:12" ht="15">
      <c r="A53" s="67"/>
      <c r="B53" s="311" t="s">
        <v>299</v>
      </c>
      <c r="C53" s="312"/>
      <c r="D53" s="313">
        <v>9793</v>
      </c>
      <c r="E53" s="876"/>
      <c r="F53" s="810"/>
      <c r="G53" s="810"/>
      <c r="H53" s="612"/>
      <c r="I53" s="990"/>
      <c r="J53" s="585"/>
      <c r="K53" s="782"/>
      <c r="L53" s="587"/>
    </row>
    <row r="54" spans="1:12" ht="15">
      <c r="A54" s="67"/>
      <c r="B54" s="311" t="s">
        <v>298</v>
      </c>
      <c r="C54" s="312"/>
      <c r="D54" s="313">
        <v>9795</v>
      </c>
      <c r="E54" s="876"/>
      <c r="F54" s="810"/>
      <c r="G54" s="810"/>
      <c r="H54" s="612"/>
      <c r="I54" s="785"/>
      <c r="J54" s="586"/>
      <c r="K54" s="783"/>
      <c r="L54" s="588"/>
    </row>
    <row r="55" spans="1:12" ht="15.4" thickBot="1">
      <c r="A55" s="67"/>
      <c r="B55" s="894" t="s">
        <v>281</v>
      </c>
      <c r="C55" s="496"/>
      <c r="D55" s="895"/>
      <c r="E55" s="1620"/>
      <c r="F55" s="811">
        <f>F52+F53+F54</f>
        <v>2481096.0499999998</v>
      </c>
      <c r="G55" s="798">
        <f>G52+G53+G54</f>
        <v>2481096.0499999998</v>
      </c>
      <c r="H55" s="603"/>
      <c r="I55" s="1082" t="e">
        <f>G56</f>
        <v>#VALUE!</v>
      </c>
      <c r="J55" s="586"/>
      <c r="K55" s="1083" t="e">
        <f>I56</f>
        <v>#VALUE!</v>
      </c>
      <c r="L55" s="588"/>
    </row>
    <row r="56" spans="1:12" ht="15.75" thickTop="1" thickBot="1">
      <c r="A56" s="67"/>
      <c r="B56" s="896" t="s">
        <v>33</v>
      </c>
      <c r="C56" s="897"/>
      <c r="D56" s="898">
        <v>9790</v>
      </c>
      <c r="E56" s="884">
        <f>'Budget-Unrestricted MYP'!F56</f>
        <v>1849296.1947099995</v>
      </c>
      <c r="F56" s="884">
        <f>F55+F47</f>
        <v>2481096.0499999998</v>
      </c>
      <c r="G56" s="884" t="e">
        <f>G55+G47</f>
        <v>#VALUE!</v>
      </c>
      <c r="H56" s="576" t="e">
        <f>IF(E56&lt;1," ",IF(G56&lt;1," ",(G56-E56)/E56))</f>
        <v>#VALUE!</v>
      </c>
      <c r="I56" s="884" t="e">
        <f>I55+I47</f>
        <v>#VALUE!</v>
      </c>
      <c r="J56" s="576" t="e">
        <f>IF(G56&lt;1," ",IF(I56&lt;1," ",(I56-G56)/G56))</f>
        <v>#VALUE!</v>
      </c>
      <c r="K56" s="884" t="e">
        <f>K47+K55</f>
        <v>#VALUE!</v>
      </c>
      <c r="L56" s="579" t="e">
        <f>IF(I56&lt;1," ",IF(K56&lt;1," ",(K56-I56)/I56))</f>
        <v>#VALUE!</v>
      </c>
    </row>
    <row r="57" spans="1:12" ht="10.5" customHeight="1" thickTop="1">
      <c r="A57" s="67"/>
      <c r="B57" s="1"/>
      <c r="C57" s="1"/>
      <c r="D57" s="166"/>
      <c r="E57" s="756"/>
      <c r="F57" s="507"/>
      <c r="G57" s="507"/>
      <c r="H57" s="167"/>
      <c r="I57" s="51"/>
      <c r="J57" s="167"/>
      <c r="K57" s="51"/>
      <c r="L57" s="469"/>
    </row>
    <row r="58" spans="1:12" ht="15">
      <c r="A58" s="320" t="s">
        <v>139</v>
      </c>
      <c r="B58" s="150"/>
      <c r="C58" s="474"/>
      <c r="D58" s="475" t="s">
        <v>2</v>
      </c>
      <c r="E58" s="476"/>
      <c r="F58" s="478"/>
      <c r="G58" s="478"/>
      <c r="H58" s="476"/>
      <c r="I58" s="478"/>
      <c r="J58" s="476"/>
      <c r="K58" s="478"/>
      <c r="L58" s="479"/>
    </row>
    <row r="59" spans="1:12" ht="15">
      <c r="A59" s="67"/>
      <c r="B59" s="344" t="s">
        <v>7</v>
      </c>
      <c r="C59" s="350" t="s">
        <v>140</v>
      </c>
      <c r="D59" s="351"/>
      <c r="E59" s="589"/>
      <c r="F59" s="1862"/>
      <c r="G59" s="1862"/>
      <c r="H59" s="1862"/>
      <c r="I59" s="1862"/>
      <c r="J59" s="144"/>
      <c r="K59" s="144"/>
      <c r="L59" s="590"/>
    </row>
    <row r="60" spans="1:12" ht="15">
      <c r="A60" s="67"/>
      <c r="B60" s="347"/>
      <c r="C60" s="345" t="s">
        <v>34</v>
      </c>
      <c r="D60" s="285">
        <v>9711</v>
      </c>
      <c r="E60" s="684">
        <f>'Budget-Unrestricted MYP'!F60</f>
        <v>0</v>
      </c>
      <c r="F60" s="812"/>
      <c r="G60" s="812"/>
      <c r="H60" s="266" t="str">
        <f>IF(E60&lt;1," ",IF(G60&lt;1," ",(G60-E60)/E60))</f>
        <v xml:space="preserve"> </v>
      </c>
      <c r="I60" s="812"/>
      <c r="J60" s="625" t="str">
        <f>IF(G60&lt;1," ",IF(I60&lt;1," ",(I60-G60)/G60))</f>
        <v xml:space="preserve"> </v>
      </c>
      <c r="K60" s="812"/>
      <c r="L60" s="627" t="str">
        <f>IF(I60&lt;1," ",IF(K60&lt;1," ",(K60-I60)/I60))</f>
        <v xml:space="preserve"> </v>
      </c>
    </row>
    <row r="61" spans="1:12" ht="15">
      <c r="A61" s="67"/>
      <c r="B61" s="344"/>
      <c r="C61" s="345" t="s">
        <v>10</v>
      </c>
      <c r="D61" s="285">
        <v>9712</v>
      </c>
      <c r="E61" s="814">
        <f>'Budget-Unrestricted MYP'!F61</f>
        <v>0</v>
      </c>
      <c r="F61" s="812"/>
      <c r="G61" s="812"/>
      <c r="H61" s="623" t="str">
        <f>IF(E61&lt;1," ",IF(G61&lt;1," ",(G61-E61)/E61))</f>
        <v xml:space="preserve"> </v>
      </c>
      <c r="I61" s="812"/>
      <c r="J61" s="626" t="str">
        <f>IF(G61&lt;1," ",IF(I61&lt;1," ",(I61-G61)/G61))</f>
        <v xml:space="preserve"> </v>
      </c>
      <c r="K61" s="812"/>
      <c r="L61" s="627" t="str">
        <f>IF(I61&lt;1," ",IF(K61&lt;1," ",(K61-I61)/I61))</f>
        <v xml:space="preserve"> </v>
      </c>
    </row>
    <row r="62" spans="1:12" ht="15">
      <c r="A62" s="67"/>
      <c r="B62" s="344"/>
      <c r="C62" s="345" t="s">
        <v>11</v>
      </c>
      <c r="D62" s="285">
        <v>9713</v>
      </c>
      <c r="E62" s="751">
        <f>'Budget-Unrestricted MYP'!F62</f>
        <v>0</v>
      </c>
      <c r="F62" s="788"/>
      <c r="G62" s="788"/>
      <c r="H62" s="49" t="str">
        <f>IF(E62&lt;1," ",IF(G62&lt;1," ",(G62-E62)/E62))</f>
        <v xml:space="preserve"> </v>
      </c>
      <c r="I62" s="788"/>
      <c r="J62" s="622" t="str">
        <f>IF(G62&lt;1," ",IF(I62&lt;1," ",(I62-G62)/G62))</f>
        <v xml:space="preserve"> </v>
      </c>
      <c r="K62" s="788"/>
      <c r="L62" s="621" t="str">
        <f>IF(I62&lt;1," ",IF(K62&lt;1," ",(K62-I62)/I62))</f>
        <v xml:space="preserve"> </v>
      </c>
    </row>
    <row r="63" spans="1:12" ht="15">
      <c r="A63" s="67"/>
      <c r="B63" s="344"/>
      <c r="C63" s="345" t="s">
        <v>141</v>
      </c>
      <c r="D63" s="285">
        <v>9719</v>
      </c>
      <c r="E63" s="751">
        <f>'Budget-Unrestricted MYP'!F63</f>
        <v>0</v>
      </c>
      <c r="F63" s="788"/>
      <c r="G63" s="788"/>
      <c r="H63" s="49" t="str">
        <f>IF(E63&lt;1," ",IF(G63&lt;1," ",(G63-E63)/E63))</f>
        <v xml:space="preserve"> </v>
      </c>
      <c r="I63" s="788"/>
      <c r="J63" s="622" t="str">
        <f>IF(G63&lt;1," ",IF(I63&lt;1," ",(I63-G63)/G63))</f>
        <v xml:space="preserve"> </v>
      </c>
      <c r="K63" s="788"/>
      <c r="L63" s="621" t="str">
        <f>IF(I63&lt;1," ",IF(K63&lt;1," ",(K63-I63)/I63))</f>
        <v xml:space="preserve"> </v>
      </c>
    </row>
    <row r="64" spans="1:12" ht="15">
      <c r="A64" s="322"/>
      <c r="B64" s="471" t="s">
        <v>8</v>
      </c>
      <c r="C64" s="472" t="s">
        <v>142</v>
      </c>
      <c r="D64" s="473">
        <v>9740</v>
      </c>
      <c r="E64" s="815"/>
      <c r="F64" s="813"/>
      <c r="G64" s="813"/>
      <c r="H64" s="612"/>
      <c r="I64" s="813"/>
      <c r="J64" s="585"/>
      <c r="K64" s="813"/>
      <c r="L64" s="587"/>
    </row>
    <row r="65" spans="1:12" ht="15">
      <c r="A65" s="67"/>
      <c r="B65" s="344" t="s">
        <v>9</v>
      </c>
      <c r="C65" s="350" t="s">
        <v>344</v>
      </c>
      <c r="D65" s="971"/>
      <c r="E65" s="816"/>
      <c r="F65" s="817"/>
      <c r="G65" s="817"/>
      <c r="H65" s="624"/>
      <c r="I65" s="817"/>
      <c r="J65" s="624"/>
      <c r="K65" s="817"/>
      <c r="L65" s="628"/>
    </row>
    <row r="66" spans="1:12" ht="15">
      <c r="A66" s="67"/>
      <c r="B66" s="344"/>
      <c r="C66" s="345" t="s">
        <v>143</v>
      </c>
      <c r="D66" s="286">
        <v>9750</v>
      </c>
      <c r="E66" s="751">
        <f>'Budget-Unrestricted MYP'!F66</f>
        <v>0</v>
      </c>
      <c r="F66" s="788"/>
      <c r="G66" s="788"/>
      <c r="H66" s="49" t="str">
        <f>IF(E66&lt;1," ",IF(G66&lt;1," ",(G66-E66)/E66))</f>
        <v xml:space="preserve"> </v>
      </c>
      <c r="I66" s="788"/>
      <c r="J66" s="622" t="str">
        <f>IF(G66&lt;1," ",IF(I66&lt;1," ",(I66-G66)/G66))</f>
        <v xml:space="preserve"> </v>
      </c>
      <c r="K66" s="788"/>
      <c r="L66" s="621" t="str">
        <f>IF(I66&lt;1," ",IF(K66&lt;1," ",(K66-I66)/I66))</f>
        <v xml:space="preserve"> </v>
      </c>
    </row>
    <row r="67" spans="1:12" ht="15">
      <c r="A67" s="67"/>
      <c r="B67" s="344"/>
      <c r="C67" s="345" t="s">
        <v>144</v>
      </c>
      <c r="D67" s="286">
        <v>9760</v>
      </c>
      <c r="E67" s="751">
        <f>'Budget-Unrestricted MYP'!F67</f>
        <v>0</v>
      </c>
      <c r="F67" s="788"/>
      <c r="G67" s="788"/>
      <c r="H67" s="49" t="str">
        <f>IF(E67&lt;1," ",IF(G67&lt;1," ",(G67-E67)/E67))</f>
        <v xml:space="preserve"> </v>
      </c>
      <c r="I67" s="788"/>
      <c r="J67" s="622" t="str">
        <f>IF(G67&lt;1," ",IF(I67&lt;1," ",(I67-G67)/G67))</f>
        <v xml:space="preserve"> </v>
      </c>
      <c r="K67" s="788"/>
      <c r="L67" s="621" t="str">
        <f>IF(I67&lt;1," ",IF(K67&lt;1," ",(K67-I67)/I67))</f>
        <v xml:space="preserve"> </v>
      </c>
    </row>
    <row r="68" spans="1:12" ht="15">
      <c r="A68" s="67"/>
      <c r="B68" s="344" t="s">
        <v>38</v>
      </c>
      <c r="C68" s="346" t="s">
        <v>145</v>
      </c>
      <c r="D68" s="285">
        <v>9780</v>
      </c>
      <c r="E68" s="751">
        <f>'Budget-Unrestricted MYP'!F68</f>
        <v>0</v>
      </c>
      <c r="F68" s="788"/>
      <c r="G68" s="788"/>
      <c r="H68" s="49" t="str">
        <f>IF(E68&lt;1," ",IF(G68&lt;1," ",(G68-E68)/E68))</f>
        <v xml:space="preserve"> </v>
      </c>
      <c r="I68" s="788"/>
      <c r="J68" s="622" t="str">
        <f>IF(G68&lt;1," ",IF(I68&lt;1," ",(I68-G68)/G68))</f>
        <v xml:space="preserve"> </v>
      </c>
      <c r="K68" s="788"/>
      <c r="L68" s="621" t="str">
        <f>IF(I68&lt;1," ",IF(K68&lt;1," ",(K68-I68)/I68))</f>
        <v xml:space="preserve"> </v>
      </c>
    </row>
    <row r="69" spans="1:12" ht="15">
      <c r="A69" s="67"/>
      <c r="B69" s="344" t="s">
        <v>40</v>
      </c>
      <c r="C69" s="350" t="s">
        <v>347</v>
      </c>
      <c r="D69" s="592"/>
      <c r="E69" s="816"/>
      <c r="F69" s="817"/>
      <c r="G69" s="817"/>
      <c r="H69" s="624"/>
      <c r="I69" s="817"/>
      <c r="J69" s="624"/>
      <c r="K69" s="817"/>
      <c r="L69" s="628"/>
    </row>
    <row r="70" spans="1:12" ht="15">
      <c r="A70" s="67"/>
      <c r="B70" s="344"/>
      <c r="C70" s="345" t="s">
        <v>345</v>
      </c>
      <c r="D70" s="286">
        <v>9789</v>
      </c>
      <c r="E70" s="751">
        <f>'Budget-Unrestricted MYP'!F70</f>
        <v>456269.25</v>
      </c>
      <c r="F70" s="787"/>
      <c r="G70" s="787"/>
      <c r="H70" s="49" t="str">
        <f>IF(E70&lt;1," ",IF(G70&lt;1," ",(G70-E70)/E70))</f>
        <v xml:space="preserve"> </v>
      </c>
      <c r="I70" s="787"/>
      <c r="J70" s="622" t="str">
        <f>IF(G70&lt;1," ",IF(I70&lt;1," ",(I70-G70)/G70))</f>
        <v xml:space="preserve"> </v>
      </c>
      <c r="K70" s="787"/>
      <c r="L70" s="621" t="str">
        <f>IF(I70&lt;1," ",IF(K70&lt;1," ",(K70-I70)/I70))</f>
        <v xml:space="preserve"> </v>
      </c>
    </row>
    <row r="71" spans="1:12" ht="15.4" thickBot="1">
      <c r="A71" s="67"/>
      <c r="B71" s="883"/>
      <c r="C71" s="889" t="s">
        <v>346</v>
      </c>
      <c r="D71" s="617">
        <v>9790</v>
      </c>
      <c r="E71" s="799">
        <f>E56-E66-E67-E68-E70-E60-E61-E62-E63-E64</f>
        <v>1393026.9447099995</v>
      </c>
      <c r="F71" s="799">
        <f>F56-F66-F67-F68-F70-F60-F61-F62-F63-F64</f>
        <v>2481096.0499999998</v>
      </c>
      <c r="G71" s="799" t="e">
        <f>G56-G66-G67-G68-G70-G60-G61-G62-G63-G64</f>
        <v>#VALUE!</v>
      </c>
      <c r="H71" s="584" t="e">
        <f>IF(E71&lt;1," ",IF(G71&lt;1," ",(G71-E71)/E71))</f>
        <v>#VALUE!</v>
      </c>
      <c r="I71" s="799" t="e">
        <f>I56-I66-I67-I68-I70-I60-I61-I62-I63-I64</f>
        <v>#VALUE!</v>
      </c>
      <c r="J71" s="629" t="e">
        <f>IF(G71&lt;1," ",IF(I71&lt;1," ",(I71-G71)/G71))</f>
        <v>#VALUE!</v>
      </c>
      <c r="K71" s="799" t="e">
        <f>K56-K66-K67-K68-K70-K60-K61-K62-K63-K64</f>
        <v>#VALUE!</v>
      </c>
      <c r="L71" s="630" t="e">
        <f>IF(I71&lt;1," ",IF(K71&lt;1," ",(K71-I71)/I71))</f>
        <v>#VALUE!</v>
      </c>
    </row>
    <row r="72" spans="1:12" ht="15.75" thickTop="1" thickBot="1">
      <c r="A72" s="67"/>
      <c r="B72" s="1076"/>
      <c r="C72" s="1077"/>
      <c r="D72" s="1078"/>
      <c r="E72" s="1079"/>
      <c r="F72" s="1079"/>
      <c r="G72" s="1079"/>
      <c r="H72" s="1080"/>
      <c r="I72" s="1079"/>
      <c r="J72" s="1080"/>
      <c r="K72" s="1079"/>
      <c r="L72" s="1081"/>
    </row>
    <row r="73" spans="1:12" ht="8.25" customHeight="1" thickTop="1">
      <c r="A73" s="328"/>
      <c r="B73" s="221"/>
      <c r="C73" s="221"/>
      <c r="D73" s="221"/>
      <c r="E73" s="1074"/>
      <c r="F73" s="1074"/>
      <c r="G73" s="222"/>
      <c r="H73" s="222"/>
      <c r="I73" s="1074"/>
      <c r="J73" s="222"/>
      <c r="K73" s="1075"/>
      <c r="L73" s="467"/>
    </row>
    <row r="74" spans="1:12" ht="15">
      <c r="A74" s="328" t="s">
        <v>313</v>
      </c>
      <c r="B74" s="221"/>
      <c r="C74" s="221"/>
      <c r="D74" s="221"/>
      <c r="E74" s="221"/>
      <c r="F74" s="1732"/>
      <c r="G74" s="1732"/>
      <c r="H74" s="1732"/>
      <c r="I74" s="1732"/>
      <c r="J74" s="1732"/>
      <c r="L74" s="467"/>
    </row>
    <row r="75" spans="1:12" ht="15">
      <c r="A75" s="280"/>
      <c r="B75" s="164"/>
      <c r="C75" s="1739" t="s">
        <v>321</v>
      </c>
      <c r="D75" s="1739"/>
      <c r="E75" s="1739"/>
      <c r="F75" s="1739"/>
      <c r="G75" s="1739"/>
      <c r="H75" s="1739"/>
      <c r="I75" s="1739"/>
      <c r="J75" s="1739"/>
      <c r="K75" s="453"/>
      <c r="L75" s="467"/>
    </row>
    <row r="76" spans="1:12" ht="15">
      <c r="A76" s="328"/>
      <c r="B76" s="287">
        <v>1</v>
      </c>
      <c r="C76" s="1774" t="s">
        <v>241</v>
      </c>
      <c r="D76" s="1774"/>
      <c r="E76" s="1094">
        <f>'Budget-Unrestricted MYP'!F76</f>
        <v>0</v>
      </c>
      <c r="F76" s="708"/>
      <c r="G76" s="708"/>
      <c r="H76" s="49" t="str">
        <f>IF(E76&lt;1," ",IF(G76&lt;1," ",(G76-E76)/E76))</f>
        <v xml:space="preserve"> </v>
      </c>
      <c r="I76" s="714"/>
      <c r="J76" s="483" t="str">
        <f t="shared" ref="J76:J85" si="3">IF(G76&lt;1," ",IF(I76&lt;1," ",(I76-G76)/G76))</f>
        <v xml:space="preserve"> </v>
      </c>
      <c r="K76" s="698"/>
      <c r="L76" s="482" t="str">
        <f t="shared" ref="L76:L85" si="4">IF(I76&lt;1," ",IF(K76&lt;1," ",(K76-I76)/I76))</f>
        <v xml:space="preserve"> </v>
      </c>
    </row>
    <row r="77" spans="1:12" ht="15">
      <c r="A77" s="280"/>
      <c r="B77" s="287">
        <v>2</v>
      </c>
      <c r="C77" s="1724"/>
      <c r="D77" s="1724"/>
      <c r="E77" s="1090">
        <f>'Budget-Unrestricted MYP'!F77</f>
        <v>0</v>
      </c>
      <c r="F77" s="708"/>
      <c r="G77" s="708"/>
      <c r="H77" s="49" t="str">
        <f t="shared" ref="H77:H84" si="5">IF(E77&lt;1," ",IF(G77&lt;1," ",(G77-E77)/E77))</f>
        <v xml:space="preserve"> </v>
      </c>
      <c r="I77" s="714"/>
      <c r="J77" s="483" t="str">
        <f t="shared" si="3"/>
        <v xml:space="preserve"> </v>
      </c>
      <c r="K77" s="698"/>
      <c r="L77" s="482" t="str">
        <f t="shared" si="4"/>
        <v xml:space="preserve"> </v>
      </c>
    </row>
    <row r="78" spans="1:12" ht="15">
      <c r="A78" s="280"/>
      <c r="B78" s="287">
        <v>3</v>
      </c>
      <c r="C78" s="1724"/>
      <c r="D78" s="1724"/>
      <c r="E78" s="1090">
        <f>'Budget-Unrestricted MYP'!F78</f>
        <v>0</v>
      </c>
      <c r="F78" s="708"/>
      <c r="G78" s="708"/>
      <c r="H78" s="49" t="str">
        <f t="shared" si="5"/>
        <v xml:space="preserve"> </v>
      </c>
      <c r="I78" s="714"/>
      <c r="J78" s="483" t="str">
        <f t="shared" si="3"/>
        <v xml:space="preserve"> </v>
      </c>
      <c r="K78" s="698"/>
      <c r="L78" s="482" t="str">
        <f t="shared" si="4"/>
        <v xml:space="preserve"> </v>
      </c>
    </row>
    <row r="79" spans="1:12" ht="15">
      <c r="A79" s="280"/>
      <c r="B79" s="287">
        <v>4</v>
      </c>
      <c r="C79" s="1724"/>
      <c r="D79" s="1724"/>
      <c r="E79" s="1090">
        <f>'Budget-Unrestricted MYP'!F79</f>
        <v>0</v>
      </c>
      <c r="F79" s="708"/>
      <c r="G79" s="708"/>
      <c r="H79" s="49" t="str">
        <f t="shared" si="5"/>
        <v xml:space="preserve"> </v>
      </c>
      <c r="I79" s="714"/>
      <c r="J79" s="483" t="str">
        <f t="shared" si="3"/>
        <v xml:space="preserve"> </v>
      </c>
      <c r="K79" s="698"/>
      <c r="L79" s="482" t="str">
        <f t="shared" si="4"/>
        <v xml:space="preserve"> </v>
      </c>
    </row>
    <row r="80" spans="1:12" ht="15">
      <c r="A80" s="280"/>
      <c r="B80" s="287">
        <v>5</v>
      </c>
      <c r="C80" s="1724"/>
      <c r="D80" s="1724"/>
      <c r="E80" s="1090">
        <f>'Budget-Unrestricted MYP'!F80</f>
        <v>0</v>
      </c>
      <c r="F80" s="708"/>
      <c r="G80" s="708"/>
      <c r="H80" s="49" t="str">
        <f t="shared" si="5"/>
        <v xml:space="preserve"> </v>
      </c>
      <c r="I80" s="714"/>
      <c r="J80" s="483" t="str">
        <f t="shared" si="3"/>
        <v xml:space="preserve"> </v>
      </c>
      <c r="K80" s="698"/>
      <c r="L80" s="482" t="str">
        <f t="shared" si="4"/>
        <v xml:space="preserve"> </v>
      </c>
    </row>
    <row r="81" spans="1:12" ht="15">
      <c r="A81" s="280"/>
      <c r="B81" s="288">
        <v>6</v>
      </c>
      <c r="C81" s="1722"/>
      <c r="D81" s="1722"/>
      <c r="E81" s="1090">
        <f>'Budget-Unrestricted MYP'!F81</f>
        <v>0</v>
      </c>
      <c r="F81" s="708"/>
      <c r="G81" s="708"/>
      <c r="H81" s="49" t="str">
        <f t="shared" si="5"/>
        <v xml:space="preserve"> </v>
      </c>
      <c r="I81" s="714"/>
      <c r="J81" s="483" t="str">
        <f t="shared" si="3"/>
        <v xml:space="preserve"> </v>
      </c>
      <c r="K81" s="698"/>
      <c r="L81" s="482" t="str">
        <f t="shared" si="4"/>
        <v xml:space="preserve"> </v>
      </c>
    </row>
    <row r="82" spans="1:12" ht="15">
      <c r="A82" s="280"/>
      <c r="B82" s="288">
        <v>7</v>
      </c>
      <c r="C82" s="1722"/>
      <c r="D82" s="1722"/>
      <c r="E82" s="1090">
        <f>'Budget-Unrestricted MYP'!F82</f>
        <v>0</v>
      </c>
      <c r="F82" s="708"/>
      <c r="G82" s="708"/>
      <c r="H82" s="49" t="str">
        <f t="shared" si="5"/>
        <v xml:space="preserve"> </v>
      </c>
      <c r="I82" s="714"/>
      <c r="J82" s="483" t="str">
        <f t="shared" si="3"/>
        <v xml:space="preserve"> </v>
      </c>
      <c r="K82" s="698"/>
      <c r="L82" s="482" t="str">
        <f t="shared" si="4"/>
        <v xml:space="preserve"> </v>
      </c>
    </row>
    <row r="83" spans="1:12" ht="15">
      <c r="A83" s="67"/>
      <c r="B83" s="288">
        <v>8</v>
      </c>
      <c r="C83" s="1722"/>
      <c r="D83" s="1722"/>
      <c r="E83" s="1093">
        <f>'Budget-Unrestricted MYP'!F83</f>
        <v>0</v>
      </c>
      <c r="F83" s="709"/>
      <c r="G83" s="709"/>
      <c r="H83" s="49" t="str">
        <f t="shared" si="5"/>
        <v xml:space="preserve"> </v>
      </c>
      <c r="I83" s="716"/>
      <c r="J83" s="483" t="str">
        <f t="shared" si="3"/>
        <v xml:space="preserve"> </v>
      </c>
      <c r="K83" s="705"/>
      <c r="L83" s="482" t="str">
        <f t="shared" si="4"/>
        <v xml:space="preserve"> </v>
      </c>
    </row>
    <row r="84" spans="1:12" ht="15.4" thickBot="1">
      <c r="A84" s="67"/>
      <c r="B84" s="922">
        <v>9</v>
      </c>
      <c r="C84" s="1857"/>
      <c r="D84" s="1857"/>
      <c r="E84" s="1083">
        <f>'Budget-Unrestricted MYP'!F84</f>
        <v>0</v>
      </c>
      <c r="F84" s="710"/>
      <c r="G84" s="710"/>
      <c r="H84" s="49" t="str">
        <f t="shared" si="5"/>
        <v xml:space="preserve"> </v>
      </c>
      <c r="I84" s="818"/>
      <c r="J84" s="484" t="str">
        <f t="shared" si="3"/>
        <v xml:space="preserve"> </v>
      </c>
      <c r="K84" s="699"/>
      <c r="L84" s="485" t="str">
        <f t="shared" si="4"/>
        <v xml:space="preserve"> </v>
      </c>
    </row>
    <row r="85" spans="1:12" ht="15.75" thickTop="1" thickBot="1">
      <c r="A85" s="67"/>
      <c r="B85" s="923" t="s">
        <v>2</v>
      </c>
      <c r="C85" s="1728" t="s">
        <v>318</v>
      </c>
      <c r="D85" s="1729"/>
      <c r="E85" s="1107">
        <f>'Budget-Unrestricted MYP'!F85</f>
        <v>0</v>
      </c>
      <c r="F85" s="884">
        <f>SUM(F76:F84)</f>
        <v>0</v>
      </c>
      <c r="G85" s="884">
        <f>SUM(G76:G84)</f>
        <v>0</v>
      </c>
      <c r="H85" s="1084" t="str">
        <f>IF(E85&lt;1," ",IF(G85&lt;1," ",(G85-E85)/E85))</f>
        <v xml:space="preserve"> </v>
      </c>
      <c r="I85" s="884">
        <f>SUM(I76:I84)</f>
        <v>0</v>
      </c>
      <c r="J85" s="885" t="str">
        <f t="shared" si="3"/>
        <v xml:space="preserve"> </v>
      </c>
      <c r="K85" s="884">
        <f>SUM(K76:K84)</f>
        <v>0</v>
      </c>
      <c r="L85" s="886" t="str">
        <f t="shared" si="4"/>
        <v xml:space="preserve"> </v>
      </c>
    </row>
    <row r="86" spans="1:12" ht="10.5" customHeight="1" thickTop="1">
      <c r="A86" s="67"/>
      <c r="B86" s="933"/>
      <c r="C86" s="934"/>
      <c r="D86" s="934"/>
      <c r="E86" s="167"/>
      <c r="F86" s="51"/>
      <c r="G86" s="167"/>
      <c r="H86" s="51"/>
      <c r="I86" s="167"/>
      <c r="J86" s="51"/>
      <c r="K86" s="51"/>
      <c r="L86" s="866"/>
    </row>
    <row r="87" spans="1:12" ht="15">
      <c r="A87" s="67"/>
      <c r="B87" s="348" t="s">
        <v>125</v>
      </c>
      <c r="C87" s="165"/>
      <c r="D87" s="165"/>
      <c r="E87" s="961"/>
      <c r="F87" s="1066"/>
      <c r="G87" s="959">
        <f>'1st Interim-Assumptions'!G16</f>
        <v>0</v>
      </c>
      <c r="H87" s="465"/>
      <c r="I87" s="959">
        <f>'1st Interim-Assumptions'!H16</f>
        <v>0</v>
      </c>
      <c r="J87" s="465"/>
      <c r="K87" s="959">
        <f>'1st Interim-Assumptions'!J16</f>
        <v>0</v>
      </c>
      <c r="L87" s="678"/>
    </row>
    <row r="88" spans="1:12" ht="15">
      <c r="A88" s="280"/>
      <c r="B88" s="348" t="s">
        <v>134</v>
      </c>
      <c r="C88" s="165"/>
      <c r="D88" s="165"/>
      <c r="E88" s="957"/>
      <c r="F88" s="1067"/>
      <c r="G88" s="962" t="e">
        <f>(1.04446*'1st Interim-ADA'!O76)*G87</f>
        <v>#VALUE!</v>
      </c>
      <c r="H88" s="49" t="str">
        <f>IF(E88&lt;1," ",IF(G88&lt;1," ",(G88-E88)/E88))</f>
        <v xml:space="preserve"> </v>
      </c>
      <c r="I88" s="962" t="e">
        <f>(1.04446*'1st Interim-ADA'!R76)*I87</f>
        <v>#VALUE!</v>
      </c>
      <c r="J88" s="268" t="e">
        <f>IF(G88&lt;1," ",IF(I88&lt;1," ",(I88-G88)/G88))</f>
        <v>#VALUE!</v>
      </c>
      <c r="K88" s="962" t="e">
        <f>(1.04446*'1st Interim-ADA'!U76)*K87</f>
        <v>#VALUE!</v>
      </c>
      <c r="L88" s="304" t="e">
        <f>IF(I88&lt;1," ",IF(K88&lt;1," ",(K88-I88)/I88))</f>
        <v>#VALUE!</v>
      </c>
    </row>
    <row r="89" spans="1:12" ht="7.5" customHeight="1">
      <c r="A89" s="67"/>
      <c r="B89" s="358"/>
      <c r="C89" s="358"/>
      <c r="D89" s="358"/>
      <c r="E89" s="954"/>
      <c r="F89" s="51"/>
      <c r="G89" s="51"/>
      <c r="H89" s="955"/>
      <c r="I89" s="51"/>
      <c r="J89" s="955"/>
      <c r="K89" s="51"/>
      <c r="L89" s="866"/>
    </row>
    <row r="90" spans="1:12" ht="15">
      <c r="A90" s="280"/>
      <c r="B90" s="164"/>
      <c r="C90" s="164" t="s">
        <v>126</v>
      </c>
      <c r="D90" s="164"/>
      <c r="E90" s="164"/>
      <c r="F90" s="1770"/>
      <c r="G90" s="1770"/>
      <c r="H90" s="1770"/>
      <c r="I90" s="1770"/>
      <c r="J90" s="1770"/>
      <c r="K90" s="51"/>
      <c r="L90" s="595"/>
    </row>
    <row r="91" spans="1:12" ht="15">
      <c r="A91" s="280"/>
      <c r="B91" s="287">
        <v>1</v>
      </c>
      <c r="C91" s="1774" t="s">
        <v>354</v>
      </c>
      <c r="D91" s="1774"/>
      <c r="E91" s="1093">
        <f>'Budget-Unrestricted MYP'!F91</f>
        <v>21254</v>
      </c>
      <c r="F91" s="708">
        <v>0</v>
      </c>
      <c r="G91" s="708"/>
      <c r="H91" s="1086" t="str">
        <f t="shared" ref="H91:H109" si="6">IF(E91&lt;1," ",IF(G91&lt;1," ",(G91-E91)/E91))</f>
        <v xml:space="preserve"> </v>
      </c>
      <c r="I91" s="714"/>
      <c r="J91" s="484" t="str">
        <f t="shared" ref="J91:J109" si="7">IF(G91&lt;1," ",IF(I91&lt;1," ",(I91-G91)/G91))</f>
        <v xml:space="preserve"> </v>
      </c>
      <c r="K91" s="703"/>
      <c r="L91" s="596" t="str">
        <f t="shared" ref="L91:L109" si="8">IF(I91&lt;1," ",IF(K91&lt;1," ",(K91-I91)/I91))</f>
        <v xml:space="preserve"> </v>
      </c>
    </row>
    <row r="92" spans="1:12" ht="15">
      <c r="A92" s="280"/>
      <c r="B92" s="287">
        <v>2</v>
      </c>
      <c r="C92" s="1724"/>
      <c r="D92" s="1725"/>
      <c r="E92" s="1093">
        <f>'Budget-Unrestricted MYP'!F92</f>
        <v>0</v>
      </c>
      <c r="F92" s="709"/>
      <c r="G92" s="709"/>
      <c r="H92" s="1086" t="str">
        <f t="shared" si="6"/>
        <v xml:space="preserve"> </v>
      </c>
      <c r="I92" s="716"/>
      <c r="J92" s="484" t="str">
        <f t="shared" si="7"/>
        <v xml:space="preserve"> </v>
      </c>
      <c r="K92" s="705"/>
      <c r="L92" s="485" t="str">
        <f t="shared" si="8"/>
        <v xml:space="preserve"> </v>
      </c>
    </row>
    <row r="93" spans="1:12" ht="15">
      <c r="A93" s="280"/>
      <c r="B93" s="287">
        <v>3</v>
      </c>
      <c r="C93" s="1724"/>
      <c r="D93" s="1725"/>
      <c r="E93" s="1093">
        <f>'Budget-Unrestricted MYP'!F93</f>
        <v>0</v>
      </c>
      <c r="F93" s="709"/>
      <c r="G93" s="709"/>
      <c r="H93" s="1086" t="str">
        <f t="shared" si="6"/>
        <v xml:space="preserve"> </v>
      </c>
      <c r="I93" s="716"/>
      <c r="J93" s="484" t="str">
        <f t="shared" si="7"/>
        <v xml:space="preserve"> </v>
      </c>
      <c r="K93" s="705"/>
      <c r="L93" s="485" t="str">
        <f t="shared" si="8"/>
        <v xml:space="preserve"> </v>
      </c>
    </row>
    <row r="94" spans="1:12" ht="15">
      <c r="A94" s="280"/>
      <c r="B94" s="287">
        <v>4</v>
      </c>
      <c r="C94" s="1724"/>
      <c r="D94" s="1725"/>
      <c r="E94" s="1093">
        <f>'Budget-Unrestricted MYP'!F94</f>
        <v>0</v>
      </c>
      <c r="F94" s="708"/>
      <c r="G94" s="708"/>
      <c r="H94" s="1086" t="str">
        <f t="shared" si="6"/>
        <v xml:space="preserve"> </v>
      </c>
      <c r="I94" s="714"/>
      <c r="J94" s="484" t="str">
        <f t="shared" si="7"/>
        <v xml:space="preserve"> </v>
      </c>
      <c r="K94" s="698"/>
      <c r="L94" s="485" t="str">
        <f t="shared" si="8"/>
        <v xml:space="preserve"> </v>
      </c>
    </row>
    <row r="95" spans="1:12" ht="15">
      <c r="A95" s="67"/>
      <c r="B95" s="287">
        <v>5</v>
      </c>
      <c r="C95" s="1724"/>
      <c r="D95" s="1725"/>
      <c r="E95" s="1093">
        <f>'Budget-Unrestricted MYP'!F95</f>
        <v>0</v>
      </c>
      <c r="F95" s="726"/>
      <c r="G95" s="726"/>
      <c r="H95" s="1086" t="str">
        <f t="shared" si="6"/>
        <v xml:space="preserve"> </v>
      </c>
      <c r="I95" s="819"/>
      <c r="J95" s="484" t="str">
        <f t="shared" si="7"/>
        <v xml:space="preserve"> </v>
      </c>
      <c r="K95" s="824"/>
      <c r="L95" s="485" t="str">
        <f t="shared" si="8"/>
        <v xml:space="preserve"> </v>
      </c>
    </row>
    <row r="96" spans="1:12" ht="15">
      <c r="A96" s="281"/>
      <c r="B96" s="288">
        <v>6</v>
      </c>
      <c r="C96" s="1722"/>
      <c r="D96" s="1723"/>
      <c r="E96" s="1093">
        <f>'Budget-Unrestricted MYP'!F96</f>
        <v>0</v>
      </c>
      <c r="F96" s="727"/>
      <c r="G96" s="727"/>
      <c r="H96" s="1085" t="str">
        <f t="shared" si="6"/>
        <v xml:space="preserve"> </v>
      </c>
      <c r="I96" s="820"/>
      <c r="J96" s="483" t="str">
        <f t="shared" si="7"/>
        <v xml:space="preserve"> </v>
      </c>
      <c r="K96" s="825"/>
      <c r="L96" s="482" t="str">
        <f t="shared" si="8"/>
        <v xml:space="preserve"> </v>
      </c>
    </row>
    <row r="97" spans="1:12" ht="15">
      <c r="A97" s="281"/>
      <c r="B97" s="288">
        <v>7</v>
      </c>
      <c r="C97" s="1722"/>
      <c r="D97" s="1723"/>
      <c r="E97" s="1093">
        <f>'Budget-Unrestricted MYP'!F97</f>
        <v>0</v>
      </c>
      <c r="F97" s="709"/>
      <c r="G97" s="709"/>
      <c r="H97" s="1085" t="str">
        <f t="shared" si="6"/>
        <v xml:space="preserve"> </v>
      </c>
      <c r="I97" s="716"/>
      <c r="J97" s="483" t="str">
        <f t="shared" si="7"/>
        <v xml:space="preserve"> </v>
      </c>
      <c r="K97" s="705"/>
      <c r="L97" s="482" t="str">
        <f t="shared" si="8"/>
        <v xml:space="preserve"> </v>
      </c>
    </row>
    <row r="98" spans="1:12" ht="15">
      <c r="A98" s="281"/>
      <c r="B98" s="288">
        <v>8</v>
      </c>
      <c r="C98" s="1722"/>
      <c r="D98" s="1723"/>
      <c r="E98" s="1093">
        <f>'Budget-Unrestricted MYP'!F98</f>
        <v>0</v>
      </c>
      <c r="F98" s="709"/>
      <c r="G98" s="709"/>
      <c r="H98" s="1085" t="str">
        <f t="shared" si="6"/>
        <v xml:space="preserve"> </v>
      </c>
      <c r="I98" s="716"/>
      <c r="J98" s="483" t="str">
        <f t="shared" si="7"/>
        <v xml:space="preserve"> </v>
      </c>
      <c r="K98" s="705"/>
      <c r="L98" s="482" t="str">
        <f t="shared" si="8"/>
        <v xml:space="preserve"> </v>
      </c>
    </row>
    <row r="99" spans="1:12" ht="15">
      <c r="A99" s="281"/>
      <c r="B99" s="288">
        <v>9</v>
      </c>
      <c r="C99" s="1724"/>
      <c r="D99" s="1725"/>
      <c r="E99" s="1093">
        <f>'Budget-Unrestricted MYP'!F99</f>
        <v>0</v>
      </c>
      <c r="F99" s="709"/>
      <c r="G99" s="709"/>
      <c r="H99" s="1085" t="str">
        <f t="shared" si="6"/>
        <v xml:space="preserve"> </v>
      </c>
      <c r="I99" s="716"/>
      <c r="J99" s="483" t="str">
        <f t="shared" si="7"/>
        <v xml:space="preserve"> </v>
      </c>
      <c r="K99" s="705"/>
      <c r="L99" s="482" t="str">
        <f t="shared" si="8"/>
        <v xml:space="preserve"> </v>
      </c>
    </row>
    <row r="100" spans="1:12" ht="15">
      <c r="A100" s="281"/>
      <c r="B100" s="145">
        <v>10</v>
      </c>
      <c r="C100" s="1722"/>
      <c r="D100" s="1723"/>
      <c r="E100" s="1093">
        <f>'Budget-Unrestricted MYP'!F100</f>
        <v>0</v>
      </c>
      <c r="F100" s="705"/>
      <c r="G100" s="709"/>
      <c r="H100" s="1085" t="str">
        <f t="shared" si="6"/>
        <v xml:space="preserve"> </v>
      </c>
      <c r="I100" s="716"/>
      <c r="J100" s="483" t="str">
        <f t="shared" si="7"/>
        <v xml:space="preserve"> </v>
      </c>
      <c r="K100" s="705"/>
      <c r="L100" s="482" t="str">
        <f t="shared" si="8"/>
        <v xml:space="preserve"> </v>
      </c>
    </row>
    <row r="101" spans="1:12" ht="15">
      <c r="A101" s="67"/>
      <c r="B101" s="145">
        <v>11</v>
      </c>
      <c r="C101" s="1722"/>
      <c r="D101" s="1723"/>
      <c r="E101" s="1093">
        <f>'Budget-Unrestricted MYP'!F101</f>
        <v>0</v>
      </c>
      <c r="F101" s="826"/>
      <c r="G101" s="719"/>
      <c r="H101" s="1085" t="str">
        <f t="shared" si="6"/>
        <v xml:space="preserve"> </v>
      </c>
      <c r="I101" s="719"/>
      <c r="J101" s="483" t="str">
        <f t="shared" si="7"/>
        <v xml:space="preserve"> </v>
      </c>
      <c r="K101" s="826"/>
      <c r="L101" s="482" t="str">
        <f t="shared" si="8"/>
        <v xml:space="preserve"> </v>
      </c>
    </row>
    <row r="102" spans="1:12" ht="15">
      <c r="A102" s="67"/>
      <c r="B102" s="145">
        <v>12</v>
      </c>
      <c r="C102" s="1722"/>
      <c r="D102" s="1723"/>
      <c r="E102" s="1093">
        <f>'Budget-Unrestricted MYP'!F102</f>
        <v>0</v>
      </c>
      <c r="F102" s="827"/>
      <c r="G102" s="720"/>
      <c r="H102" s="1085" t="str">
        <f t="shared" si="6"/>
        <v xml:space="preserve"> </v>
      </c>
      <c r="I102" s="720"/>
      <c r="J102" s="483" t="str">
        <f t="shared" si="7"/>
        <v xml:space="preserve"> </v>
      </c>
      <c r="K102" s="827"/>
      <c r="L102" s="482" t="str">
        <f t="shared" si="8"/>
        <v xml:space="preserve"> </v>
      </c>
    </row>
    <row r="103" spans="1:12" ht="15">
      <c r="A103" s="67"/>
      <c r="B103" s="145">
        <v>13</v>
      </c>
      <c r="C103" s="1722"/>
      <c r="D103" s="1723"/>
      <c r="E103" s="1093">
        <f>'Budget-Unrestricted MYP'!F103</f>
        <v>0</v>
      </c>
      <c r="F103" s="734"/>
      <c r="G103" s="728"/>
      <c r="H103" s="1085" t="str">
        <f t="shared" si="6"/>
        <v xml:space="preserve"> </v>
      </c>
      <c r="I103" s="821"/>
      <c r="J103" s="483" t="str">
        <f t="shared" si="7"/>
        <v xml:space="preserve"> </v>
      </c>
      <c r="K103" s="734"/>
      <c r="L103" s="482" t="str">
        <f t="shared" si="8"/>
        <v xml:space="preserve"> </v>
      </c>
    </row>
    <row r="104" spans="1:12" ht="15">
      <c r="A104" s="67"/>
      <c r="B104" s="145">
        <v>14</v>
      </c>
      <c r="C104" s="1722"/>
      <c r="D104" s="1723"/>
      <c r="E104" s="1093">
        <f>'Budget-Unrestricted MYP'!F104</f>
        <v>0</v>
      </c>
      <c r="F104" s="735"/>
      <c r="G104" s="729"/>
      <c r="H104" s="1085" t="str">
        <f t="shared" si="6"/>
        <v xml:space="preserve"> </v>
      </c>
      <c r="I104" s="742"/>
      <c r="J104" s="483" t="str">
        <f t="shared" si="7"/>
        <v xml:space="preserve"> </v>
      </c>
      <c r="K104" s="735"/>
      <c r="L104" s="482" t="str">
        <f t="shared" si="8"/>
        <v xml:space="preserve"> </v>
      </c>
    </row>
    <row r="105" spans="1:12" ht="15">
      <c r="A105" s="67"/>
      <c r="B105" s="145">
        <v>15</v>
      </c>
      <c r="C105" s="1722"/>
      <c r="D105" s="1723"/>
      <c r="E105" s="1093">
        <f>'Budget-Unrestricted MYP'!F105</f>
        <v>0</v>
      </c>
      <c r="F105" s="728"/>
      <c r="G105" s="728"/>
      <c r="H105" s="1085" t="str">
        <f t="shared" si="6"/>
        <v xml:space="preserve"> </v>
      </c>
      <c r="I105" s="821"/>
      <c r="J105" s="483" t="str">
        <f t="shared" si="7"/>
        <v xml:space="preserve"> </v>
      </c>
      <c r="K105" s="734"/>
      <c r="L105" s="482" t="str">
        <f t="shared" si="8"/>
        <v xml:space="preserve"> </v>
      </c>
    </row>
    <row r="106" spans="1:12" ht="15">
      <c r="A106" s="67"/>
      <c r="B106" s="145">
        <v>16</v>
      </c>
      <c r="C106" s="1722"/>
      <c r="D106" s="1723"/>
      <c r="E106" s="1093">
        <f>'Budget-Unrestricted MYP'!F106</f>
        <v>0</v>
      </c>
      <c r="F106" s="730"/>
      <c r="G106" s="730"/>
      <c r="H106" s="1085" t="str">
        <f t="shared" si="6"/>
        <v xml:space="preserve"> </v>
      </c>
      <c r="I106" s="822"/>
      <c r="J106" s="483" t="str">
        <f t="shared" si="7"/>
        <v xml:space="preserve"> </v>
      </c>
      <c r="K106" s="736"/>
      <c r="L106" s="482" t="str">
        <f t="shared" si="8"/>
        <v xml:space="preserve"> </v>
      </c>
    </row>
    <row r="107" spans="1:12" ht="15">
      <c r="A107" s="67"/>
      <c r="B107" s="145">
        <v>17</v>
      </c>
      <c r="C107" s="1722"/>
      <c r="D107" s="1723"/>
      <c r="E107" s="1093">
        <f>'Budget-Unrestricted MYP'!F107</f>
        <v>0</v>
      </c>
      <c r="F107" s="731"/>
      <c r="G107" s="731"/>
      <c r="H107" s="1085" t="str">
        <f t="shared" si="6"/>
        <v xml:space="preserve"> </v>
      </c>
      <c r="I107" s="823"/>
      <c r="J107" s="483" t="str">
        <f t="shared" si="7"/>
        <v xml:space="preserve"> </v>
      </c>
      <c r="K107" s="737"/>
      <c r="L107" s="482" t="str">
        <f t="shared" si="8"/>
        <v xml:space="preserve"> </v>
      </c>
    </row>
    <row r="108" spans="1:12" ht="15.4" thickBot="1">
      <c r="A108" s="67"/>
      <c r="B108" s="883">
        <v>18</v>
      </c>
      <c r="C108" s="1726"/>
      <c r="D108" s="1727"/>
      <c r="E108" s="1093">
        <f>'Budget-Unrestricted MYP'!F108</f>
        <v>0</v>
      </c>
      <c r="F108" s="1174"/>
      <c r="G108" s="725"/>
      <c r="H108" s="330" t="str">
        <f t="shared" si="6"/>
        <v xml:space="preserve"> </v>
      </c>
      <c r="I108" s="725"/>
      <c r="J108" s="593" t="str">
        <f t="shared" si="7"/>
        <v xml:space="preserve"> </v>
      </c>
      <c r="K108" s="828"/>
      <c r="L108" s="594" t="str">
        <f t="shared" si="8"/>
        <v xml:space="preserve"> </v>
      </c>
    </row>
    <row r="109" spans="1:12" ht="15.75" thickTop="1" thickBot="1">
      <c r="A109" s="67"/>
      <c r="B109" s="887"/>
      <c r="C109" s="1728" t="s">
        <v>317</v>
      </c>
      <c r="D109" s="1729"/>
      <c r="E109" s="884">
        <f>'Budget-Unrestricted MYP'!F109</f>
        <v>21254</v>
      </c>
      <c r="F109" s="884">
        <f>SUM(F91:F108)</f>
        <v>0</v>
      </c>
      <c r="G109" s="884">
        <f>SUM(G91:G108)</f>
        <v>0</v>
      </c>
      <c r="H109" s="1087" t="str">
        <f t="shared" si="6"/>
        <v xml:space="preserve"> </v>
      </c>
      <c r="I109" s="884">
        <f>SUM(I91:I108)</f>
        <v>0</v>
      </c>
      <c r="J109" s="885" t="str">
        <f t="shared" si="7"/>
        <v xml:space="preserve"> </v>
      </c>
      <c r="K109" s="884">
        <f>SUM(K91:K108)</f>
        <v>0</v>
      </c>
      <c r="L109" s="886" t="str">
        <f t="shared" si="8"/>
        <v xml:space="preserve"> </v>
      </c>
    </row>
    <row r="110" spans="1:12" ht="6.75" customHeight="1" thickTop="1">
      <c r="A110" s="67"/>
      <c r="B110" s="151"/>
      <c r="C110" s="1860"/>
      <c r="D110" s="1860"/>
      <c r="E110" s="646"/>
      <c r="F110" s="454"/>
      <c r="G110" s="454"/>
      <c r="H110" s="853"/>
      <c r="I110" s="454"/>
      <c r="J110" s="853"/>
      <c r="K110" s="454"/>
      <c r="L110" s="867"/>
    </row>
    <row r="111" spans="1:12" ht="15">
      <c r="A111" s="280"/>
      <c r="B111" s="164"/>
      <c r="C111" s="164" t="s">
        <v>326</v>
      </c>
      <c r="D111" s="164"/>
      <c r="E111" s="164"/>
      <c r="F111" s="1770"/>
      <c r="G111" s="1770"/>
      <c r="H111" s="1770"/>
      <c r="I111" s="1770"/>
      <c r="J111" s="1770"/>
      <c r="K111" s="51"/>
      <c r="L111" s="595"/>
    </row>
    <row r="112" spans="1:12" ht="15">
      <c r="A112" s="67"/>
      <c r="B112" s="287">
        <v>1</v>
      </c>
      <c r="C112" s="1724" t="s">
        <v>242</v>
      </c>
      <c r="D112" s="1725"/>
      <c r="E112" s="1093">
        <f>'Budget-Unrestricted MYP'!F112</f>
        <v>10000</v>
      </c>
      <c r="F112" s="1175"/>
      <c r="G112" s="722"/>
      <c r="H112" s="1085" t="str">
        <f t="shared" ref="H112:H118" si="9">IF(E112&lt;1," ",IF(G112&lt;1," ",(G112-E112)/E112))</f>
        <v xml:space="preserve"> </v>
      </c>
      <c r="I112" s="742"/>
      <c r="J112" s="31" t="str">
        <f t="shared" ref="J112:J118" si="10">IF(G112&lt;1," ",IF(I112&lt;1," ",(I112-G112)/G112))</f>
        <v xml:space="preserve"> </v>
      </c>
      <c r="K112" s="829"/>
      <c r="L112" s="632" t="str">
        <f t="shared" ref="L112:L118" si="11">IF(I112&lt;1," ",IF(K112&lt;1," ",(K112-I112)/I112))</f>
        <v xml:space="preserve"> </v>
      </c>
    </row>
    <row r="113" spans="1:12" ht="15">
      <c r="A113" s="67"/>
      <c r="B113" s="287">
        <v>2</v>
      </c>
      <c r="C113" s="1724"/>
      <c r="D113" s="1725"/>
      <c r="E113" s="1093">
        <f>'Budget-Unrestricted MYP'!F113</f>
        <v>0</v>
      </c>
      <c r="F113" s="1176"/>
      <c r="G113" s="740"/>
      <c r="H113" s="78" t="str">
        <f t="shared" si="9"/>
        <v xml:space="preserve"> </v>
      </c>
      <c r="I113" s="740"/>
      <c r="J113" s="78" t="str">
        <f t="shared" si="10"/>
        <v xml:space="preserve"> </v>
      </c>
      <c r="K113" s="830"/>
      <c r="L113" s="633" t="str">
        <f t="shared" si="11"/>
        <v xml:space="preserve"> </v>
      </c>
    </row>
    <row r="114" spans="1:12" ht="15">
      <c r="A114" s="67"/>
      <c r="B114" s="287">
        <v>3</v>
      </c>
      <c r="C114" s="1724"/>
      <c r="D114" s="1725"/>
      <c r="E114" s="1093">
        <f>'Budget-Unrestricted MYP'!F114</f>
        <v>150000</v>
      </c>
      <c r="F114" s="828"/>
      <c r="G114" s="725"/>
      <c r="H114" s="330" t="str">
        <f t="shared" si="9"/>
        <v xml:space="preserve"> </v>
      </c>
      <c r="I114" s="743"/>
      <c r="J114" s="330" t="str">
        <f t="shared" si="10"/>
        <v xml:space="preserve"> </v>
      </c>
      <c r="K114" s="831"/>
      <c r="L114" s="634" t="str">
        <f t="shared" si="11"/>
        <v xml:space="preserve"> </v>
      </c>
    </row>
    <row r="115" spans="1:12" ht="15">
      <c r="A115" s="67"/>
      <c r="B115" s="287">
        <v>4</v>
      </c>
      <c r="C115" s="1724"/>
      <c r="D115" s="1725"/>
      <c r="E115" s="1093">
        <f>'Budget-Unrestricted MYP'!F115</f>
        <v>0</v>
      </c>
      <c r="F115" s="735"/>
      <c r="G115" s="722"/>
      <c r="H115" s="1085" t="str">
        <f t="shared" si="9"/>
        <v xml:space="preserve"> </v>
      </c>
      <c r="I115" s="742"/>
      <c r="J115" s="31" t="str">
        <f t="shared" si="10"/>
        <v xml:space="preserve"> </v>
      </c>
      <c r="K115" s="832"/>
      <c r="L115" s="635" t="str">
        <f t="shared" si="11"/>
        <v xml:space="preserve"> </v>
      </c>
    </row>
    <row r="116" spans="1:12" ht="15">
      <c r="A116" s="67"/>
      <c r="B116" s="287">
        <v>5</v>
      </c>
      <c r="C116" s="1724"/>
      <c r="D116" s="1725"/>
      <c r="E116" s="1093">
        <f>'Budget-Unrestricted MYP'!F116</f>
        <v>0</v>
      </c>
      <c r="F116" s="735"/>
      <c r="G116" s="722"/>
      <c r="H116" s="1085" t="str">
        <f t="shared" si="9"/>
        <v xml:space="preserve"> </v>
      </c>
      <c r="I116" s="742"/>
      <c r="J116" s="31" t="str">
        <f t="shared" si="10"/>
        <v xml:space="preserve"> </v>
      </c>
      <c r="K116" s="832"/>
      <c r="L116" s="635" t="str">
        <f t="shared" si="11"/>
        <v xml:space="preserve"> </v>
      </c>
    </row>
    <row r="117" spans="1:12" ht="15.4" thickBot="1">
      <c r="A117" s="67"/>
      <c r="B117" s="922">
        <v>6</v>
      </c>
      <c r="C117" s="1726"/>
      <c r="D117" s="1727"/>
      <c r="E117" s="1093">
        <f>'Budget-Unrestricted MYP'!F117</f>
        <v>0</v>
      </c>
      <c r="F117" s="1174"/>
      <c r="G117" s="725"/>
      <c r="H117" s="1086" t="str">
        <f t="shared" si="9"/>
        <v xml:space="preserve"> </v>
      </c>
      <c r="I117" s="743"/>
      <c r="J117" s="94" t="str">
        <f t="shared" si="10"/>
        <v xml:space="preserve"> </v>
      </c>
      <c r="K117" s="831"/>
      <c r="L117" s="634" t="str">
        <f t="shared" si="11"/>
        <v xml:space="preserve"> </v>
      </c>
    </row>
    <row r="118" spans="1:12" ht="15.75" thickTop="1" thickBot="1">
      <c r="A118" s="236"/>
      <c r="B118" s="913"/>
      <c r="C118" s="1728" t="s">
        <v>316</v>
      </c>
      <c r="D118" s="1729"/>
      <c r="E118" s="884">
        <f>'Budget-Unrestricted MYP'!F118</f>
        <v>160000</v>
      </c>
      <c r="F118" s="884">
        <f>SUM(F112:F117)</f>
        <v>0</v>
      </c>
      <c r="G118" s="884">
        <f>SUM(G112:G117)</f>
        <v>0</v>
      </c>
      <c r="H118" s="1087" t="str">
        <f t="shared" si="9"/>
        <v xml:space="preserve"> </v>
      </c>
      <c r="I118" s="884">
        <f>SUM(I112:I117)</f>
        <v>0</v>
      </c>
      <c r="J118" s="885" t="str">
        <f t="shared" si="10"/>
        <v xml:space="preserve"> </v>
      </c>
      <c r="K118" s="884">
        <f>SUM(K112:K117)</f>
        <v>0</v>
      </c>
      <c r="L118" s="579" t="str">
        <f t="shared" si="11"/>
        <v xml:space="preserve"> </v>
      </c>
    </row>
    <row r="119" spans="1:12" ht="15.4">
      <c r="A119" s="2"/>
      <c r="B119" s="3"/>
      <c r="C119" s="3"/>
      <c r="D119" s="46"/>
      <c r="F119" s="47"/>
      <c r="G119" s="47"/>
      <c r="H119" s="4"/>
      <c r="I119" s="47"/>
      <c r="J119" s="4"/>
      <c r="K119" s="47"/>
      <c r="L119" s="4"/>
    </row>
    <row r="120" spans="1:12" ht="15.4">
      <c r="A120" s="2"/>
      <c r="B120" s="2"/>
      <c r="C120" s="2"/>
      <c r="D120" s="2"/>
      <c r="E120" s="2"/>
      <c r="F120" s="32"/>
      <c r="G120" s="32"/>
      <c r="H120" s="2"/>
      <c r="I120" s="32"/>
      <c r="J120" s="2"/>
      <c r="K120" s="32"/>
      <c r="L120" s="2"/>
    </row>
    <row r="121" spans="1:12" ht="15.4">
      <c r="A121" s="2"/>
      <c r="B121" s="2"/>
      <c r="C121" s="2"/>
      <c r="D121" s="2"/>
      <c r="E121" s="2"/>
      <c r="F121" s="32"/>
      <c r="G121" s="32"/>
      <c r="H121" s="2"/>
      <c r="I121" s="32"/>
      <c r="J121" s="2"/>
      <c r="K121" s="32"/>
      <c r="L121" s="2"/>
    </row>
    <row r="122" spans="1:12" ht="15.4">
      <c r="A122" s="2"/>
      <c r="B122" s="2"/>
      <c r="C122" s="2"/>
      <c r="D122" s="2"/>
      <c r="E122" s="2"/>
      <c r="F122" s="32"/>
      <c r="G122" s="32"/>
      <c r="H122" s="2"/>
      <c r="I122" s="32"/>
      <c r="J122" s="2"/>
      <c r="K122" s="32"/>
      <c r="L122" s="2"/>
    </row>
    <row r="123" spans="1:12" ht="15.4">
      <c r="A123" s="2"/>
      <c r="B123" s="2"/>
      <c r="C123" s="2"/>
      <c r="D123" s="2"/>
      <c r="E123" s="2"/>
      <c r="F123" s="32"/>
      <c r="G123" s="32"/>
      <c r="H123" s="2"/>
      <c r="I123" s="32"/>
      <c r="J123" s="2"/>
      <c r="K123" s="32"/>
      <c r="L123" s="2"/>
    </row>
    <row r="124" spans="1:12" ht="15.4">
      <c r="A124" s="2"/>
      <c r="B124" s="2"/>
      <c r="C124" s="2"/>
      <c r="D124" s="2"/>
      <c r="E124" s="2"/>
      <c r="F124" s="32"/>
      <c r="G124" s="32"/>
      <c r="H124" s="2"/>
      <c r="I124" s="32"/>
      <c r="J124" s="2"/>
      <c r="K124" s="32"/>
      <c r="L124" s="2"/>
    </row>
    <row r="125" spans="1:12" ht="15.4">
      <c r="A125" s="2"/>
      <c r="B125" s="2"/>
      <c r="C125" s="2"/>
      <c r="D125" s="2"/>
      <c r="E125" s="2"/>
      <c r="F125" s="32"/>
      <c r="G125" s="32"/>
      <c r="H125" s="2"/>
      <c r="I125" s="32"/>
      <c r="J125" s="2"/>
      <c r="K125" s="32"/>
      <c r="L125" s="2"/>
    </row>
    <row r="126" spans="1:12" ht="15.4">
      <c r="A126" s="2"/>
      <c r="B126" s="2"/>
      <c r="C126" s="2"/>
      <c r="D126" s="2"/>
      <c r="E126" s="2"/>
      <c r="F126" s="32"/>
      <c r="G126" s="32"/>
      <c r="H126" s="2"/>
      <c r="I126" s="32"/>
      <c r="J126" s="2"/>
      <c r="K126" s="32"/>
      <c r="L126" s="2"/>
    </row>
    <row r="127" spans="1:12" ht="15.4">
      <c r="A127" s="2"/>
      <c r="B127" s="2"/>
      <c r="C127" s="2"/>
      <c r="D127" s="2"/>
      <c r="E127" s="2"/>
      <c r="F127" s="32"/>
      <c r="G127" s="32"/>
      <c r="H127" s="2"/>
      <c r="I127" s="32"/>
      <c r="J127" s="2"/>
      <c r="K127" s="32"/>
      <c r="L127" s="2"/>
    </row>
    <row r="128" spans="1:12" ht="15.4">
      <c r="A128" s="2"/>
      <c r="B128" s="2"/>
      <c r="C128" s="2"/>
      <c r="D128" s="2"/>
      <c r="E128" s="2"/>
      <c r="F128" s="32"/>
      <c r="G128" s="32"/>
      <c r="H128" s="2"/>
      <c r="I128" s="32"/>
      <c r="J128" s="2"/>
      <c r="K128" s="32"/>
      <c r="L128" s="2"/>
    </row>
    <row r="129" spans="1:12" ht="15.4">
      <c r="A129" s="2"/>
      <c r="B129" s="2"/>
      <c r="C129" s="2"/>
      <c r="D129" s="2"/>
      <c r="E129" s="2"/>
      <c r="F129" s="32"/>
      <c r="G129" s="32"/>
      <c r="H129" s="2"/>
      <c r="I129" s="32"/>
      <c r="J129" s="2"/>
      <c r="K129" s="32"/>
      <c r="L129" s="2"/>
    </row>
    <row r="130" spans="1:12" ht="15.4">
      <c r="A130" s="2"/>
      <c r="B130" s="2"/>
      <c r="C130" s="2"/>
      <c r="D130" s="2"/>
      <c r="E130" s="2"/>
      <c r="F130" s="32"/>
      <c r="G130" s="32"/>
      <c r="H130" s="2"/>
      <c r="I130" s="32"/>
      <c r="J130" s="2"/>
      <c r="K130" s="32"/>
      <c r="L130" s="2"/>
    </row>
    <row r="131" spans="1:12" ht="15.4">
      <c r="A131" s="2"/>
      <c r="B131" s="2"/>
      <c r="C131" s="2"/>
      <c r="D131" s="2"/>
      <c r="E131" s="2"/>
      <c r="F131" s="32"/>
      <c r="G131" s="32"/>
      <c r="H131" s="2"/>
      <c r="I131" s="32"/>
      <c r="J131" s="2"/>
      <c r="K131" s="32"/>
      <c r="L131" s="2"/>
    </row>
    <row r="132" spans="1:12" ht="15.4">
      <c r="A132" s="2"/>
      <c r="B132" s="2"/>
      <c r="C132" s="2"/>
      <c r="D132" s="2"/>
      <c r="E132" s="2"/>
      <c r="F132" s="32"/>
      <c r="G132" s="32"/>
      <c r="H132" s="2"/>
      <c r="I132" s="32"/>
      <c r="J132" s="2"/>
      <c r="K132" s="32"/>
      <c r="L132" s="2"/>
    </row>
    <row r="133" spans="1:12" ht="15.4">
      <c r="A133" s="2"/>
      <c r="B133" s="2"/>
      <c r="C133" s="2"/>
      <c r="D133" s="2"/>
      <c r="E133" s="2"/>
      <c r="F133" s="32"/>
      <c r="G133" s="32"/>
      <c r="H133" s="2"/>
      <c r="I133" s="32"/>
      <c r="J133" s="2"/>
      <c r="K133" s="32"/>
      <c r="L133" s="2"/>
    </row>
    <row r="134" spans="1:12" ht="15.4">
      <c r="A134" s="2"/>
      <c r="B134" s="2"/>
      <c r="C134" s="2"/>
      <c r="D134" s="2"/>
      <c r="E134" s="2"/>
      <c r="F134" s="32"/>
      <c r="G134" s="32"/>
      <c r="H134" s="2"/>
      <c r="I134" s="32"/>
      <c r="J134" s="2"/>
      <c r="K134" s="32"/>
      <c r="L134" s="2"/>
    </row>
    <row r="135" spans="1:12" ht="15.4">
      <c r="A135" s="2"/>
      <c r="B135" s="2"/>
      <c r="C135" s="2"/>
      <c r="D135" s="2"/>
      <c r="E135" s="2"/>
      <c r="F135" s="32"/>
      <c r="G135" s="32"/>
      <c r="H135" s="2"/>
      <c r="I135" s="32"/>
      <c r="J135" s="2"/>
      <c r="K135" s="32"/>
      <c r="L135" s="2"/>
    </row>
    <row r="136" spans="1:12" ht="15.4">
      <c r="A136" s="2"/>
      <c r="B136" s="2"/>
      <c r="C136" s="2"/>
      <c r="D136" s="2"/>
      <c r="E136" s="2"/>
      <c r="F136" s="32"/>
      <c r="G136" s="32"/>
      <c r="H136" s="2"/>
      <c r="I136" s="32"/>
      <c r="J136" s="2"/>
      <c r="K136" s="32"/>
      <c r="L136" s="2"/>
    </row>
    <row r="137" spans="1:12" ht="15.4">
      <c r="A137" s="2"/>
      <c r="B137" s="2"/>
      <c r="C137" s="2"/>
      <c r="D137" s="2"/>
      <c r="E137" s="2"/>
      <c r="F137" s="32"/>
      <c r="G137" s="32"/>
      <c r="H137" s="2"/>
      <c r="I137" s="32"/>
      <c r="J137" s="2"/>
      <c r="K137" s="32"/>
      <c r="L137" s="2"/>
    </row>
    <row r="138" spans="1:12" ht="15.4">
      <c r="A138" s="2"/>
      <c r="B138" s="2"/>
      <c r="C138" s="2"/>
      <c r="D138" s="2"/>
      <c r="E138" s="2"/>
      <c r="F138" s="32"/>
      <c r="G138" s="32"/>
      <c r="H138" s="2"/>
      <c r="I138" s="32"/>
      <c r="J138" s="2"/>
      <c r="K138" s="32"/>
      <c r="L138" s="2"/>
    </row>
    <row r="139" spans="1:12" ht="15.4">
      <c r="A139" s="2"/>
      <c r="B139" s="2"/>
      <c r="C139" s="2"/>
      <c r="D139" s="2"/>
      <c r="E139" s="2"/>
      <c r="F139" s="32"/>
      <c r="G139" s="32"/>
      <c r="H139" s="2"/>
      <c r="I139" s="32"/>
      <c r="J139" s="2"/>
      <c r="K139" s="32"/>
      <c r="L139" s="2"/>
    </row>
    <row r="140" spans="1:12" ht="15.4">
      <c r="A140" s="2"/>
      <c r="B140" s="2"/>
      <c r="C140" s="2"/>
      <c r="D140" s="2"/>
      <c r="E140" s="2"/>
      <c r="F140" s="32"/>
      <c r="G140" s="32"/>
      <c r="H140" s="2"/>
      <c r="I140" s="32"/>
      <c r="J140" s="2"/>
      <c r="K140" s="32"/>
      <c r="L140" s="2"/>
    </row>
    <row r="141" spans="1:12" ht="15.4">
      <c r="A141" s="2"/>
      <c r="B141" s="2"/>
      <c r="C141" s="2"/>
      <c r="D141" s="2"/>
      <c r="E141" s="2"/>
      <c r="F141" s="32"/>
      <c r="G141" s="32"/>
      <c r="H141" s="2"/>
      <c r="I141" s="32"/>
      <c r="J141" s="2"/>
      <c r="K141" s="32"/>
      <c r="L141" s="2"/>
    </row>
    <row r="142" spans="1:12" ht="15.4">
      <c r="A142" s="2"/>
      <c r="B142" s="2"/>
      <c r="C142" s="2"/>
      <c r="D142" s="2"/>
      <c r="E142" s="2"/>
      <c r="F142" s="32"/>
      <c r="G142" s="32"/>
      <c r="H142" s="2"/>
      <c r="I142" s="32"/>
      <c r="J142" s="2"/>
      <c r="K142" s="32"/>
      <c r="L142" s="2"/>
    </row>
    <row r="143" spans="1:12" ht="15.4">
      <c r="A143" s="2"/>
      <c r="B143" s="2"/>
      <c r="C143" s="2"/>
      <c r="D143" s="2"/>
      <c r="E143" s="2"/>
      <c r="F143" s="32"/>
      <c r="G143" s="32"/>
      <c r="H143" s="2"/>
      <c r="I143" s="32"/>
      <c r="J143" s="2"/>
      <c r="K143" s="32"/>
      <c r="L143" s="2"/>
    </row>
    <row r="144" spans="1:12" ht="15.4">
      <c r="A144" s="2"/>
      <c r="B144" s="2"/>
      <c r="C144" s="2"/>
      <c r="D144" s="2"/>
      <c r="E144" s="2"/>
      <c r="F144" s="32"/>
      <c r="G144" s="32"/>
      <c r="H144" s="2"/>
      <c r="I144" s="32"/>
      <c r="J144" s="2"/>
      <c r="K144" s="32"/>
      <c r="L144" s="2"/>
    </row>
    <row r="145" spans="1:12" ht="15.4">
      <c r="A145" s="2"/>
      <c r="B145" s="2"/>
      <c r="C145" s="2"/>
      <c r="D145" s="2"/>
      <c r="E145" s="2"/>
      <c r="F145" s="32"/>
      <c r="G145" s="32"/>
      <c r="H145" s="2"/>
      <c r="I145" s="32"/>
      <c r="J145" s="2"/>
      <c r="K145" s="32"/>
      <c r="L145" s="2"/>
    </row>
    <row r="146" spans="1:12" ht="15.4">
      <c r="A146" s="2"/>
      <c r="B146" s="2"/>
      <c r="C146" s="2"/>
      <c r="D146" s="2"/>
      <c r="E146" s="2"/>
      <c r="F146" s="32"/>
      <c r="G146" s="32"/>
      <c r="H146" s="2"/>
      <c r="I146" s="32"/>
      <c r="J146" s="2"/>
      <c r="K146" s="32"/>
      <c r="L146" s="2"/>
    </row>
    <row r="147" spans="1:12" ht="15.4">
      <c r="A147" s="2"/>
      <c r="B147" s="2"/>
      <c r="C147" s="2"/>
      <c r="D147" s="2"/>
      <c r="E147" s="2"/>
      <c r="F147" s="32"/>
      <c r="G147" s="32"/>
      <c r="H147" s="2"/>
      <c r="I147" s="32"/>
      <c r="J147" s="2"/>
      <c r="K147" s="32"/>
      <c r="L147" s="2"/>
    </row>
    <row r="148" spans="1:12" ht="15.4">
      <c r="A148" s="2"/>
      <c r="B148" s="2"/>
      <c r="C148" s="2"/>
      <c r="D148" s="2"/>
      <c r="E148" s="2"/>
      <c r="F148" s="32"/>
      <c r="G148" s="32"/>
      <c r="H148" s="2"/>
      <c r="I148" s="32"/>
      <c r="J148" s="2"/>
      <c r="K148" s="32"/>
      <c r="L148" s="2"/>
    </row>
    <row r="149" spans="1:12" ht="15.4">
      <c r="A149" s="2"/>
      <c r="B149" s="2"/>
      <c r="C149" s="2"/>
      <c r="D149" s="2"/>
      <c r="E149" s="2"/>
      <c r="F149" s="32"/>
      <c r="G149" s="32"/>
      <c r="H149" s="2"/>
      <c r="I149" s="32"/>
      <c r="J149" s="2"/>
      <c r="K149" s="32"/>
      <c r="L149" s="2"/>
    </row>
    <row r="150" spans="1:12" ht="15.4">
      <c r="A150" s="2"/>
      <c r="B150" s="2"/>
      <c r="C150" s="2"/>
      <c r="D150" s="2"/>
      <c r="E150" s="2"/>
      <c r="F150" s="32"/>
      <c r="G150" s="32"/>
      <c r="H150" s="2"/>
      <c r="I150" s="32"/>
      <c r="J150" s="2"/>
      <c r="K150" s="32"/>
      <c r="L150" s="2"/>
    </row>
    <row r="151" spans="1:12" ht="15.4">
      <c r="A151" s="2"/>
      <c r="B151" s="2"/>
      <c r="C151" s="2"/>
      <c r="D151" s="2"/>
      <c r="E151" s="2"/>
      <c r="F151" s="32"/>
      <c r="G151" s="32"/>
      <c r="H151" s="2"/>
      <c r="I151" s="32"/>
      <c r="J151" s="2"/>
      <c r="K151" s="32"/>
      <c r="L151" s="2"/>
    </row>
    <row r="152" spans="1:12" ht="15.4">
      <c r="A152" s="2"/>
      <c r="B152" s="2"/>
      <c r="C152" s="2"/>
      <c r="D152" s="2"/>
      <c r="E152" s="2"/>
      <c r="F152" s="32"/>
      <c r="G152" s="32"/>
      <c r="H152" s="2"/>
      <c r="I152" s="32"/>
      <c r="J152" s="2"/>
      <c r="K152" s="32"/>
      <c r="L152" s="2"/>
    </row>
    <row r="153" spans="1:12" ht="15.4">
      <c r="A153" s="2"/>
      <c r="B153" s="2"/>
      <c r="C153" s="2"/>
      <c r="D153" s="2"/>
      <c r="E153" s="2"/>
      <c r="F153" s="32"/>
      <c r="G153" s="32"/>
      <c r="H153" s="2"/>
      <c r="I153" s="32"/>
      <c r="J153" s="2"/>
      <c r="K153" s="32"/>
      <c r="L153" s="2"/>
    </row>
    <row r="154" spans="1:12" ht="15.4">
      <c r="A154" s="2"/>
      <c r="B154" s="2"/>
      <c r="C154" s="2"/>
      <c r="D154" s="2"/>
      <c r="E154" s="2"/>
      <c r="F154" s="32"/>
      <c r="G154" s="32"/>
      <c r="H154" s="2"/>
      <c r="I154" s="32"/>
      <c r="J154" s="2"/>
      <c r="K154" s="32"/>
      <c r="L154" s="2"/>
    </row>
    <row r="155" spans="1:12" ht="15.4">
      <c r="A155" s="2"/>
      <c r="B155" s="2"/>
      <c r="C155" s="2"/>
      <c r="D155" s="2"/>
      <c r="E155" s="2"/>
      <c r="F155" s="32"/>
      <c r="G155" s="32"/>
      <c r="H155" s="2"/>
      <c r="I155" s="32"/>
      <c r="J155" s="2"/>
      <c r="K155" s="32"/>
      <c r="L155" s="2"/>
    </row>
    <row r="156" spans="1:12" ht="15.4">
      <c r="A156" s="2"/>
      <c r="B156" s="2"/>
      <c r="C156" s="2"/>
      <c r="D156" s="2"/>
      <c r="E156" s="2"/>
      <c r="F156" s="32"/>
      <c r="G156" s="32"/>
      <c r="H156" s="2"/>
      <c r="I156" s="32"/>
      <c r="J156" s="2"/>
      <c r="K156" s="32"/>
      <c r="L156" s="2"/>
    </row>
    <row r="157" spans="1:12" ht="15.4">
      <c r="A157" s="2"/>
      <c r="B157" s="2"/>
      <c r="C157" s="2"/>
      <c r="D157" s="2"/>
      <c r="E157" s="2"/>
      <c r="F157" s="32"/>
      <c r="G157" s="32"/>
      <c r="H157" s="2"/>
      <c r="I157" s="32"/>
      <c r="J157" s="2"/>
      <c r="K157" s="32"/>
      <c r="L157" s="2"/>
    </row>
    <row r="158" spans="1:12" ht="15.4">
      <c r="A158" s="2"/>
      <c r="B158" s="2"/>
      <c r="C158" s="2"/>
      <c r="D158" s="2"/>
      <c r="E158" s="2"/>
      <c r="F158" s="32"/>
      <c r="G158" s="32"/>
      <c r="H158" s="2"/>
      <c r="I158" s="32"/>
      <c r="J158" s="2"/>
      <c r="K158" s="32"/>
      <c r="L158" s="2"/>
    </row>
    <row r="159" spans="1:12" ht="15.4">
      <c r="A159" s="2"/>
      <c r="B159" s="2"/>
      <c r="C159" s="2"/>
      <c r="D159" s="2"/>
      <c r="E159" s="2"/>
      <c r="F159" s="32"/>
      <c r="G159" s="32"/>
      <c r="H159" s="2"/>
      <c r="I159" s="32"/>
      <c r="J159" s="2"/>
      <c r="K159" s="32"/>
      <c r="L159" s="2"/>
    </row>
    <row r="160" spans="1:12" ht="15.4">
      <c r="A160" s="2"/>
      <c r="B160" s="2"/>
      <c r="C160" s="2"/>
      <c r="D160" s="2"/>
      <c r="E160" s="2"/>
      <c r="F160" s="32"/>
      <c r="G160" s="32"/>
      <c r="H160" s="2"/>
      <c r="I160" s="32"/>
      <c r="J160" s="2"/>
      <c r="K160" s="32"/>
      <c r="L160" s="2"/>
    </row>
    <row r="161" spans="1:12" ht="15.4">
      <c r="A161" s="2"/>
      <c r="B161" s="2"/>
      <c r="C161" s="2"/>
      <c r="D161" s="2"/>
      <c r="E161" s="2"/>
      <c r="F161" s="32"/>
      <c r="G161" s="32"/>
      <c r="H161" s="2"/>
      <c r="I161" s="32"/>
      <c r="J161" s="2"/>
      <c r="K161" s="32"/>
      <c r="L161" s="2"/>
    </row>
    <row r="162" spans="1:12" ht="15.4">
      <c r="A162" s="2"/>
      <c r="B162" s="2"/>
      <c r="C162" s="2"/>
      <c r="D162" s="2"/>
      <c r="E162" s="2"/>
      <c r="F162" s="32"/>
      <c r="G162" s="32"/>
      <c r="H162" s="2"/>
      <c r="I162" s="32"/>
      <c r="J162" s="2"/>
      <c r="K162" s="32"/>
      <c r="L162" s="2"/>
    </row>
    <row r="163" spans="1:12" ht="15.4">
      <c r="A163" s="2"/>
      <c r="B163" s="2"/>
      <c r="C163" s="2"/>
      <c r="D163" s="2"/>
      <c r="E163" s="2"/>
      <c r="F163" s="32"/>
      <c r="G163" s="32"/>
      <c r="H163" s="2"/>
      <c r="I163" s="32"/>
      <c r="J163" s="2"/>
      <c r="K163" s="32"/>
      <c r="L163" s="2"/>
    </row>
    <row r="164" spans="1:12" ht="15.4">
      <c r="A164" s="2"/>
      <c r="B164" s="2"/>
      <c r="C164" s="2"/>
      <c r="D164" s="2"/>
      <c r="E164" s="2"/>
      <c r="F164" s="32"/>
      <c r="G164" s="32"/>
      <c r="H164" s="2"/>
      <c r="I164" s="32"/>
      <c r="J164" s="2"/>
      <c r="K164" s="32"/>
      <c r="L164" s="2"/>
    </row>
    <row r="165" spans="1:12" ht="15.4">
      <c r="A165" s="2"/>
      <c r="B165" s="2"/>
      <c r="C165" s="2"/>
      <c r="D165" s="2"/>
      <c r="E165" s="2"/>
      <c r="F165" s="32"/>
      <c r="G165" s="32"/>
      <c r="H165" s="2"/>
      <c r="I165" s="32"/>
      <c r="J165" s="2"/>
      <c r="K165" s="32"/>
      <c r="L165" s="2"/>
    </row>
    <row r="166" spans="1:12" ht="15.4">
      <c r="A166" s="2"/>
      <c r="B166" s="2"/>
      <c r="C166" s="2"/>
      <c r="D166" s="2"/>
      <c r="E166" s="2"/>
      <c r="F166" s="32"/>
      <c r="G166" s="32"/>
      <c r="H166" s="2"/>
      <c r="I166" s="32"/>
      <c r="J166" s="2"/>
      <c r="K166" s="32"/>
      <c r="L166" s="2"/>
    </row>
    <row r="167" spans="1:12" ht="15.4">
      <c r="A167" s="2"/>
      <c r="B167" s="2"/>
      <c r="C167" s="2"/>
      <c r="D167" s="2"/>
      <c r="E167" s="2"/>
      <c r="F167" s="32"/>
      <c r="G167" s="32"/>
      <c r="H167" s="2"/>
      <c r="I167" s="32"/>
      <c r="J167" s="2"/>
      <c r="K167" s="32"/>
      <c r="L167" s="2"/>
    </row>
    <row r="168" spans="1:12" ht="15.4">
      <c r="A168" s="2"/>
      <c r="B168" s="2"/>
      <c r="C168" s="2"/>
      <c r="D168" s="2"/>
      <c r="E168" s="2"/>
      <c r="F168" s="32"/>
      <c r="G168" s="32"/>
      <c r="H168" s="2"/>
      <c r="I168" s="32"/>
      <c r="J168" s="2"/>
      <c r="K168" s="32"/>
      <c r="L168" s="2"/>
    </row>
    <row r="169" spans="1:12" ht="15.4">
      <c r="A169" s="2"/>
      <c r="B169" s="2"/>
      <c r="C169" s="2"/>
      <c r="D169" s="2"/>
      <c r="E169" s="2"/>
      <c r="F169" s="32"/>
      <c r="G169" s="32"/>
      <c r="H169" s="2"/>
      <c r="I169" s="32"/>
      <c r="J169" s="2"/>
      <c r="K169" s="32"/>
      <c r="L169" s="2"/>
    </row>
    <row r="170" spans="1:12" ht="15.4">
      <c r="A170" s="2"/>
      <c r="B170" s="2"/>
      <c r="C170" s="2"/>
      <c r="D170" s="2"/>
      <c r="E170" s="2"/>
      <c r="F170" s="32"/>
      <c r="G170" s="32"/>
      <c r="H170" s="2"/>
      <c r="I170" s="32"/>
      <c r="J170" s="2"/>
      <c r="K170" s="32"/>
      <c r="L170" s="2"/>
    </row>
    <row r="171" spans="1:12" ht="15.4">
      <c r="A171" s="2"/>
      <c r="B171" s="2"/>
      <c r="C171" s="2"/>
      <c r="D171" s="2"/>
      <c r="E171" s="2"/>
      <c r="F171" s="32"/>
      <c r="G171" s="32"/>
      <c r="H171" s="2"/>
      <c r="I171" s="32"/>
      <c r="J171" s="2"/>
      <c r="K171" s="32"/>
      <c r="L171" s="2"/>
    </row>
    <row r="172" spans="1:12" ht="15.4">
      <c r="A172" s="2"/>
      <c r="B172" s="2"/>
      <c r="C172" s="2"/>
      <c r="D172" s="2"/>
      <c r="E172" s="2"/>
      <c r="F172" s="32"/>
      <c r="G172" s="32"/>
      <c r="H172" s="2"/>
      <c r="I172" s="32"/>
      <c r="J172" s="2"/>
      <c r="K172" s="32"/>
      <c r="L172" s="2"/>
    </row>
    <row r="173" spans="1:12" ht="15.4">
      <c r="A173" s="2"/>
      <c r="B173" s="2"/>
      <c r="C173" s="2"/>
      <c r="D173" s="2"/>
      <c r="E173" s="2"/>
      <c r="F173" s="32"/>
      <c r="G173" s="32"/>
      <c r="H173" s="2"/>
      <c r="I173" s="32"/>
      <c r="J173" s="2"/>
      <c r="K173" s="32"/>
      <c r="L173" s="2"/>
    </row>
    <row r="174" spans="1:12" ht="15.4">
      <c r="A174" s="2"/>
      <c r="B174" s="2"/>
      <c r="C174" s="2"/>
      <c r="D174" s="2"/>
      <c r="E174" s="2"/>
      <c r="F174" s="32"/>
      <c r="G174" s="32"/>
      <c r="H174" s="2"/>
      <c r="I174" s="32"/>
      <c r="J174" s="2"/>
      <c r="K174" s="32"/>
      <c r="L174" s="2"/>
    </row>
    <row r="175" spans="1:12" ht="15.4">
      <c r="A175" s="2"/>
      <c r="B175" s="2"/>
      <c r="C175" s="2"/>
      <c r="D175" s="2"/>
      <c r="E175" s="2"/>
      <c r="F175" s="32"/>
      <c r="G175" s="32"/>
      <c r="H175" s="2"/>
      <c r="I175" s="32"/>
      <c r="J175" s="2"/>
      <c r="K175" s="32"/>
      <c r="L175" s="2"/>
    </row>
    <row r="176" spans="1:12" ht="15.4">
      <c r="A176" s="2"/>
      <c r="B176" s="2"/>
      <c r="C176" s="2"/>
      <c r="D176" s="2"/>
      <c r="E176" s="2"/>
      <c r="F176" s="32"/>
      <c r="G176" s="32"/>
      <c r="H176" s="2"/>
      <c r="I176" s="32"/>
      <c r="J176" s="2"/>
      <c r="K176" s="32"/>
      <c r="L176" s="2"/>
    </row>
    <row r="177" spans="1:12" ht="15.4">
      <c r="A177" s="2"/>
      <c r="B177" s="2"/>
      <c r="C177" s="2"/>
      <c r="D177" s="2"/>
      <c r="E177" s="2"/>
      <c r="F177" s="32"/>
      <c r="G177" s="32"/>
      <c r="H177" s="2"/>
      <c r="I177" s="32"/>
      <c r="J177" s="2"/>
      <c r="K177" s="32"/>
      <c r="L177" s="2"/>
    </row>
    <row r="178" spans="1:12" ht="15.4">
      <c r="A178" s="2"/>
      <c r="B178" s="2"/>
      <c r="C178" s="2"/>
      <c r="D178" s="2"/>
      <c r="E178" s="2"/>
      <c r="F178" s="32"/>
      <c r="G178" s="32"/>
      <c r="H178" s="2"/>
      <c r="I178" s="32"/>
      <c r="J178" s="2"/>
      <c r="K178" s="32"/>
      <c r="L178" s="2"/>
    </row>
    <row r="179" spans="1:12" ht="15.4">
      <c r="A179" s="2"/>
      <c r="B179" s="2"/>
      <c r="C179" s="2"/>
      <c r="D179" s="2"/>
      <c r="E179" s="2"/>
      <c r="F179" s="32"/>
      <c r="G179" s="32"/>
      <c r="H179" s="2"/>
      <c r="I179" s="32"/>
      <c r="J179" s="2"/>
      <c r="K179" s="32"/>
      <c r="L179" s="2"/>
    </row>
    <row r="180" spans="1:12" ht="15.4">
      <c r="A180" s="2"/>
      <c r="B180" s="2"/>
      <c r="C180" s="2"/>
      <c r="D180" s="2"/>
      <c r="E180" s="2"/>
      <c r="F180" s="32"/>
      <c r="G180" s="32"/>
      <c r="H180" s="2"/>
      <c r="I180" s="32"/>
      <c r="J180" s="2"/>
      <c r="K180" s="32"/>
      <c r="L180" s="2"/>
    </row>
    <row r="181" spans="1:12" ht="15.4">
      <c r="A181" s="2"/>
      <c r="B181" s="2"/>
      <c r="C181" s="2"/>
      <c r="D181" s="2"/>
      <c r="E181" s="2"/>
      <c r="F181" s="32"/>
      <c r="G181" s="32"/>
      <c r="H181" s="2"/>
      <c r="I181" s="32"/>
      <c r="J181" s="2"/>
      <c r="K181" s="32"/>
      <c r="L181" s="2"/>
    </row>
    <row r="182" spans="1:12" ht="15.4">
      <c r="A182" s="2"/>
      <c r="B182" s="2"/>
      <c r="C182" s="2"/>
      <c r="D182" s="2"/>
      <c r="E182" s="2"/>
      <c r="F182" s="32"/>
      <c r="G182" s="32"/>
      <c r="H182" s="2"/>
      <c r="I182" s="32"/>
      <c r="J182" s="2"/>
      <c r="K182" s="32"/>
      <c r="L182" s="2"/>
    </row>
    <row r="183" spans="1:12" ht="15.4">
      <c r="A183" s="2"/>
      <c r="B183" s="2"/>
      <c r="C183" s="2"/>
      <c r="D183" s="2"/>
      <c r="E183" s="2"/>
      <c r="F183" s="32"/>
      <c r="G183" s="32"/>
      <c r="H183" s="2"/>
      <c r="I183" s="32"/>
      <c r="J183" s="2"/>
      <c r="K183" s="32"/>
      <c r="L183" s="2"/>
    </row>
    <row r="184" spans="1:12" ht="15.4">
      <c r="A184" s="2"/>
      <c r="B184" s="2"/>
      <c r="C184" s="2"/>
      <c r="D184" s="2"/>
      <c r="E184" s="2"/>
      <c r="F184" s="32"/>
      <c r="G184" s="32"/>
      <c r="H184" s="2"/>
      <c r="I184" s="32"/>
      <c r="J184" s="2"/>
      <c r="K184" s="32"/>
      <c r="L184" s="2"/>
    </row>
    <row r="185" spans="1:12" ht="15.4">
      <c r="A185" s="2"/>
      <c r="B185" s="2"/>
      <c r="C185" s="2"/>
      <c r="D185" s="2"/>
      <c r="E185" s="2"/>
      <c r="F185" s="32"/>
      <c r="G185" s="32"/>
      <c r="H185" s="2"/>
      <c r="I185" s="32"/>
      <c r="J185" s="2"/>
      <c r="K185" s="32"/>
      <c r="L185" s="2"/>
    </row>
    <row r="186" spans="1:12" ht="15.4">
      <c r="A186" s="2"/>
      <c r="B186" s="2"/>
      <c r="C186" s="2"/>
      <c r="D186" s="2"/>
      <c r="E186" s="2"/>
      <c r="F186" s="32"/>
      <c r="G186" s="32"/>
      <c r="H186" s="2"/>
      <c r="I186" s="32"/>
      <c r="J186" s="2"/>
      <c r="K186" s="32"/>
      <c r="L186" s="2"/>
    </row>
    <row r="187" spans="1:12" ht="15.4">
      <c r="A187" s="2"/>
      <c r="B187" s="2"/>
      <c r="C187" s="2"/>
      <c r="D187" s="2"/>
      <c r="E187" s="2"/>
      <c r="F187" s="32"/>
      <c r="G187" s="32"/>
      <c r="H187" s="2"/>
      <c r="I187" s="32"/>
      <c r="J187" s="2"/>
      <c r="K187" s="32"/>
      <c r="L187" s="2"/>
    </row>
    <row r="188" spans="1:12" ht="15.4">
      <c r="A188" s="2"/>
      <c r="B188" s="2"/>
      <c r="C188" s="2"/>
      <c r="D188" s="2"/>
      <c r="E188" s="2"/>
      <c r="F188" s="32"/>
      <c r="G188" s="32"/>
      <c r="H188" s="2"/>
      <c r="I188" s="32"/>
      <c r="J188" s="2"/>
      <c r="K188" s="32"/>
      <c r="L188" s="2"/>
    </row>
    <row r="189" spans="1:12" ht="15.4">
      <c r="A189" s="2"/>
      <c r="B189" s="2"/>
      <c r="C189" s="2"/>
      <c r="D189" s="2"/>
      <c r="E189" s="2"/>
      <c r="F189" s="32"/>
      <c r="G189" s="32"/>
      <c r="H189" s="2"/>
      <c r="I189" s="32"/>
      <c r="J189" s="2"/>
      <c r="K189" s="32"/>
      <c r="L189" s="2"/>
    </row>
    <row r="190" spans="1:12" ht="15.4">
      <c r="A190" s="2"/>
      <c r="B190" s="2"/>
      <c r="C190" s="2"/>
      <c r="D190" s="2"/>
      <c r="E190" s="2"/>
      <c r="F190" s="32"/>
      <c r="G190" s="32"/>
      <c r="H190" s="2"/>
      <c r="I190" s="32"/>
      <c r="J190" s="2"/>
      <c r="K190" s="32"/>
      <c r="L190" s="2"/>
    </row>
    <row r="191" spans="1:12" ht="15.4">
      <c r="A191" s="2"/>
      <c r="B191" s="2"/>
      <c r="C191" s="2"/>
      <c r="D191" s="2"/>
      <c r="E191" s="2"/>
      <c r="F191" s="32"/>
      <c r="G191" s="32"/>
      <c r="H191" s="2"/>
      <c r="I191" s="32"/>
      <c r="J191" s="2"/>
      <c r="K191" s="32"/>
      <c r="L191" s="2"/>
    </row>
    <row r="192" spans="1:12" ht="15.4">
      <c r="A192" s="2"/>
      <c r="B192" s="2"/>
      <c r="C192" s="2"/>
      <c r="D192" s="2"/>
      <c r="E192" s="2"/>
      <c r="F192" s="32"/>
      <c r="G192" s="32"/>
      <c r="H192" s="2"/>
      <c r="I192" s="32"/>
      <c r="J192" s="2"/>
      <c r="K192" s="32"/>
      <c r="L192" s="2"/>
    </row>
    <row r="193" spans="1:12" ht="15.4">
      <c r="A193" s="2"/>
      <c r="B193" s="2"/>
      <c r="C193" s="2"/>
      <c r="D193" s="2"/>
      <c r="E193" s="2"/>
      <c r="F193" s="32"/>
      <c r="G193" s="32"/>
      <c r="H193" s="2"/>
      <c r="I193" s="32"/>
      <c r="J193" s="2"/>
      <c r="K193" s="32"/>
      <c r="L193" s="2"/>
    </row>
    <row r="194" spans="1:12" ht="15.4">
      <c r="A194" s="2"/>
      <c r="B194" s="2"/>
      <c r="C194" s="2"/>
      <c r="D194" s="2"/>
      <c r="E194" s="2"/>
      <c r="F194" s="32"/>
      <c r="G194" s="32"/>
      <c r="H194" s="2"/>
      <c r="I194" s="32"/>
      <c r="J194" s="2"/>
      <c r="K194" s="32"/>
      <c r="L194" s="2"/>
    </row>
    <row r="195" spans="1:12" ht="15.4">
      <c r="A195" s="2"/>
      <c r="B195" s="2"/>
      <c r="C195" s="2"/>
      <c r="D195" s="2"/>
      <c r="E195" s="2"/>
      <c r="F195" s="32"/>
      <c r="G195" s="32"/>
      <c r="H195" s="2"/>
      <c r="I195" s="32"/>
      <c r="J195" s="2"/>
      <c r="K195" s="32"/>
      <c r="L195" s="2"/>
    </row>
    <row r="196" spans="1:12" ht="15.4">
      <c r="A196" s="2"/>
      <c r="B196" s="2"/>
      <c r="C196" s="2"/>
      <c r="D196" s="2"/>
      <c r="E196" s="2"/>
      <c r="F196" s="32"/>
      <c r="G196" s="32"/>
      <c r="H196" s="2"/>
      <c r="I196" s="32"/>
      <c r="J196" s="2"/>
      <c r="K196" s="32"/>
      <c r="L196" s="2"/>
    </row>
    <row r="197" spans="1:12" ht="15.4">
      <c r="A197" s="2"/>
      <c r="B197" s="2"/>
      <c r="C197" s="2"/>
      <c r="D197" s="2"/>
      <c r="E197" s="2"/>
      <c r="F197" s="32"/>
      <c r="G197" s="32"/>
      <c r="H197" s="2"/>
      <c r="I197" s="32"/>
      <c r="J197" s="2"/>
      <c r="K197" s="32"/>
      <c r="L197" s="2"/>
    </row>
    <row r="198" spans="1:12" ht="15.4">
      <c r="A198" s="2"/>
      <c r="B198" s="2"/>
      <c r="C198" s="2"/>
      <c r="D198" s="2"/>
      <c r="E198" s="2"/>
      <c r="F198" s="32"/>
      <c r="G198" s="32"/>
      <c r="H198" s="2"/>
      <c r="I198" s="32"/>
      <c r="J198" s="2"/>
      <c r="K198" s="32"/>
      <c r="L198" s="2"/>
    </row>
    <row r="199" spans="1:12" ht="15.4">
      <c r="A199" s="2"/>
      <c r="B199" s="2"/>
      <c r="C199" s="2"/>
      <c r="D199" s="2"/>
      <c r="E199" s="2"/>
      <c r="F199" s="32"/>
      <c r="G199" s="32"/>
      <c r="H199" s="2"/>
      <c r="I199" s="32"/>
      <c r="J199" s="2"/>
      <c r="K199" s="32"/>
      <c r="L199" s="2"/>
    </row>
    <row r="200" spans="1:12" ht="15.4">
      <c r="A200" s="2"/>
      <c r="B200" s="2"/>
      <c r="C200" s="2"/>
      <c r="D200" s="2"/>
      <c r="E200" s="2"/>
      <c r="F200" s="32"/>
      <c r="G200" s="32"/>
      <c r="H200" s="2"/>
      <c r="I200" s="32"/>
      <c r="J200" s="2"/>
      <c r="K200" s="32"/>
      <c r="L200" s="2"/>
    </row>
    <row r="201" spans="1:12" ht="15.4">
      <c r="A201" s="2"/>
      <c r="B201" s="2"/>
      <c r="C201" s="2"/>
      <c r="D201" s="2"/>
      <c r="E201" s="2"/>
      <c r="F201" s="32"/>
      <c r="G201" s="32"/>
      <c r="H201" s="2"/>
      <c r="I201" s="32"/>
      <c r="J201" s="2"/>
      <c r="K201" s="32"/>
      <c r="L201" s="2"/>
    </row>
    <row r="202" spans="1:12" ht="15.4">
      <c r="A202" s="2"/>
      <c r="B202" s="2"/>
      <c r="C202" s="2"/>
      <c r="D202" s="2"/>
      <c r="E202" s="2"/>
      <c r="F202" s="32"/>
      <c r="G202" s="32"/>
      <c r="H202" s="2"/>
      <c r="I202" s="32"/>
      <c r="J202" s="2"/>
      <c r="K202" s="32"/>
      <c r="L202" s="2"/>
    </row>
    <row r="203" spans="1:12" ht="15.4">
      <c r="A203" s="2"/>
      <c r="B203" s="2"/>
      <c r="C203" s="2"/>
      <c r="D203" s="2"/>
      <c r="E203" s="2"/>
      <c r="F203" s="32"/>
      <c r="G203" s="32"/>
      <c r="H203" s="2"/>
      <c r="I203" s="32"/>
      <c r="J203" s="2"/>
      <c r="K203" s="32"/>
      <c r="L203" s="2"/>
    </row>
    <row r="204" spans="1:12" ht="15.4">
      <c r="A204" s="2"/>
      <c r="B204" s="2"/>
      <c r="C204" s="2"/>
      <c r="D204" s="2"/>
      <c r="E204" s="2"/>
      <c r="F204" s="32"/>
      <c r="G204" s="32"/>
      <c r="H204" s="2"/>
      <c r="I204" s="32"/>
      <c r="J204" s="2"/>
      <c r="K204" s="32"/>
      <c r="L204" s="2"/>
    </row>
    <row r="205" spans="1:12" ht="15.4">
      <c r="A205" s="2"/>
      <c r="B205" s="2"/>
      <c r="C205" s="2"/>
      <c r="D205" s="2"/>
      <c r="E205" s="2"/>
      <c r="F205" s="32"/>
      <c r="G205" s="32"/>
      <c r="H205" s="2"/>
      <c r="I205" s="32"/>
      <c r="J205" s="2"/>
      <c r="K205" s="32"/>
      <c r="L205" s="2"/>
    </row>
    <row r="206" spans="1:12" ht="15.4">
      <c r="A206" s="2"/>
      <c r="B206" s="2"/>
      <c r="C206" s="2"/>
      <c r="D206" s="2"/>
      <c r="E206" s="2"/>
      <c r="F206" s="32"/>
      <c r="G206" s="32"/>
      <c r="H206" s="2"/>
      <c r="I206" s="32"/>
      <c r="J206" s="2"/>
      <c r="K206" s="32"/>
      <c r="L206" s="2"/>
    </row>
    <row r="207" spans="1:12" ht="15.4">
      <c r="A207" s="2"/>
      <c r="B207" s="2"/>
      <c r="C207" s="2"/>
      <c r="D207" s="2"/>
      <c r="E207" s="2"/>
      <c r="F207" s="32"/>
      <c r="G207" s="32"/>
      <c r="H207" s="2"/>
      <c r="I207" s="32"/>
      <c r="J207" s="2"/>
      <c r="K207" s="32"/>
      <c r="L207" s="2"/>
    </row>
    <row r="208" spans="1:12" ht="15.4">
      <c r="A208" s="2"/>
      <c r="B208" s="2"/>
      <c r="C208" s="2"/>
      <c r="D208" s="2"/>
      <c r="E208" s="2"/>
      <c r="F208" s="32"/>
      <c r="G208" s="32"/>
      <c r="H208" s="2"/>
      <c r="I208" s="32"/>
      <c r="J208" s="2"/>
      <c r="K208" s="32"/>
      <c r="L208" s="2"/>
    </row>
    <row r="209" spans="1:12" ht="15.4">
      <c r="A209" s="2"/>
      <c r="B209" s="2"/>
      <c r="C209" s="2"/>
      <c r="D209" s="2"/>
      <c r="E209" s="2"/>
      <c r="F209" s="32"/>
      <c r="G209" s="32"/>
      <c r="H209" s="2"/>
      <c r="I209" s="32"/>
      <c r="J209" s="2"/>
      <c r="K209" s="32"/>
      <c r="L209" s="2"/>
    </row>
    <row r="210" spans="1:12" ht="15.4">
      <c r="A210" s="2"/>
      <c r="B210" s="2"/>
      <c r="C210" s="2"/>
      <c r="D210" s="2"/>
      <c r="E210" s="2"/>
      <c r="F210" s="32"/>
      <c r="G210" s="32"/>
      <c r="H210" s="2"/>
      <c r="I210" s="32"/>
      <c r="J210" s="2"/>
      <c r="K210" s="32"/>
      <c r="L210" s="2"/>
    </row>
    <row r="211" spans="1:12" ht="15.4">
      <c r="A211" s="2"/>
      <c r="B211" s="2"/>
      <c r="C211" s="2"/>
      <c r="D211" s="2"/>
      <c r="E211" s="2"/>
      <c r="F211" s="32"/>
      <c r="G211" s="32"/>
      <c r="H211" s="2"/>
      <c r="I211" s="32"/>
      <c r="J211" s="2"/>
      <c r="K211" s="32"/>
      <c r="L211" s="2"/>
    </row>
    <row r="212" spans="1:12" ht="15.4">
      <c r="A212" s="2"/>
      <c r="B212" s="2"/>
      <c r="C212" s="2"/>
      <c r="D212" s="2"/>
      <c r="E212" s="2"/>
      <c r="F212" s="32"/>
      <c r="G212" s="32"/>
      <c r="H212" s="2"/>
      <c r="I212" s="32"/>
      <c r="J212" s="2"/>
      <c r="K212" s="32"/>
      <c r="L212" s="2"/>
    </row>
    <row r="213" spans="1:12" ht="15.4">
      <c r="A213" s="2"/>
      <c r="B213" s="2"/>
      <c r="C213" s="2"/>
      <c r="D213" s="2"/>
      <c r="E213" s="2"/>
      <c r="F213" s="32"/>
      <c r="G213" s="32"/>
    </row>
    <row r="214" spans="1:12" ht="15.4">
      <c r="A214" s="2"/>
      <c r="B214" s="2"/>
      <c r="C214" s="2"/>
      <c r="D214" s="2"/>
      <c r="E214" s="2"/>
      <c r="F214" s="32"/>
      <c r="G214" s="32"/>
    </row>
    <row r="215" spans="1:12" ht="15.4">
      <c r="A215" s="2"/>
      <c r="B215" s="2"/>
      <c r="C215" s="2"/>
      <c r="D215" s="2"/>
      <c r="E215" s="2"/>
      <c r="F215" s="32"/>
      <c r="G215" s="32"/>
    </row>
    <row r="216" spans="1:12" ht="15.4">
      <c r="A216" s="2"/>
      <c r="B216" s="2"/>
      <c r="C216" s="2"/>
      <c r="D216" s="2"/>
      <c r="E216" s="2"/>
      <c r="F216" s="32"/>
      <c r="G216" s="32"/>
    </row>
    <row r="217" spans="1:12" ht="15.4">
      <c r="A217" s="2"/>
      <c r="B217" s="2"/>
      <c r="C217" s="2"/>
      <c r="D217" s="2"/>
      <c r="E217" s="2"/>
      <c r="F217" s="32"/>
      <c r="G217" s="32"/>
    </row>
    <row r="218" spans="1:12" ht="15.4">
      <c r="A218" s="2"/>
      <c r="B218" s="2"/>
      <c r="C218" s="2"/>
      <c r="D218" s="2"/>
      <c r="E218" s="2"/>
      <c r="F218" s="32"/>
      <c r="G218" s="32"/>
    </row>
    <row r="219" spans="1:12" ht="15.4">
      <c r="A219" s="2"/>
      <c r="B219" s="2"/>
      <c r="C219" s="2"/>
      <c r="D219" s="2"/>
      <c r="E219" s="2"/>
      <c r="F219" s="32"/>
      <c r="G219" s="32"/>
    </row>
    <row r="220" spans="1:12" ht="15.4">
      <c r="A220" s="2"/>
      <c r="B220" s="2"/>
      <c r="C220" s="2"/>
      <c r="D220" s="2"/>
      <c r="E220" s="2"/>
      <c r="F220" s="32"/>
      <c r="G220" s="32"/>
    </row>
    <row r="221" spans="1:12" ht="15.4">
      <c r="A221" s="2"/>
      <c r="B221" s="2"/>
      <c r="C221" s="2"/>
      <c r="D221" s="2"/>
      <c r="E221" s="2"/>
      <c r="F221" s="32"/>
      <c r="G221" s="32"/>
    </row>
    <row r="222" spans="1:12" ht="15.4">
      <c r="A222" s="2"/>
      <c r="B222" s="2"/>
      <c r="C222" s="2"/>
      <c r="D222" s="2"/>
      <c r="E222" s="2"/>
      <c r="F222" s="32"/>
      <c r="G222" s="32"/>
    </row>
    <row r="223" spans="1:12" ht="15.4">
      <c r="A223" s="2"/>
      <c r="B223" s="2"/>
      <c r="C223" s="2"/>
      <c r="D223" s="2"/>
      <c r="E223" s="2"/>
      <c r="F223" s="32"/>
      <c r="G223" s="32"/>
    </row>
    <row r="224" spans="1:12" ht="15.4">
      <c r="A224" s="2"/>
      <c r="B224" s="2"/>
      <c r="C224" s="2"/>
      <c r="D224" s="2"/>
      <c r="E224" s="2"/>
      <c r="F224" s="32"/>
      <c r="G224" s="32"/>
    </row>
    <row r="225" spans="1:7" ht="15.4">
      <c r="A225" s="2"/>
      <c r="B225" s="2"/>
      <c r="C225" s="2"/>
      <c r="D225" s="2"/>
      <c r="E225" s="2"/>
      <c r="F225" s="32"/>
      <c r="G225" s="32"/>
    </row>
    <row r="226" spans="1:7" ht="15.4">
      <c r="A226" s="2"/>
      <c r="B226" s="2"/>
      <c r="C226" s="2"/>
      <c r="D226" s="2"/>
      <c r="E226" s="2"/>
      <c r="F226" s="32"/>
      <c r="G226" s="32"/>
    </row>
    <row r="227" spans="1:7" ht="15.4">
      <c r="A227" s="2"/>
      <c r="B227" s="2"/>
      <c r="C227" s="2"/>
      <c r="D227" s="2"/>
      <c r="E227" s="2"/>
      <c r="F227" s="32"/>
      <c r="G227" s="32"/>
    </row>
    <row r="228" spans="1:7" ht="15.4">
      <c r="A228" s="2"/>
      <c r="B228" s="2"/>
      <c r="C228" s="2"/>
      <c r="D228" s="2"/>
      <c r="E228" s="2"/>
      <c r="F228" s="32"/>
      <c r="G228" s="32"/>
    </row>
    <row r="229" spans="1:7" ht="15.4">
      <c r="A229" s="2"/>
      <c r="B229" s="2"/>
      <c r="C229" s="2"/>
      <c r="D229" s="2"/>
      <c r="E229" s="2"/>
      <c r="F229" s="32"/>
      <c r="G229" s="32"/>
    </row>
    <row r="230" spans="1:7" ht="15.4">
      <c r="A230" s="2"/>
      <c r="B230" s="2"/>
      <c r="C230" s="2"/>
      <c r="D230" s="2"/>
      <c r="E230" s="2"/>
      <c r="F230" s="32"/>
      <c r="G230" s="32"/>
    </row>
    <row r="231" spans="1:7" ht="15.4">
      <c r="A231" s="2"/>
      <c r="B231" s="2"/>
      <c r="C231" s="2"/>
      <c r="D231" s="2"/>
      <c r="E231" s="2"/>
      <c r="F231" s="32"/>
      <c r="G231" s="32"/>
    </row>
    <row r="232" spans="1:7" ht="15.4">
      <c r="A232" s="2"/>
      <c r="B232" s="2"/>
      <c r="C232" s="2"/>
      <c r="D232" s="2"/>
      <c r="E232" s="2"/>
      <c r="F232" s="32"/>
      <c r="G232" s="32"/>
    </row>
    <row r="233" spans="1:7" ht="15.4">
      <c r="A233" s="2"/>
      <c r="B233" s="2"/>
      <c r="C233" s="2"/>
      <c r="D233" s="2"/>
      <c r="E233" s="2"/>
      <c r="F233" s="32"/>
      <c r="G233" s="32"/>
    </row>
    <row r="234" spans="1:7" ht="15.4">
      <c r="A234" s="2"/>
      <c r="B234" s="2"/>
      <c r="C234" s="2"/>
      <c r="D234" s="2"/>
      <c r="E234" s="2"/>
      <c r="F234" s="32"/>
      <c r="G234" s="32"/>
    </row>
    <row r="235" spans="1:7" ht="15.4">
      <c r="A235" s="2"/>
      <c r="B235" s="2"/>
      <c r="C235" s="2"/>
      <c r="D235" s="2"/>
      <c r="E235" s="2"/>
      <c r="F235" s="32"/>
      <c r="G235" s="32"/>
    </row>
    <row r="236" spans="1:7" ht="15.4">
      <c r="A236" s="2"/>
      <c r="B236" s="2"/>
      <c r="C236" s="2"/>
      <c r="D236" s="2"/>
      <c r="E236" s="2"/>
      <c r="F236" s="32"/>
      <c r="G236" s="32"/>
    </row>
    <row r="237" spans="1:7" ht="15.4">
      <c r="A237" s="2"/>
      <c r="B237" s="2"/>
      <c r="C237" s="2"/>
      <c r="D237" s="2"/>
      <c r="E237" s="2"/>
      <c r="F237" s="32"/>
      <c r="G237" s="32"/>
    </row>
    <row r="238" spans="1:7" ht="15.4">
      <c r="A238" s="2"/>
      <c r="B238" s="2"/>
      <c r="C238" s="2"/>
      <c r="D238" s="2"/>
      <c r="E238" s="2"/>
      <c r="F238" s="32"/>
      <c r="G238" s="32"/>
    </row>
    <row r="239" spans="1:7" ht="15.4">
      <c r="A239" s="2"/>
      <c r="B239" s="2"/>
      <c r="C239" s="2"/>
      <c r="D239" s="2"/>
      <c r="E239" s="2"/>
      <c r="F239" s="32"/>
      <c r="G239" s="32"/>
    </row>
    <row r="240" spans="1:7" ht="15.4">
      <c r="A240" s="2"/>
      <c r="B240" s="2"/>
      <c r="C240" s="2"/>
      <c r="D240" s="2"/>
      <c r="E240" s="2"/>
      <c r="F240" s="32"/>
      <c r="G240" s="32"/>
    </row>
  </sheetData>
  <sheetProtection algorithmName="SHA-512" hashValue="msbHJySqriD3rSqrbJRjJlXbGv6uGCwZ9mO5qO8108D/d2RuHjqVp/9TdpCYxL7xs1bTiTexo+lNRu0W1oJ8jQ==" saltValue="7SOK26+0Pg7b1cn3eFXrVw==" spinCount="100000" sheet="1" objects="1" scenarios="1"/>
  <mergeCells count="60">
    <mergeCell ref="F90:J90"/>
    <mergeCell ref="C82:D82"/>
    <mergeCell ref="C79:D79"/>
    <mergeCell ref="C80:D80"/>
    <mergeCell ref="A8:C8"/>
    <mergeCell ref="A28:C28"/>
    <mergeCell ref="F28:I28"/>
    <mergeCell ref="F49:I49"/>
    <mergeCell ref="F59:I59"/>
    <mergeCell ref="C83:D83"/>
    <mergeCell ref="F11:I11"/>
    <mergeCell ref="F12:I12"/>
    <mergeCell ref="F27:I27"/>
    <mergeCell ref="C78:D78"/>
    <mergeCell ref="C77:D77"/>
    <mergeCell ref="F74:J74"/>
    <mergeCell ref="C118:D118"/>
    <mergeCell ref="C108:D108"/>
    <mergeCell ref="C109:D109"/>
    <mergeCell ref="C110:D110"/>
    <mergeCell ref="C114:D114"/>
    <mergeCell ref="C116:D116"/>
    <mergeCell ref="C93:D93"/>
    <mergeCell ref="C96:D96"/>
    <mergeCell ref="C113:D113"/>
    <mergeCell ref="C117:D117"/>
    <mergeCell ref="C98:D98"/>
    <mergeCell ref="C101:D101"/>
    <mergeCell ref="C100:D100"/>
    <mergeCell ref="C112:D112"/>
    <mergeCell ref="C99:D99"/>
    <mergeCell ref="C115:D115"/>
    <mergeCell ref="F111:J111"/>
    <mergeCell ref="C106:D106"/>
    <mergeCell ref="C107:D107"/>
    <mergeCell ref="C94:D94"/>
    <mergeCell ref="C95:D95"/>
    <mergeCell ref="C102:D102"/>
    <mergeCell ref="C103:D103"/>
    <mergeCell ref="C104:D104"/>
    <mergeCell ref="C105:D105"/>
    <mergeCell ref="C97:D97"/>
    <mergeCell ref="A1:C1"/>
    <mergeCell ref="A3:C3"/>
    <mergeCell ref="C91:D91"/>
    <mergeCell ref="C92:D92"/>
    <mergeCell ref="C81:D81"/>
    <mergeCell ref="C84:D84"/>
    <mergeCell ref="C85:D85"/>
    <mergeCell ref="A47:D47"/>
    <mergeCell ref="A2:C2"/>
    <mergeCell ref="B52:D52"/>
    <mergeCell ref="F48:I48"/>
    <mergeCell ref="C75:J75"/>
    <mergeCell ref="C76:D76"/>
    <mergeCell ref="F39:I39"/>
    <mergeCell ref="F41:I41"/>
    <mergeCell ref="F42:I42"/>
    <mergeCell ref="A40:D40"/>
    <mergeCell ref="B45:D45"/>
  </mergeCells>
  <phoneticPr fontId="5" type="noConversion"/>
  <conditionalFormatting sqref="A1:A3 D2:D3">
    <cfRule type="containsText" dxfId="151" priority="1" stopIfTrue="1" operator="containsText" text="Enter">
      <formula>NOT(ISERROR(SEARCH("Enter",A1)))</formula>
    </cfRule>
  </conditionalFormatting>
  <printOptions horizontalCentered="1"/>
  <pageMargins left="0.25" right="0.25" top="0.5" bottom="0.5" header="0.5" footer="0.5"/>
  <pageSetup scale="65" fitToHeight="0" orientation="landscape" horizontalDpi="200" verticalDpi="200" r:id="rId1"/>
  <headerFooter alignWithMargins="0">
    <oddHeader>&amp;RPage &amp;P of &amp;N</oddHeader>
  </headerFooter>
  <rowBreaks count="2" manualBreakCount="2">
    <brk id="47" max="16383" man="1"/>
    <brk id="7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theme="4"/>
  </sheetPr>
  <dimension ref="A1:M269"/>
  <sheetViews>
    <sheetView showGridLines="0" zoomScaleNormal="100" zoomScaleSheetLayoutView="100" workbookViewId="0">
      <pane xSplit="4" ySplit="10" topLeftCell="E11" activePane="bottomRight" state="frozen"/>
      <selection activeCell="J13" sqref="J13"/>
      <selection pane="topRight" activeCell="J13" sqref="J13"/>
      <selection pane="bottomLeft" activeCell="J13" sqref="J13"/>
      <selection pane="bottomRight" activeCell="M54" sqref="M54"/>
    </sheetView>
  </sheetViews>
  <sheetFormatPr defaultRowHeight="12.75"/>
  <cols>
    <col min="1" max="1" width="5.46484375" customWidth="1"/>
    <col min="2" max="2" width="3.86328125" customWidth="1"/>
    <col min="3" max="3" width="85.1328125" customWidth="1"/>
    <col min="4" max="4" width="11" customWidth="1"/>
    <col min="5" max="7" width="14.53125" customWidth="1"/>
    <col min="8" max="8" width="10.53125" customWidth="1"/>
    <col min="9" max="9" width="14.53125" customWidth="1"/>
    <col min="10" max="10" width="10.53125" customWidth="1"/>
    <col min="11" max="11" width="14.53125" customWidth="1"/>
    <col min="12" max="12" width="10.53125" customWidth="1"/>
    <col min="13" max="13" width="63.86328125" style="1177" customWidth="1"/>
    <col min="14" max="32" width="9.1328125" customWidth="1"/>
  </cols>
  <sheetData>
    <row r="1" spans="1:12" ht="15">
      <c r="A1" s="1664" t="str">
        <f>IF('INTERIM-CERTIFICATION'!$M$1="","CHARTER NAME: Enter Charter Name on INTERIM-CERTIFICATION Worksheet",(CONCATENATE("CHARTER NAME: ",'INTERIM-CERTIFICATION'!$M$1)))</f>
        <v>CHARTER NAME: Encor Jr./Sr. High School for the Performing and Visual Arts</v>
      </c>
      <c r="B1" s="1664"/>
      <c r="C1" s="1664"/>
      <c r="D1" s="205"/>
      <c r="E1" s="12"/>
      <c r="F1" s="156"/>
      <c r="G1" s="155"/>
      <c r="H1" s="1"/>
      <c r="I1" s="157"/>
      <c r="J1" s="1"/>
      <c r="K1" s="157"/>
      <c r="L1" s="1"/>
    </row>
    <row r="2" spans="1:12" ht="15">
      <c r="A2" s="1664" t="str">
        <f>IF('INTERIM-CERTIFICATION'!$M$2="","CDS #: Enter Charter CDS # on INTERIM-CERTIFICATION Worksheet",(_xlfn.CONCAT("CDS #: ",'INTERIM-CERTIFICATION'!$M$2)))</f>
        <v>CDS #: 35-75044-01166707</v>
      </c>
      <c r="B2" s="1664"/>
      <c r="C2" s="1664"/>
      <c r="D2" s="205"/>
      <c r="E2" s="12"/>
      <c r="F2" s="156"/>
      <c r="G2" s="156"/>
      <c r="H2" s="1"/>
      <c r="I2" s="157"/>
      <c r="J2" s="1"/>
      <c r="K2" s="157"/>
      <c r="L2" s="1"/>
    </row>
    <row r="3" spans="1:12" ht="15">
      <c r="A3" s="1664" t="str">
        <f>IF('INTERIM-CERTIFICATION'!$M$5="","CHARTER #: Enter Charter # on INTERIM-CERTIFICATION Worksheet",(_xlfn.CONCAT("CHARTER #: ",'INTERIM-CERTIFICATION'!$M$5)))</f>
        <v>CHARTER #: 0971</v>
      </c>
      <c r="B3" s="1664"/>
      <c r="C3" s="1664"/>
      <c r="D3" s="205"/>
      <c r="E3" s="12"/>
      <c r="F3" s="155"/>
      <c r="G3" s="155"/>
      <c r="H3" s="1"/>
      <c r="I3" s="157"/>
      <c r="J3" s="1"/>
      <c r="K3" s="157"/>
      <c r="L3" s="1"/>
    </row>
    <row r="4" spans="1:12" ht="15.4">
      <c r="A4" s="2"/>
      <c r="B4" s="52"/>
      <c r="C4" s="52"/>
      <c r="D4" s="158" t="str">
        <f>'1st Interim-ADA'!J4</f>
        <v>Fiscal Year 2024-25 First Interim Report</v>
      </c>
      <c r="E4" s="52"/>
      <c r="F4" s="52"/>
      <c r="G4" s="52"/>
      <c r="H4" s="52"/>
      <c r="I4" s="52"/>
      <c r="J4" s="52"/>
      <c r="K4" s="52"/>
      <c r="L4" s="52"/>
    </row>
    <row r="5" spans="1:12" ht="15">
      <c r="A5" s="12"/>
      <c r="B5" s="12"/>
      <c r="C5" s="52"/>
      <c r="D5" s="158" t="s">
        <v>206</v>
      </c>
      <c r="E5" s="52"/>
      <c r="F5" s="159"/>
      <c r="G5" s="159"/>
      <c r="H5" s="1"/>
      <c r="I5" s="160"/>
      <c r="J5" s="1"/>
      <c r="K5" s="160"/>
      <c r="L5" s="1"/>
    </row>
    <row r="6" spans="1:12" ht="15.4" thickBot="1">
      <c r="A6" s="1561" t="str">
        <f>Instructions!H1</f>
        <v>Form Revised (revision date here if revised)</v>
      </c>
      <c r="B6" s="12"/>
      <c r="C6" s="12"/>
      <c r="D6" s="12"/>
      <c r="E6" s="12"/>
      <c r="F6" s="155"/>
      <c r="G6" s="155"/>
      <c r="H6" s="1"/>
      <c r="I6" s="157"/>
      <c r="J6" s="1"/>
      <c r="K6" s="157"/>
      <c r="L6" s="1"/>
    </row>
    <row r="7" spans="1:12" ht="15">
      <c r="A7" s="238"/>
      <c r="B7" s="233"/>
      <c r="C7" s="233"/>
      <c r="D7" s="295"/>
      <c r="E7" s="296"/>
      <c r="F7" s="297" t="s">
        <v>165</v>
      </c>
      <c r="G7" s="297" t="str">
        <f>$F$7</f>
        <v>First Interim</v>
      </c>
      <c r="H7" s="296"/>
      <c r="I7" s="298" t="str">
        <f>$F$7</f>
        <v>First Interim</v>
      </c>
      <c r="J7" s="296"/>
      <c r="K7" s="298" t="str">
        <f>$F$7</f>
        <v>First Interim</v>
      </c>
      <c r="L7" s="457"/>
    </row>
    <row r="8" spans="1:12" ht="15">
      <c r="A8" s="1775" t="s">
        <v>21</v>
      </c>
      <c r="B8" s="1776"/>
      <c r="C8" s="1776"/>
      <c r="D8" s="53"/>
      <c r="E8" s="14" t="s">
        <v>17</v>
      </c>
      <c r="F8" s="450" t="s">
        <v>61</v>
      </c>
      <c r="G8" s="161" t="s">
        <v>19</v>
      </c>
      <c r="H8" s="14" t="s">
        <v>18</v>
      </c>
      <c r="I8" s="299" t="s">
        <v>19</v>
      </c>
      <c r="J8" s="14" t="s">
        <v>18</v>
      </c>
      <c r="K8" s="299" t="s">
        <v>19</v>
      </c>
      <c r="L8" s="458" t="s">
        <v>18</v>
      </c>
    </row>
    <row r="9" spans="1:12" ht="15">
      <c r="A9" s="67"/>
      <c r="B9" s="1"/>
      <c r="C9" s="1"/>
      <c r="D9" s="53"/>
      <c r="E9" s="14" t="s">
        <v>16</v>
      </c>
      <c r="F9" s="161" t="s">
        <v>132</v>
      </c>
      <c r="G9" s="161" t="s">
        <v>16</v>
      </c>
      <c r="H9" s="14" t="s">
        <v>22</v>
      </c>
      <c r="I9" s="299" t="s">
        <v>16</v>
      </c>
      <c r="J9" s="14" t="s">
        <v>22</v>
      </c>
      <c r="K9" s="299" t="s">
        <v>16</v>
      </c>
      <c r="L9" s="458" t="s">
        <v>22</v>
      </c>
    </row>
    <row r="10" spans="1:12" ht="15.4" thickBot="1">
      <c r="A10" s="300"/>
      <c r="B10" s="162"/>
      <c r="C10" s="162"/>
      <c r="D10" s="54"/>
      <c r="E10" s="15" t="str">
        <f>'1st Interim-Unrestricted MYP'!E10</f>
        <v>2024-25</v>
      </c>
      <c r="F10" s="163" t="str">
        <f>'1st Interim-Unrestricted MYP'!F10</f>
        <v>2024</v>
      </c>
      <c r="G10" s="204" t="str">
        <f>E10</f>
        <v>2024-25</v>
      </c>
      <c r="H10" s="15"/>
      <c r="I10" s="301" t="str">
        <f>'1st Interim-Unrestricted MYP'!I10</f>
        <v>2025-26</v>
      </c>
      <c r="J10" s="15"/>
      <c r="K10" s="301" t="str">
        <f>'1st Interim-Unrestricted MYP'!K10</f>
        <v>2026-27</v>
      </c>
      <c r="L10" s="459"/>
    </row>
    <row r="11" spans="1:12" ht="15.4" thickTop="1">
      <c r="A11" s="302" t="s">
        <v>1</v>
      </c>
      <c r="B11" s="1"/>
      <c r="C11" s="1"/>
      <c r="D11" s="333"/>
      <c r="E11" s="13"/>
      <c r="F11" s="1863"/>
      <c r="G11" s="1863"/>
      <c r="H11" s="1863"/>
      <c r="I11" s="1863"/>
      <c r="J11" s="451"/>
      <c r="K11" s="451"/>
      <c r="L11" s="460"/>
    </row>
    <row r="12" spans="1:12" ht="15">
      <c r="A12" s="302"/>
      <c r="B12" s="274" t="s">
        <v>303</v>
      </c>
      <c r="C12" s="145"/>
      <c r="D12" s="139"/>
      <c r="E12" s="334"/>
      <c r="F12" s="1861"/>
      <c r="G12" s="1861"/>
      <c r="H12" s="1861"/>
      <c r="I12" s="1861"/>
      <c r="J12" s="150"/>
      <c r="K12" s="150"/>
      <c r="L12" s="461"/>
    </row>
    <row r="13" spans="1:12" ht="15">
      <c r="A13" s="302"/>
      <c r="B13" s="462"/>
      <c r="C13" s="463" t="s">
        <v>152</v>
      </c>
      <c r="D13" s="464">
        <v>8011</v>
      </c>
      <c r="E13" s="597"/>
      <c r="F13" s="571"/>
      <c r="G13" s="571"/>
      <c r="H13" s="480"/>
      <c r="I13" s="574"/>
      <c r="J13" s="480"/>
      <c r="K13" s="571"/>
      <c r="L13" s="466"/>
    </row>
    <row r="14" spans="1:12" ht="15">
      <c r="A14" s="302"/>
      <c r="B14" s="462"/>
      <c r="C14" s="463" t="s">
        <v>153</v>
      </c>
      <c r="D14" s="464">
        <v>8012</v>
      </c>
      <c r="E14" s="597"/>
      <c r="F14" s="571"/>
      <c r="G14" s="571"/>
      <c r="H14" s="598"/>
      <c r="I14" s="574"/>
      <c r="J14" s="601"/>
      <c r="K14" s="571"/>
      <c r="L14" s="491"/>
    </row>
    <row r="15" spans="1:12" ht="15">
      <c r="A15" s="67"/>
      <c r="B15" s="462"/>
      <c r="C15" s="463" t="s">
        <v>301</v>
      </c>
      <c r="D15" s="464">
        <v>8019</v>
      </c>
      <c r="E15" s="597"/>
      <c r="F15" s="571"/>
      <c r="G15" s="571"/>
      <c r="H15" s="599"/>
      <c r="I15" s="574"/>
      <c r="J15" s="480"/>
      <c r="K15" s="571"/>
      <c r="L15" s="466"/>
    </row>
    <row r="16" spans="1:12" ht="15">
      <c r="A16" s="67"/>
      <c r="B16" s="462"/>
      <c r="C16" s="463" t="s">
        <v>302</v>
      </c>
      <c r="D16" s="464">
        <v>8096</v>
      </c>
      <c r="E16" s="597"/>
      <c r="F16" s="571"/>
      <c r="G16" s="570"/>
      <c r="H16" s="600"/>
      <c r="I16" s="575"/>
      <c r="J16" s="601"/>
      <c r="K16" s="570"/>
      <c r="L16" s="491"/>
    </row>
    <row r="17" spans="1:12" ht="15">
      <c r="A17" s="67"/>
      <c r="B17" s="274" t="s">
        <v>304</v>
      </c>
      <c r="C17" s="274"/>
      <c r="D17" s="342" t="s">
        <v>99</v>
      </c>
      <c r="E17" s="684">
        <f>'Budget-Restricted MYP'!F17</f>
        <v>534301.255</v>
      </c>
      <c r="F17" s="744">
        <f>F114</f>
        <v>0</v>
      </c>
      <c r="G17" s="744">
        <f>G114</f>
        <v>0</v>
      </c>
      <c r="H17" s="268" t="str">
        <f>IF(E17&lt;1," ",IF(G17&lt;1," ",(G17-E17)/E17))</f>
        <v xml:space="preserve"> </v>
      </c>
      <c r="I17" s="287">
        <f>I114</f>
        <v>0</v>
      </c>
      <c r="J17" s="266" t="str">
        <f>IF(G17&lt;1," ",IF(I17&lt;1," ",(I17-G17)/G17))</f>
        <v xml:space="preserve"> </v>
      </c>
      <c r="K17" s="744">
        <f>K114</f>
        <v>0</v>
      </c>
      <c r="L17" s="303" t="str">
        <f>IF(I17&lt;1," ",IF(K17&lt;1," ",(K17-I17)/I17))</f>
        <v xml:space="preserve"> </v>
      </c>
    </row>
    <row r="18" spans="1:12" ht="15">
      <c r="A18" s="67"/>
      <c r="B18" s="145" t="s">
        <v>305</v>
      </c>
      <c r="C18" s="139"/>
      <c r="D18" s="139"/>
      <c r="E18" s="567"/>
      <c r="F18" s="569"/>
      <c r="G18" s="569"/>
      <c r="H18" s="573"/>
      <c r="I18" s="569"/>
      <c r="J18" s="573"/>
      <c r="K18" s="569"/>
      <c r="L18" s="488"/>
    </row>
    <row r="19" spans="1:12" ht="15">
      <c r="A19" s="67"/>
      <c r="B19" s="462"/>
      <c r="C19" s="463" t="s">
        <v>306</v>
      </c>
      <c r="D19" s="464">
        <v>8560</v>
      </c>
      <c r="E19" s="570"/>
      <c r="F19" s="570"/>
      <c r="G19" s="570"/>
      <c r="H19" s="480"/>
      <c r="I19" s="575"/>
      <c r="J19" s="480"/>
      <c r="K19" s="570"/>
      <c r="L19" s="466"/>
    </row>
    <row r="20" spans="1:12" ht="15">
      <c r="A20" s="67"/>
      <c r="B20" s="145"/>
      <c r="C20" s="276" t="s">
        <v>307</v>
      </c>
      <c r="D20" s="342">
        <v>8560</v>
      </c>
      <c r="E20" s="684">
        <f>'Budget-Restricted MYP'!F20</f>
        <v>37638.160559999997</v>
      </c>
      <c r="F20" s="772"/>
      <c r="G20" s="744" t="e">
        <f>G117</f>
        <v>#VALUE!</v>
      </c>
      <c r="H20" s="268" t="e">
        <f>IF(E20&lt;1," ",IF(G20&lt;1," ",(G20-E20)/E20))</f>
        <v>#VALUE!</v>
      </c>
      <c r="I20" s="287" t="e">
        <f>I117</f>
        <v>#VALUE!</v>
      </c>
      <c r="J20" s="266" t="e">
        <f>IF(G20&lt;1," ",IF(I20&lt;1," ",(I20-G20)/G20))</f>
        <v>#VALUE!</v>
      </c>
      <c r="K20" s="744" t="e">
        <f>K117</f>
        <v>#VALUE!</v>
      </c>
      <c r="L20" s="303" t="e">
        <f>IF(I20&lt;1," ",IF(K20&lt;1," ",(K20-I20)/I20))</f>
        <v>#VALUE!</v>
      </c>
    </row>
    <row r="21" spans="1:12" ht="15">
      <c r="A21" s="67"/>
      <c r="B21" s="145"/>
      <c r="C21" s="276" t="s">
        <v>308</v>
      </c>
      <c r="D21" s="342" t="s">
        <v>100</v>
      </c>
      <c r="E21" s="684">
        <f>'Budget-Restricted MYP'!F21</f>
        <v>1493612</v>
      </c>
      <c r="F21" s="744">
        <f>F138</f>
        <v>0</v>
      </c>
      <c r="G21" s="744">
        <f>G138</f>
        <v>0</v>
      </c>
      <c r="H21" s="268" t="str">
        <f>IF(E21&lt;1," ",IF(G21&lt;1," ",(G21-E21)/E21))</f>
        <v xml:space="preserve"> </v>
      </c>
      <c r="I21" s="287">
        <f>I138</f>
        <v>0</v>
      </c>
      <c r="J21" s="266" t="str">
        <f>IF(G21&lt;1," ",IF(I21&lt;1," ",(I21-G21)/G21))</f>
        <v xml:space="preserve"> </v>
      </c>
      <c r="K21" s="744">
        <f>K138</f>
        <v>0</v>
      </c>
      <c r="L21" s="303" t="str">
        <f>IF(I21&lt;1," ",IF(K21&lt;1," ",(K21-I21)/I21))</f>
        <v xml:space="preserve"> </v>
      </c>
    </row>
    <row r="22" spans="1:12" ht="15">
      <c r="A22" s="67"/>
      <c r="B22" s="145" t="s">
        <v>309</v>
      </c>
      <c r="C22" s="139"/>
      <c r="D22" s="139"/>
      <c r="E22" s="567"/>
      <c r="F22" s="569"/>
      <c r="G22" s="569"/>
      <c r="H22" s="573"/>
      <c r="I22" s="569"/>
      <c r="J22" s="573"/>
      <c r="K22" s="569"/>
      <c r="L22" s="488"/>
    </row>
    <row r="23" spans="1:12" ht="15">
      <c r="A23" s="67"/>
      <c r="B23" s="145"/>
      <c r="C23" s="276" t="s">
        <v>236</v>
      </c>
      <c r="D23" s="342">
        <v>8660</v>
      </c>
      <c r="E23" s="684">
        <f>'Budget-Restricted MYP'!F23</f>
        <v>0</v>
      </c>
      <c r="F23" s="772"/>
      <c r="G23" s="772"/>
      <c r="H23" s="266" t="str">
        <f>IF(E23&lt;1," ",IF(G23&lt;1," ",(G23-E23)/E23))</f>
        <v xml:space="preserve"> </v>
      </c>
      <c r="I23" s="775"/>
      <c r="J23" s="266" t="str">
        <f>IF(G23&lt;1," ",IF(I23&lt;1," ",(I23-G23)/G23))</f>
        <v xml:space="preserve"> </v>
      </c>
      <c r="K23" s="772"/>
      <c r="L23" s="303" t="str">
        <f>IF(I23&lt;1," ",IF(K23&lt;1," ",(K23-I23)/I23))</f>
        <v xml:space="preserve"> </v>
      </c>
    </row>
    <row r="24" spans="1:12" ht="15">
      <c r="A24" s="67"/>
      <c r="B24" s="145"/>
      <c r="C24" s="276" t="s">
        <v>310</v>
      </c>
      <c r="D24" s="342">
        <v>8792</v>
      </c>
      <c r="E24" s="684">
        <f>'Budget-Restricted MYP'!F24</f>
        <v>0</v>
      </c>
      <c r="F24" s="772"/>
      <c r="G24" s="772"/>
      <c r="H24" s="266" t="str">
        <f>IF(E24&lt;1," ",IF(G24&lt;1," ",(G24-E24)/E24))</f>
        <v xml:space="preserve"> </v>
      </c>
      <c r="I24" s="775"/>
      <c r="J24" s="266" t="str">
        <f>IF(G24&lt;1," ",IF(I24&lt;1," ",(I24-G24)/G24))</f>
        <v xml:space="preserve"> </v>
      </c>
      <c r="K24" s="772"/>
      <c r="L24" s="303" t="str">
        <f>IF(I24&lt;1," ",IF(K24&lt;1," ",(K24-I24)/I24))</f>
        <v xml:space="preserve"> </v>
      </c>
    </row>
    <row r="25" spans="1:12" ht="15.4" thickBot="1">
      <c r="A25" s="67"/>
      <c r="B25" s="883"/>
      <c r="C25" s="916" t="s">
        <v>311</v>
      </c>
      <c r="D25" s="917" t="s">
        <v>101</v>
      </c>
      <c r="E25" s="691">
        <f>'Budget-Restricted MYP'!F25</f>
        <v>0</v>
      </c>
      <c r="F25" s="786">
        <f>F147</f>
        <v>0</v>
      </c>
      <c r="G25" s="786">
        <f>G147</f>
        <v>0</v>
      </c>
      <c r="H25" s="293" t="str">
        <f>IF(E25&lt;1," ",IF(G25&lt;1," ",(G25-E25)/E25))</f>
        <v xml:space="preserve"> </v>
      </c>
      <c r="I25" s="935">
        <f>I147</f>
        <v>0</v>
      </c>
      <c r="J25" s="293" t="str">
        <f>IF(G25&lt;1," ",IF(I25&lt;1," ",(I25-G25)/G25))</f>
        <v xml:space="preserve"> </v>
      </c>
      <c r="K25" s="786">
        <f>K147</f>
        <v>0</v>
      </c>
      <c r="L25" s="578" t="str">
        <f>IF(I25&lt;1," ",IF(K25&lt;1," ",(K25-I25)/I25))</f>
        <v xml:space="preserve"> </v>
      </c>
    </row>
    <row r="26" spans="1:12" ht="15.75" thickTop="1" thickBot="1">
      <c r="A26" s="67"/>
      <c r="B26" s="896" t="s">
        <v>312</v>
      </c>
      <c r="C26" s="941"/>
      <c r="D26" s="915"/>
      <c r="E26" s="884">
        <f>'Budget-Restricted MYP'!F26</f>
        <v>2065551.4155600001</v>
      </c>
      <c r="F26" s="794">
        <f>SUM(F13:F25)</f>
        <v>0</v>
      </c>
      <c r="G26" s="794" t="e">
        <f>SUM(G13:G25)</f>
        <v>#VALUE!</v>
      </c>
      <c r="H26" s="576" t="e">
        <f>IF(E26&lt;1," ",IF(G26&lt;1," ",(G26-E26)/E26))</f>
        <v>#VALUE!</v>
      </c>
      <c r="I26" s="794" t="e">
        <f>SUM(I13:I25)</f>
        <v>#VALUE!</v>
      </c>
      <c r="J26" s="576" t="e">
        <f>IF(G26&lt;1," ",IF(I26&lt;1," ",(I26-G26)/G26))</f>
        <v>#VALUE!</v>
      </c>
      <c r="K26" s="794" t="e">
        <f>SUM(K13:K25)</f>
        <v>#VALUE!</v>
      </c>
      <c r="L26" s="579" t="e">
        <f>IF(I26&lt;1," ",IF(K26&lt;1," ",(K26-I26)/I26))</f>
        <v>#VALUE!</v>
      </c>
    </row>
    <row r="27" spans="1:12" ht="15.4" thickTop="1">
      <c r="A27" s="67"/>
      <c r="B27" s="1"/>
      <c r="C27" s="1"/>
      <c r="D27" s="1"/>
      <c r="E27" s="265"/>
      <c r="F27" s="1734"/>
      <c r="G27" s="1734"/>
      <c r="H27" s="1734"/>
      <c r="I27" s="1734"/>
      <c r="L27" s="467"/>
    </row>
    <row r="28" spans="1:12" ht="15">
      <c r="A28" s="1736" t="s">
        <v>3</v>
      </c>
      <c r="B28" s="1737"/>
      <c r="C28" s="1737"/>
      <c r="D28" s="153"/>
      <c r="E28" s="265"/>
      <c r="F28" s="1861"/>
      <c r="G28" s="1861"/>
      <c r="H28" s="1861"/>
      <c r="I28" s="1861"/>
      <c r="J28" s="150"/>
      <c r="K28" s="150"/>
      <c r="L28" s="461"/>
    </row>
    <row r="29" spans="1:12" ht="15">
      <c r="A29" s="67"/>
      <c r="B29" s="274" t="s">
        <v>4</v>
      </c>
      <c r="C29" s="274"/>
      <c r="D29" s="275" t="s">
        <v>102</v>
      </c>
      <c r="E29" s="684">
        <f>'Budget-Restricted MYP'!F29</f>
        <v>523222</v>
      </c>
      <c r="F29" s="773"/>
      <c r="G29" s="773"/>
      <c r="H29" s="266" t="str">
        <f t="shared" ref="H29:H38" si="0">IF(E29&lt;1," ",IF(G29&lt;1," ",(G29-E29)/E29))</f>
        <v xml:space="preserve"> </v>
      </c>
      <c r="I29" s="777"/>
      <c r="J29" s="266" t="str">
        <f t="shared" ref="J29:J38" si="1">IF(G29&lt;1," ",IF(I29&lt;1," ",(I29-G29)/G29))</f>
        <v xml:space="preserve"> </v>
      </c>
      <c r="K29" s="773"/>
      <c r="L29" s="303" t="str">
        <f t="shared" ref="L29:L38" si="2">IF(I29&lt;1," ",IF(K29&lt;1," ",(K29-I29)/I29))</f>
        <v xml:space="preserve"> </v>
      </c>
    </row>
    <row r="30" spans="1:12" ht="15">
      <c r="A30" s="67"/>
      <c r="B30" s="274" t="s">
        <v>23</v>
      </c>
      <c r="C30" s="274"/>
      <c r="D30" s="275" t="s">
        <v>103</v>
      </c>
      <c r="E30" s="684">
        <f>'Budget-Restricted MYP'!F30</f>
        <v>136232</v>
      </c>
      <c r="F30" s="773"/>
      <c r="G30" s="773"/>
      <c r="H30" s="266" t="str">
        <f t="shared" si="0"/>
        <v xml:space="preserve"> </v>
      </c>
      <c r="I30" s="777"/>
      <c r="J30" s="266" t="str">
        <f t="shared" si="1"/>
        <v xml:space="preserve"> </v>
      </c>
      <c r="K30" s="773"/>
      <c r="L30" s="303" t="str">
        <f t="shared" si="2"/>
        <v xml:space="preserve"> </v>
      </c>
    </row>
    <row r="31" spans="1:12" ht="15">
      <c r="A31" s="67"/>
      <c r="B31" s="274" t="s">
        <v>24</v>
      </c>
      <c r="C31" s="274"/>
      <c r="D31" s="275" t="s">
        <v>104</v>
      </c>
      <c r="E31" s="684">
        <f>'Budget-Restricted MYP'!F31</f>
        <v>117111</v>
      </c>
      <c r="F31" s="773"/>
      <c r="G31" s="773"/>
      <c r="H31" s="266" t="str">
        <f t="shared" si="0"/>
        <v xml:space="preserve"> </v>
      </c>
      <c r="I31" s="777"/>
      <c r="J31" s="266" t="str">
        <f t="shared" si="1"/>
        <v xml:space="preserve"> </v>
      </c>
      <c r="K31" s="773"/>
      <c r="L31" s="303" t="str">
        <f t="shared" si="2"/>
        <v xml:space="preserve"> </v>
      </c>
    </row>
    <row r="32" spans="1:12" ht="15">
      <c r="A32" s="67"/>
      <c r="B32" s="274" t="s">
        <v>25</v>
      </c>
      <c r="C32" s="274"/>
      <c r="D32" s="275" t="s">
        <v>105</v>
      </c>
      <c r="E32" s="684">
        <f>'Budget-Restricted MYP'!F32</f>
        <v>328859</v>
      </c>
      <c r="F32" s="773"/>
      <c r="G32" s="773"/>
      <c r="H32" s="266" t="str">
        <f t="shared" si="0"/>
        <v xml:space="preserve"> </v>
      </c>
      <c r="I32" s="777"/>
      <c r="J32" s="266" t="str">
        <f t="shared" si="1"/>
        <v xml:space="preserve"> </v>
      </c>
      <c r="K32" s="773"/>
      <c r="L32" s="303" t="str">
        <f t="shared" si="2"/>
        <v xml:space="preserve"> </v>
      </c>
    </row>
    <row r="33" spans="1:12" ht="15">
      <c r="A33" s="67"/>
      <c r="B33" s="274" t="s">
        <v>26</v>
      </c>
      <c r="C33" s="274"/>
      <c r="D33" s="275" t="s">
        <v>106</v>
      </c>
      <c r="E33" s="684">
        <f>'Budget-Restricted MYP'!F33</f>
        <v>769017</v>
      </c>
      <c r="F33" s="773"/>
      <c r="G33" s="773"/>
      <c r="H33" s="266" t="str">
        <f t="shared" si="0"/>
        <v xml:space="preserve"> </v>
      </c>
      <c r="I33" s="777"/>
      <c r="J33" s="266" t="str">
        <f t="shared" si="1"/>
        <v xml:space="preserve"> </v>
      </c>
      <c r="K33" s="773"/>
      <c r="L33" s="303" t="str">
        <f t="shared" si="2"/>
        <v xml:space="preserve"> </v>
      </c>
    </row>
    <row r="34" spans="1:12" ht="15">
      <c r="A34" s="67"/>
      <c r="B34" s="274" t="s">
        <v>508</v>
      </c>
      <c r="C34" s="274"/>
      <c r="D34" s="275" t="s">
        <v>107</v>
      </c>
      <c r="E34" s="684">
        <f>'Budget-Restricted MYP'!F34</f>
        <v>0</v>
      </c>
      <c r="F34" s="773"/>
      <c r="G34" s="773"/>
      <c r="H34" s="266" t="str">
        <f t="shared" si="0"/>
        <v xml:space="preserve"> </v>
      </c>
      <c r="I34" s="777"/>
      <c r="J34" s="266" t="str">
        <f t="shared" si="1"/>
        <v xml:space="preserve"> </v>
      </c>
      <c r="K34" s="773"/>
      <c r="L34" s="303" t="str">
        <f t="shared" si="2"/>
        <v xml:space="preserve"> </v>
      </c>
    </row>
    <row r="35" spans="1:12" ht="15">
      <c r="A35" s="67"/>
      <c r="B35" s="274" t="s">
        <v>507</v>
      </c>
      <c r="C35" s="274"/>
      <c r="D35" s="275">
        <v>6900</v>
      </c>
      <c r="E35" s="684">
        <f>'Budget-Restricted MYP'!F36</f>
        <v>0</v>
      </c>
      <c r="F35" s="773"/>
      <c r="G35" s="773"/>
      <c r="H35" s="266" t="str">
        <f t="shared" si="0"/>
        <v xml:space="preserve"> </v>
      </c>
      <c r="I35" s="777"/>
      <c r="J35" s="266" t="str">
        <f t="shared" si="1"/>
        <v xml:space="preserve"> </v>
      </c>
      <c r="K35" s="773"/>
      <c r="L35" s="303" t="str">
        <f t="shared" si="2"/>
        <v xml:space="preserve"> </v>
      </c>
    </row>
    <row r="36" spans="1:12" ht="15">
      <c r="A36" s="67"/>
      <c r="B36" s="274" t="s">
        <v>27</v>
      </c>
      <c r="C36" s="274"/>
      <c r="D36" s="275" t="s">
        <v>108</v>
      </c>
      <c r="E36" s="684">
        <f>'Budget-Restricted MYP'!F36</f>
        <v>0</v>
      </c>
      <c r="F36" s="773"/>
      <c r="G36" s="773"/>
      <c r="H36" s="266" t="str">
        <f t="shared" si="0"/>
        <v xml:space="preserve"> </v>
      </c>
      <c r="I36" s="777"/>
      <c r="J36" s="266" t="str">
        <f t="shared" si="1"/>
        <v xml:space="preserve"> </v>
      </c>
      <c r="K36" s="773"/>
      <c r="L36" s="303" t="str">
        <f t="shared" si="2"/>
        <v xml:space="preserve"> </v>
      </c>
    </row>
    <row r="37" spans="1:12" ht="15.4" thickBot="1">
      <c r="A37" s="67"/>
      <c r="B37" s="906" t="s">
        <v>146</v>
      </c>
      <c r="C37" s="906"/>
      <c r="D37" s="617" t="s">
        <v>111</v>
      </c>
      <c r="E37" s="691">
        <f>'Budget-Restricted MYP'!F37</f>
        <v>0</v>
      </c>
      <c r="F37" s="936"/>
      <c r="G37" s="936"/>
      <c r="H37" s="293" t="str">
        <f t="shared" si="0"/>
        <v xml:space="preserve"> </v>
      </c>
      <c r="I37" s="937"/>
      <c r="J37" s="293" t="str">
        <f t="shared" si="1"/>
        <v xml:space="preserve"> </v>
      </c>
      <c r="K37" s="936"/>
      <c r="L37" s="578" t="str">
        <f t="shared" si="2"/>
        <v xml:space="preserve"> </v>
      </c>
    </row>
    <row r="38" spans="1:12" ht="15.75" thickTop="1" thickBot="1">
      <c r="A38" s="67"/>
      <c r="B38" s="896" t="s">
        <v>28</v>
      </c>
      <c r="C38" s="941"/>
      <c r="D38" s="942"/>
      <c r="E38" s="884">
        <f>'Budget-Restricted MYP'!F38</f>
        <v>1874441</v>
      </c>
      <c r="F38" s="794">
        <f>SUM(F29:F37)</f>
        <v>0</v>
      </c>
      <c r="G38" s="794">
        <f>SUM(G29:G37)</f>
        <v>0</v>
      </c>
      <c r="H38" s="576" t="str">
        <f t="shared" si="0"/>
        <v xml:space="preserve"> </v>
      </c>
      <c r="I38" s="794">
        <f>SUM(I29:I37)</f>
        <v>0</v>
      </c>
      <c r="J38" s="576" t="str">
        <f t="shared" si="1"/>
        <v xml:space="preserve"> </v>
      </c>
      <c r="K38" s="794">
        <f>SUM(K29:K37)</f>
        <v>0</v>
      </c>
      <c r="L38" s="579" t="str">
        <f t="shared" si="2"/>
        <v xml:space="preserve"> </v>
      </c>
    </row>
    <row r="39" spans="1:12" ht="15.75" thickTop="1" thickBot="1">
      <c r="A39" s="67"/>
      <c r="B39" s="1"/>
      <c r="C39" s="1"/>
      <c r="D39" s="166"/>
      <c r="E39" s="20"/>
      <c r="F39" s="1854"/>
      <c r="G39" s="1854"/>
      <c r="H39" s="1854"/>
      <c r="I39" s="1854"/>
      <c r="L39" s="467"/>
    </row>
    <row r="40" spans="1:12" ht="15.75" thickTop="1" thickBot="1">
      <c r="A40" s="929" t="s">
        <v>205</v>
      </c>
      <c r="B40" s="943"/>
      <c r="C40" s="945"/>
      <c r="D40" s="946"/>
      <c r="E40" s="938">
        <f>'Budget-Restricted MYP'!F40</f>
        <v>191110.41556000011</v>
      </c>
      <c r="F40" s="944">
        <f>SUM(F26-F38)</f>
        <v>0</v>
      </c>
      <c r="G40" s="944" t="e">
        <f>SUM(G26-G38)</f>
        <v>#VALUE!</v>
      </c>
      <c r="H40" s="930" t="e">
        <f>IF(E40&lt;1," ",IF(G40&lt;1," ",(G40-E40)/E40))</f>
        <v>#VALUE!</v>
      </c>
      <c r="I40" s="944" t="e">
        <f>SUM(I26-I38)</f>
        <v>#VALUE!</v>
      </c>
      <c r="J40" s="930" t="e">
        <f>IF(G40&lt;1," ",IF(I40&lt;1," ",(I40-G40)/G40))</f>
        <v>#VALUE!</v>
      </c>
      <c r="K40" s="944" t="e">
        <f>SUM(K26-K38)</f>
        <v>#VALUE!</v>
      </c>
      <c r="L40" s="931" t="e">
        <f>IF(I40&lt;1," ",IF(K40&lt;1," ",(K40-I40)/I40))</f>
        <v>#VALUE!</v>
      </c>
    </row>
    <row r="41" spans="1:12" ht="15.4" thickTop="1">
      <c r="A41" s="67"/>
      <c r="B41" s="1"/>
      <c r="C41" s="339"/>
      <c r="D41" s="340"/>
      <c r="E41" s="82"/>
      <c r="F41" s="1752"/>
      <c r="G41" s="1752"/>
      <c r="H41" s="1752"/>
      <c r="I41" s="1752"/>
      <c r="J41" s="486"/>
      <c r="K41" s="486"/>
      <c r="L41" s="487"/>
    </row>
    <row r="42" spans="1:12" ht="15">
      <c r="A42" s="302" t="s">
        <v>29</v>
      </c>
      <c r="B42" s="1"/>
      <c r="C42" s="153"/>
      <c r="D42" s="341"/>
      <c r="E42" s="81"/>
      <c r="F42" s="1754"/>
      <c r="G42" s="1754"/>
      <c r="H42" s="1754"/>
      <c r="I42" s="1754"/>
      <c r="J42" s="453"/>
      <c r="K42" s="453"/>
      <c r="L42" s="470"/>
    </row>
    <row r="43" spans="1:12" ht="15">
      <c r="A43" s="67"/>
      <c r="B43" s="145" t="s">
        <v>124</v>
      </c>
      <c r="C43" s="139"/>
      <c r="D43" s="306">
        <v>8900</v>
      </c>
      <c r="E43" s="752">
        <f>'Budget-Restricted MYP'!F43</f>
        <v>134189</v>
      </c>
      <c r="F43" s="788"/>
      <c r="G43" s="788"/>
      <c r="H43" s="49" t="str">
        <f>IF(E43&lt;1," ",IF(G43&lt;1," ",(G43-E43)/E43))</f>
        <v xml:space="preserve"> </v>
      </c>
      <c r="I43" s="790"/>
      <c r="J43" s="622" t="str">
        <f>IF(G43&lt;1," ",IF(I43&lt;1," ",(I43-G43)/G43))</f>
        <v xml:space="preserve"> </v>
      </c>
      <c r="K43" s="792"/>
      <c r="L43" s="621" t="str">
        <f>IF(I43&lt;1," ",IF(K43&lt;1," ",(K43-I43)/I43))</f>
        <v xml:space="preserve"> </v>
      </c>
    </row>
    <row r="44" spans="1:12" ht="15.4" thickBot="1">
      <c r="A44" s="67"/>
      <c r="B44" s="883" t="s">
        <v>30</v>
      </c>
      <c r="C44" s="151"/>
      <c r="D44" s="912">
        <v>7600</v>
      </c>
      <c r="E44" s="799">
        <f>'Budget-Restricted MYP'!F44</f>
        <v>0</v>
      </c>
      <c r="F44" s="789"/>
      <c r="G44" s="789"/>
      <c r="H44" s="584" t="str">
        <f>IF(E44&lt;1," ",IF(G44&lt;1," ",(G44-E44)/E44))</f>
        <v xml:space="preserve"> </v>
      </c>
      <c r="I44" s="791"/>
      <c r="J44" s="629" t="str">
        <f>IF(G44&lt;1," ",IF(I44&lt;1," ",(I44-G44)/G44))</f>
        <v xml:space="preserve"> </v>
      </c>
      <c r="K44" s="793"/>
      <c r="L44" s="630" t="str">
        <f>IF(I44&lt;1," ",IF(K44&lt;1," ",(K44-I44)/I44))</f>
        <v xml:space="preserve"> </v>
      </c>
    </row>
    <row r="45" spans="1:12" ht="15.75" thickTop="1" thickBot="1">
      <c r="A45" s="67"/>
      <c r="B45" s="896" t="s">
        <v>31</v>
      </c>
      <c r="C45" s="941"/>
      <c r="D45" s="942"/>
      <c r="E45" s="884">
        <f>'Budget-Restricted MYP'!F45</f>
        <v>134189</v>
      </c>
      <c r="F45" s="794">
        <f>F43-F44</f>
        <v>0</v>
      </c>
      <c r="G45" s="794">
        <f>G43-G44</f>
        <v>0</v>
      </c>
      <c r="H45" s="576" t="str">
        <f>IF(E45&lt;1," ",IF(G45&lt;1," ",(G45-E45)/E45))</f>
        <v xml:space="preserve"> </v>
      </c>
      <c r="I45" s="794">
        <f>I43-I44</f>
        <v>0</v>
      </c>
      <c r="J45" s="576" t="str">
        <f>IF(G45&lt;1," ",IF(I45&lt;1," ",(I45-G45)/G45))</f>
        <v xml:space="preserve"> </v>
      </c>
      <c r="K45" s="794">
        <f>K43-K44</f>
        <v>0</v>
      </c>
      <c r="L45" s="579" t="str">
        <f>IF(I45&lt;1," ",IF(K45&lt;1," ",(K45-I45)/I45))</f>
        <v xml:space="preserve"> </v>
      </c>
    </row>
    <row r="46" spans="1:12" ht="15.75" thickTop="1" thickBot="1">
      <c r="A46" s="67"/>
      <c r="B46" s="1"/>
      <c r="C46" s="1"/>
      <c r="D46" s="166"/>
      <c r="E46" s="265"/>
      <c r="F46" s="51"/>
      <c r="G46" s="51"/>
      <c r="H46" s="265"/>
      <c r="I46" s="51"/>
      <c r="J46" s="265"/>
      <c r="K46" s="51"/>
      <c r="L46" s="865"/>
    </row>
    <row r="47" spans="1:12" ht="15.75" thickTop="1" thickBot="1">
      <c r="A47" s="932" t="s">
        <v>32</v>
      </c>
      <c r="B47" s="897"/>
      <c r="C47" s="941"/>
      <c r="D47" s="942"/>
      <c r="E47" s="884">
        <f>'Budget-Restricted MYP'!F47</f>
        <v>325299.41556000011</v>
      </c>
      <c r="F47" s="794">
        <f>F40+F45</f>
        <v>0</v>
      </c>
      <c r="G47" s="794" t="e">
        <f>G40+G45</f>
        <v>#VALUE!</v>
      </c>
      <c r="H47" s="576" t="e">
        <f>IF(E47&lt;1," ",IF(G47&lt;1," ",(G47-E47)/E47))</f>
        <v>#VALUE!</v>
      </c>
      <c r="I47" s="794" t="e">
        <f>I40+I45</f>
        <v>#VALUE!</v>
      </c>
      <c r="J47" s="576" t="e">
        <f>IF(G47&lt;1," ",IF(I47&lt;1," ",(I47-G47)/G47))</f>
        <v>#VALUE!</v>
      </c>
      <c r="K47" s="794" t="e">
        <f>K40+K45</f>
        <v>#VALUE!</v>
      </c>
      <c r="L47" s="579" t="e">
        <f>IF(I47&lt;1," ",IF(K47&lt;1," ",(K47-I47)/I47))</f>
        <v>#VALUE!</v>
      </c>
    </row>
    <row r="48" spans="1:12" ht="15.4" thickTop="1">
      <c r="A48" s="302"/>
      <c r="B48" s="1"/>
      <c r="C48" s="1"/>
      <c r="D48" s="166"/>
      <c r="E48" s="265"/>
      <c r="F48" s="1734"/>
      <c r="G48" s="1734"/>
      <c r="H48" s="1734"/>
      <c r="I48" s="1734"/>
      <c r="L48" s="467"/>
    </row>
    <row r="49" spans="1:12" ht="15">
      <c r="A49" s="302" t="s">
        <v>6</v>
      </c>
      <c r="B49" s="1"/>
      <c r="C49" s="1"/>
      <c r="D49" s="166"/>
      <c r="E49" s="265"/>
      <c r="F49" s="1734"/>
      <c r="G49" s="1734"/>
      <c r="H49" s="1734"/>
      <c r="I49" s="1734"/>
      <c r="L49" s="467"/>
    </row>
    <row r="50" spans="1:12" ht="15">
      <c r="A50" s="67"/>
      <c r="B50" s="289" t="s">
        <v>159</v>
      </c>
      <c r="C50" s="290"/>
      <c r="D50" s="291">
        <v>9791</v>
      </c>
      <c r="E50" s="796">
        <f>'Budget-Restricted MYP'!F50</f>
        <v>2078650</v>
      </c>
      <c r="F50" s="878">
        <f>E50</f>
        <v>2078650</v>
      </c>
      <c r="G50" s="796">
        <f>E50</f>
        <v>2078650</v>
      </c>
      <c r="H50" s="1061"/>
      <c r="I50" s="1059"/>
      <c r="J50" s="1062"/>
      <c r="K50" s="1060"/>
      <c r="L50" s="1063"/>
    </row>
    <row r="51" spans="1:12" ht="15">
      <c r="A51" s="67"/>
      <c r="B51" s="311" t="s">
        <v>133</v>
      </c>
      <c r="C51" s="312"/>
      <c r="D51" s="313">
        <v>9792</v>
      </c>
      <c r="E51" s="970"/>
      <c r="F51" s="797">
        <f>G51</f>
        <v>0</v>
      </c>
      <c r="G51" s="682"/>
      <c r="H51" s="612"/>
      <c r="I51" s="784"/>
      <c r="J51" s="585"/>
      <c r="K51" s="782"/>
      <c r="L51" s="587"/>
    </row>
    <row r="52" spans="1:12" ht="15">
      <c r="A52" s="67"/>
      <c r="B52" s="311" t="s">
        <v>233</v>
      </c>
      <c r="C52" s="312"/>
      <c r="D52" s="949"/>
      <c r="E52" s="970"/>
      <c r="F52" s="797">
        <f>SUM(F50:F51)</f>
        <v>2078650</v>
      </c>
      <c r="G52" s="797">
        <f>SUM(G50:G51)</f>
        <v>2078650</v>
      </c>
      <c r="H52" s="612"/>
      <c r="I52" s="784"/>
      <c r="J52" s="585"/>
      <c r="K52" s="782"/>
      <c r="L52" s="587"/>
    </row>
    <row r="53" spans="1:12" ht="15">
      <c r="A53" s="67"/>
      <c r="B53" s="311" t="s">
        <v>299</v>
      </c>
      <c r="C53" s="312"/>
      <c r="D53" s="313">
        <v>9793</v>
      </c>
      <c r="E53" s="970"/>
      <c r="F53" s="682"/>
      <c r="G53" s="682"/>
      <c r="H53" s="612"/>
      <c r="I53" s="990"/>
      <c r="J53" s="585"/>
      <c r="K53" s="782"/>
      <c r="L53" s="587"/>
    </row>
    <row r="54" spans="1:12" ht="15">
      <c r="A54" s="67"/>
      <c r="B54" s="311" t="s">
        <v>298</v>
      </c>
      <c r="C54" s="312"/>
      <c r="D54" s="313">
        <v>9795</v>
      </c>
      <c r="E54" s="796">
        <f>'Budget-Restricted MYP'!F54</f>
        <v>0</v>
      </c>
      <c r="F54" s="875"/>
      <c r="G54" s="875"/>
      <c r="H54" s="612"/>
      <c r="I54" s="785"/>
      <c r="J54" s="586"/>
      <c r="K54" s="783"/>
      <c r="L54" s="588"/>
    </row>
    <row r="55" spans="1:12" ht="15.4" thickBot="1">
      <c r="A55" s="67"/>
      <c r="B55" s="894" t="s">
        <v>281</v>
      </c>
      <c r="C55" s="496"/>
      <c r="D55" s="895"/>
      <c r="E55" s="877"/>
      <c r="F55" s="798">
        <f>SUM(F52:F54)</f>
        <v>2078650</v>
      </c>
      <c r="G55" s="798">
        <f>SUM(G52:G54)</f>
        <v>2078650</v>
      </c>
      <c r="H55" s="603"/>
      <c r="I55" s="1082" t="e">
        <f>G56</f>
        <v>#VALUE!</v>
      </c>
      <c r="J55" s="586"/>
      <c r="K55" s="1083" t="e">
        <f>I56</f>
        <v>#VALUE!</v>
      </c>
      <c r="L55" s="588"/>
    </row>
    <row r="56" spans="1:12" ht="15.75" thickTop="1" thickBot="1">
      <c r="A56" s="67"/>
      <c r="B56" s="896" t="s">
        <v>33</v>
      </c>
      <c r="C56" s="941"/>
      <c r="D56" s="942"/>
      <c r="E56" s="884">
        <f>ROUND('Budget-Restricted MYP'!F56,0)</f>
        <v>2403949</v>
      </c>
      <c r="F56" s="794">
        <f>ROUND(F55+F47,0)</f>
        <v>2078650</v>
      </c>
      <c r="G56" s="794" t="e">
        <f>ROUND(G55+G47,0)</f>
        <v>#VALUE!</v>
      </c>
      <c r="H56" s="576" t="e">
        <f>IF(E56&lt;1," ",IF(G56&lt;1," ",(G56-E56)/E56))</f>
        <v>#VALUE!</v>
      </c>
      <c r="I56" s="794" t="e">
        <f>ROUND(I55+I47,0)</f>
        <v>#VALUE!</v>
      </c>
      <c r="J56" s="576" t="e">
        <f>IF(G56&lt;1," ",IF(I56&lt;1," ",(I56-G56)/G56))</f>
        <v>#VALUE!</v>
      </c>
      <c r="K56" s="794" t="e">
        <f>ROUND(K55+K47,0)</f>
        <v>#VALUE!</v>
      </c>
      <c r="L56" s="579" t="e">
        <f>IF(I56&lt;1," ",IF(K56&lt;1," ",(K56-I56)/I56))</f>
        <v>#VALUE!</v>
      </c>
    </row>
    <row r="57" spans="1:12" ht="15.4" thickTop="1">
      <c r="A57" s="67"/>
      <c r="B57" s="1"/>
      <c r="C57" s="1"/>
      <c r="D57" s="166"/>
      <c r="E57" s="167"/>
      <c r="F57" s="51"/>
      <c r="G57" s="51"/>
      <c r="H57" s="167"/>
      <c r="I57" s="51"/>
      <c r="J57" s="167"/>
      <c r="K57" s="51"/>
      <c r="L57" s="469"/>
    </row>
    <row r="58" spans="1:12" ht="15">
      <c r="A58" s="320" t="s">
        <v>139</v>
      </c>
      <c r="B58" s="150"/>
      <c r="C58" s="474"/>
      <c r="D58" s="475" t="s">
        <v>2</v>
      </c>
      <c r="E58" s="476"/>
      <c r="F58" s="478"/>
      <c r="G58" s="478"/>
      <c r="H58" s="476"/>
      <c r="I58" s="478"/>
      <c r="J58" s="476"/>
      <c r="K58" s="478"/>
      <c r="L58" s="479"/>
    </row>
    <row r="59" spans="1:12" ht="15">
      <c r="A59" s="67"/>
      <c r="B59" s="344" t="s">
        <v>7</v>
      </c>
      <c r="C59" s="350" t="s">
        <v>140</v>
      </c>
      <c r="D59" s="351"/>
      <c r="E59" s="352"/>
      <c r="F59" s="1795"/>
      <c r="G59" s="1795"/>
      <c r="H59" s="1795"/>
      <c r="I59" s="1795"/>
      <c r="J59" s="610"/>
      <c r="K59" s="610"/>
      <c r="L59" s="611"/>
    </row>
    <row r="60" spans="1:12" ht="15">
      <c r="A60" s="67"/>
      <c r="B60" s="494"/>
      <c r="C60" s="495" t="s">
        <v>34</v>
      </c>
      <c r="D60" s="473">
        <v>9711</v>
      </c>
      <c r="E60" s="571"/>
      <c r="F60" s="571"/>
      <c r="G60" s="571"/>
      <c r="H60" s="480"/>
      <c r="I60" s="571"/>
      <c r="J60" s="636"/>
      <c r="K60" s="637"/>
      <c r="L60" s="638"/>
    </row>
    <row r="61" spans="1:12" ht="15">
      <c r="A61" s="67"/>
      <c r="B61" s="471"/>
      <c r="C61" s="495" t="s">
        <v>10</v>
      </c>
      <c r="D61" s="473">
        <v>9712</v>
      </c>
      <c r="E61" s="639"/>
      <c r="F61" s="604"/>
      <c r="G61" s="604"/>
      <c r="H61" s="640"/>
      <c r="I61" s="607"/>
      <c r="J61" s="585"/>
      <c r="K61" s="609"/>
      <c r="L61" s="587"/>
    </row>
    <row r="62" spans="1:12" ht="15">
      <c r="A62" s="67"/>
      <c r="B62" s="471"/>
      <c r="C62" s="495" t="s">
        <v>11</v>
      </c>
      <c r="D62" s="473">
        <v>9713</v>
      </c>
      <c r="E62" s="605"/>
      <c r="F62" s="591"/>
      <c r="G62" s="591"/>
      <c r="H62" s="612"/>
      <c r="I62" s="608"/>
      <c r="J62" s="585"/>
      <c r="K62" s="609"/>
      <c r="L62" s="587"/>
    </row>
    <row r="63" spans="1:12" ht="15">
      <c r="A63" s="67"/>
      <c r="B63" s="471"/>
      <c r="C63" s="495" t="s">
        <v>141</v>
      </c>
      <c r="D63" s="473">
        <v>9719</v>
      </c>
      <c r="E63" s="605"/>
      <c r="F63" s="591"/>
      <c r="G63" s="591"/>
      <c r="H63" s="612"/>
      <c r="I63" s="608"/>
      <c r="J63" s="585"/>
      <c r="K63" s="609"/>
      <c r="L63" s="587"/>
    </row>
    <row r="64" spans="1:12" ht="15">
      <c r="A64" s="67"/>
      <c r="B64" s="344" t="s">
        <v>8</v>
      </c>
      <c r="C64" s="346" t="s">
        <v>142</v>
      </c>
      <c r="D64" s="285">
        <v>9740</v>
      </c>
      <c r="E64" s="751">
        <f>ROUND(IF(E56&lt;0,0,E56),0)</f>
        <v>2403949</v>
      </c>
      <c r="F64" s="751">
        <f>ROUND(IF(F56&lt;0,0,F56),0)</f>
        <v>2078650</v>
      </c>
      <c r="G64" s="751" t="e">
        <f>ROUND(IF(G56&lt;0,0,G56),0)</f>
        <v>#VALUE!</v>
      </c>
      <c r="H64" s="49" t="e">
        <f>IF(E64&lt;1," ",IF(G64&lt;1," ",(G64-E64)/E64))</f>
        <v>#VALUE!</v>
      </c>
      <c r="I64" s="751" t="e">
        <f>ROUND(IF(I56&lt;0,0,I56),0)</f>
        <v>#VALUE!</v>
      </c>
      <c r="J64" s="622" t="e">
        <f>IF(G64&lt;1," ",IF(I64&lt;1," ",(I64-G64)/G64))</f>
        <v>#VALUE!</v>
      </c>
      <c r="K64" s="751" t="e">
        <f>ROUND(IF(K56&lt;0,0,K56),0)</f>
        <v>#VALUE!</v>
      </c>
      <c r="L64" s="621" t="e">
        <f>IF(I64&lt;1," ",IF(K64&lt;1," ",(K64-I64)/I64))</f>
        <v>#VALUE!</v>
      </c>
    </row>
    <row r="65" spans="1:12" ht="15">
      <c r="A65" s="67"/>
      <c r="B65" s="471" t="s">
        <v>9</v>
      </c>
      <c r="C65" s="950" t="s">
        <v>344</v>
      </c>
      <c r="D65" s="973"/>
      <c r="E65" s="605"/>
      <c r="F65" s="591"/>
      <c r="G65" s="591"/>
      <c r="H65" s="612"/>
      <c r="I65" s="608"/>
      <c r="J65" s="585"/>
      <c r="K65" s="609"/>
      <c r="L65" s="587"/>
    </row>
    <row r="66" spans="1:12" ht="15">
      <c r="A66" s="67"/>
      <c r="B66" s="471"/>
      <c r="C66" s="495" t="s">
        <v>143</v>
      </c>
      <c r="D66" s="498">
        <v>9750</v>
      </c>
      <c r="E66" s="605"/>
      <c r="F66" s="591"/>
      <c r="G66" s="591"/>
      <c r="H66" s="612"/>
      <c r="I66" s="608"/>
      <c r="J66" s="585"/>
      <c r="K66" s="609"/>
      <c r="L66" s="587"/>
    </row>
    <row r="67" spans="1:12" ht="15">
      <c r="A67" s="67"/>
      <c r="B67" s="471"/>
      <c r="C67" s="495" t="s">
        <v>144</v>
      </c>
      <c r="D67" s="498">
        <v>9760</v>
      </c>
      <c r="E67" s="605"/>
      <c r="F67" s="591"/>
      <c r="G67" s="591"/>
      <c r="H67" s="612"/>
      <c r="I67" s="608"/>
      <c r="J67" s="585"/>
      <c r="K67" s="609"/>
      <c r="L67" s="587"/>
    </row>
    <row r="68" spans="1:12" ht="15">
      <c r="A68" s="67"/>
      <c r="B68" s="471" t="s">
        <v>38</v>
      </c>
      <c r="C68" s="472" t="s">
        <v>145</v>
      </c>
      <c r="D68" s="473">
        <v>9780</v>
      </c>
      <c r="E68" s="605"/>
      <c r="F68" s="591"/>
      <c r="G68" s="591"/>
      <c r="H68" s="612"/>
      <c r="I68" s="608"/>
      <c r="J68" s="585"/>
      <c r="K68" s="609"/>
      <c r="L68" s="587"/>
    </row>
    <row r="69" spans="1:12" ht="15">
      <c r="A69" s="67"/>
      <c r="B69" s="471" t="s">
        <v>40</v>
      </c>
      <c r="C69" s="950" t="s">
        <v>347</v>
      </c>
      <c r="D69" s="951"/>
      <c r="E69" s="605"/>
      <c r="F69" s="591"/>
      <c r="G69" s="591"/>
      <c r="H69" s="612"/>
      <c r="I69" s="608"/>
      <c r="J69" s="585"/>
      <c r="K69" s="609"/>
      <c r="L69" s="587"/>
    </row>
    <row r="70" spans="1:12" ht="15">
      <c r="A70" s="67"/>
      <c r="B70" s="471"/>
      <c r="C70" s="495" t="s">
        <v>345</v>
      </c>
      <c r="D70" s="498">
        <v>9789</v>
      </c>
      <c r="E70" s="605"/>
      <c r="F70" s="606"/>
      <c r="G70" s="606"/>
      <c r="H70" s="612"/>
      <c r="I70" s="583"/>
      <c r="J70" s="585"/>
      <c r="K70" s="582"/>
      <c r="L70" s="587"/>
    </row>
    <row r="71" spans="1:12" ht="15.4" thickBot="1">
      <c r="A71" s="67"/>
      <c r="B71" s="1069"/>
      <c r="C71" s="1070" t="s">
        <v>346</v>
      </c>
      <c r="D71" s="1071">
        <v>9790</v>
      </c>
      <c r="E71" s="815"/>
      <c r="F71" s="815"/>
      <c r="G71" s="815"/>
      <c r="H71" s="612"/>
      <c r="I71" s="815"/>
      <c r="J71" s="585"/>
      <c r="K71" s="815"/>
      <c r="L71" s="587"/>
    </row>
    <row r="72" spans="1:12" ht="15.75" thickTop="1" thickBot="1">
      <c r="A72" s="67"/>
      <c r="B72" s="1076"/>
      <c r="C72" s="1077"/>
      <c r="D72" s="1078"/>
      <c r="E72" s="1079"/>
      <c r="F72" s="1079"/>
      <c r="G72" s="1079"/>
      <c r="H72" s="1080"/>
      <c r="I72" s="1079"/>
      <c r="J72" s="1080"/>
      <c r="K72" s="1079"/>
      <c r="L72" s="1234"/>
    </row>
    <row r="73" spans="1:12" ht="15.4" thickTop="1">
      <c r="A73" s="67"/>
      <c r="B73" s="1351"/>
      <c r="C73" s="1351"/>
      <c r="D73" s="871"/>
      <c r="E73" s="1352"/>
      <c r="F73" s="1353"/>
      <c r="G73" s="1352"/>
      <c r="H73" s="1353"/>
      <c r="I73" s="1352"/>
      <c r="J73" s="1352"/>
      <c r="K73" s="1356"/>
      <c r="L73" s="1357"/>
    </row>
    <row r="74" spans="1:12" ht="15">
      <c r="A74" s="67"/>
      <c r="B74" s="1351" t="s">
        <v>463</v>
      </c>
      <c r="C74" s="1351"/>
      <c r="D74" s="871"/>
      <c r="E74" s="1352"/>
      <c r="F74" s="1353"/>
      <c r="G74" s="1352"/>
      <c r="H74" s="1353"/>
      <c r="I74" s="1352"/>
      <c r="J74" s="1352"/>
      <c r="K74" s="1352"/>
      <c r="L74" s="1235"/>
    </row>
    <row r="75" spans="1:12" ht="15">
      <c r="A75" s="67"/>
      <c r="B75" s="287">
        <v>1</v>
      </c>
      <c r="C75" s="1774" t="s">
        <v>464</v>
      </c>
      <c r="D75" s="1792"/>
      <c r="E75" s="1171">
        <f>'Budget-Restricted MYP'!F75</f>
        <v>2403949</v>
      </c>
      <c r="F75" s="746"/>
      <c r="G75" s="746"/>
      <c r="H75" s="1138"/>
      <c r="I75" s="746"/>
      <c r="J75" s="1138"/>
      <c r="K75" s="746"/>
      <c r="L75" s="1235"/>
    </row>
    <row r="76" spans="1:12" ht="15">
      <c r="A76" s="67"/>
      <c r="B76" s="287">
        <v>2</v>
      </c>
      <c r="C76" s="1774"/>
      <c r="D76" s="1792"/>
      <c r="E76" s="1171">
        <f>'Budget-Restricted MYP'!F76</f>
        <v>0</v>
      </c>
      <c r="F76" s="746"/>
      <c r="G76" s="746"/>
      <c r="H76" s="1138"/>
      <c r="I76" s="746"/>
      <c r="J76" s="1138"/>
      <c r="K76" s="746"/>
      <c r="L76" s="1235"/>
    </row>
    <row r="77" spans="1:12" ht="15">
      <c r="A77" s="67"/>
      <c r="B77" s="287">
        <v>3</v>
      </c>
      <c r="C77" s="1774"/>
      <c r="D77" s="1792"/>
      <c r="E77" s="1171">
        <f>'Budget-Restricted MYP'!F77</f>
        <v>0</v>
      </c>
      <c r="F77" s="746"/>
      <c r="G77" s="746"/>
      <c r="H77" s="1138"/>
      <c r="I77" s="746"/>
      <c r="J77" s="1138"/>
      <c r="K77" s="746"/>
      <c r="L77" s="1235"/>
    </row>
    <row r="78" spans="1:12" ht="15">
      <c r="A78" s="67"/>
      <c r="B78" s="287">
        <v>4</v>
      </c>
      <c r="C78" s="1774"/>
      <c r="D78" s="1792"/>
      <c r="E78" s="1171">
        <f>'Budget-Restricted MYP'!F78</f>
        <v>0</v>
      </c>
      <c r="F78" s="746"/>
      <c r="G78" s="746"/>
      <c r="H78" s="1138"/>
      <c r="I78" s="746"/>
      <c r="J78" s="1138"/>
      <c r="K78" s="746"/>
      <c r="L78" s="1235"/>
    </row>
    <row r="79" spans="1:12" ht="15">
      <c r="A79" s="67"/>
      <c r="B79" s="287">
        <v>5</v>
      </c>
      <c r="C79" s="1567"/>
      <c r="D79" s="1569"/>
      <c r="E79" s="1171">
        <f>'Budget-Restricted MYP'!F79</f>
        <v>0</v>
      </c>
      <c r="F79" s="746"/>
      <c r="G79" s="746"/>
      <c r="H79" s="1138"/>
      <c r="I79" s="746"/>
      <c r="J79" s="1138"/>
      <c r="K79" s="746"/>
      <c r="L79" s="1235"/>
    </row>
    <row r="80" spans="1:12" ht="15">
      <c r="A80" s="67"/>
      <c r="B80" s="287">
        <v>6</v>
      </c>
      <c r="C80" s="1567"/>
      <c r="D80" s="1569"/>
      <c r="E80" s="1171">
        <f>'Budget-Restricted MYP'!F80</f>
        <v>0</v>
      </c>
      <c r="F80" s="746"/>
      <c r="G80" s="746"/>
      <c r="H80" s="1138"/>
      <c r="I80" s="746"/>
      <c r="J80" s="1138"/>
      <c r="K80" s="746"/>
      <c r="L80" s="1235"/>
    </row>
    <row r="81" spans="1:12" ht="15">
      <c r="A81" s="67"/>
      <c r="B81" s="287">
        <v>7</v>
      </c>
      <c r="C81" s="1567"/>
      <c r="D81" s="1569"/>
      <c r="E81" s="1171">
        <f>'Budget-Restricted MYP'!F81</f>
        <v>0</v>
      </c>
      <c r="F81" s="746"/>
      <c r="G81" s="746"/>
      <c r="H81" s="1138"/>
      <c r="I81" s="746"/>
      <c r="J81" s="1138"/>
      <c r="K81" s="746"/>
      <c r="L81" s="1235"/>
    </row>
    <row r="82" spans="1:12" ht="15">
      <c r="A82" s="67"/>
      <c r="B82" s="287">
        <v>8</v>
      </c>
      <c r="C82" s="1567"/>
      <c r="D82" s="1569"/>
      <c r="E82" s="1171">
        <f>'Budget-Restricted MYP'!F82</f>
        <v>0</v>
      </c>
      <c r="F82" s="746"/>
      <c r="G82" s="746"/>
      <c r="H82" s="1138"/>
      <c r="I82" s="746"/>
      <c r="J82" s="1138"/>
      <c r="K82" s="746"/>
      <c r="L82" s="1235"/>
    </row>
    <row r="83" spans="1:12" ht="15">
      <c r="A83" s="67"/>
      <c r="B83" s="287">
        <v>9</v>
      </c>
      <c r="C83" s="1567"/>
      <c r="D83" s="1569"/>
      <c r="E83" s="1171">
        <f>'Budget-Restricted MYP'!F83</f>
        <v>0</v>
      </c>
      <c r="F83" s="746"/>
      <c r="G83" s="746"/>
      <c r="H83" s="1138"/>
      <c r="I83" s="746"/>
      <c r="J83" s="1138"/>
      <c r="K83" s="746"/>
      <c r="L83" s="1235"/>
    </row>
    <row r="84" spans="1:12" ht="15">
      <c r="A84" s="67"/>
      <c r="B84" s="1598">
        <v>10</v>
      </c>
      <c r="C84" s="1724"/>
      <c r="D84" s="1793"/>
      <c r="E84" s="1171">
        <f>'Budget-Restricted MYP'!F84</f>
        <v>0</v>
      </c>
      <c r="F84" s="746"/>
      <c r="G84" s="746"/>
      <c r="H84" s="1138"/>
      <c r="I84" s="746"/>
      <c r="J84" s="1138"/>
      <c r="K84" s="746"/>
      <c r="L84" s="1235"/>
    </row>
    <row r="85" spans="1:12" ht="15">
      <c r="A85" s="67"/>
      <c r="B85" s="1598">
        <v>11</v>
      </c>
      <c r="C85" s="1724"/>
      <c r="D85" s="1793"/>
      <c r="E85" s="1171">
        <f>'Budget-Restricted MYP'!F85</f>
        <v>0</v>
      </c>
      <c r="F85" s="746"/>
      <c r="G85" s="746"/>
      <c r="H85" s="1138"/>
      <c r="I85" s="746"/>
      <c r="J85" s="1138"/>
      <c r="K85" s="746"/>
      <c r="L85" s="1235"/>
    </row>
    <row r="86" spans="1:12" ht="15">
      <c r="A86" s="67"/>
      <c r="B86" s="1598">
        <v>12</v>
      </c>
      <c r="C86" s="1724"/>
      <c r="D86" s="1793"/>
      <c r="E86" s="1171">
        <f>'Budget-Restricted MYP'!F86</f>
        <v>0</v>
      </c>
      <c r="F86" s="746"/>
      <c r="G86" s="746"/>
      <c r="H86" s="1138"/>
      <c r="I86" s="746"/>
      <c r="J86" s="1138"/>
      <c r="K86" s="746"/>
      <c r="L86" s="1235"/>
    </row>
    <row r="87" spans="1:12" ht="15">
      <c r="A87" s="67"/>
      <c r="B87" s="1598">
        <v>13</v>
      </c>
      <c r="C87" s="1724"/>
      <c r="D87" s="1793"/>
      <c r="E87" s="1171">
        <f>'Budget-Restricted MYP'!F87</f>
        <v>0</v>
      </c>
      <c r="F87" s="746"/>
      <c r="G87" s="746"/>
      <c r="H87" s="1138"/>
      <c r="I87" s="746"/>
      <c r="J87" s="1138"/>
      <c r="K87" s="746"/>
      <c r="L87" s="1235"/>
    </row>
    <row r="88" spans="1:12" ht="15">
      <c r="A88" s="67"/>
      <c r="B88" s="1598">
        <v>14</v>
      </c>
      <c r="C88" s="1724"/>
      <c r="D88" s="1793"/>
      <c r="E88" s="1171">
        <f>'Budget-Restricted MYP'!F88</f>
        <v>0</v>
      </c>
      <c r="F88" s="746"/>
      <c r="G88" s="746"/>
      <c r="H88" s="1138"/>
      <c r="I88" s="746"/>
      <c r="J88" s="1138"/>
      <c r="K88" s="746"/>
      <c r="L88" s="1235"/>
    </row>
    <row r="89" spans="1:12" ht="15">
      <c r="A89" s="67"/>
      <c r="B89" s="1598">
        <v>15</v>
      </c>
      <c r="C89" s="1722"/>
      <c r="D89" s="1794"/>
      <c r="E89" s="1171">
        <f>'Budget-Restricted MYP'!F89</f>
        <v>0</v>
      </c>
      <c r="F89" s="747"/>
      <c r="G89" s="747"/>
      <c r="H89" s="1613"/>
      <c r="I89" s="747"/>
      <c r="J89" s="1613"/>
      <c r="K89" s="747"/>
      <c r="L89" s="1287"/>
    </row>
    <row r="90" spans="1:12" ht="51" customHeight="1" thickBot="1">
      <c r="A90" s="67"/>
      <c r="B90" t="s">
        <v>477</v>
      </c>
      <c r="E90" s="1602">
        <f>IF(SUM(E75:E89)=E64,SUM(E75:E89),"Total must equal amount in Cell E64 above")</f>
        <v>2403949</v>
      </c>
      <c r="F90" s="1602" t="str">
        <f>IF(SUM(F75:F89)=F64,SUM(F75:F89),"Total must equal amount in Cell F64 above")</f>
        <v>Total must equal amount in Cell F64 above</v>
      </c>
      <c r="G90" s="1602" t="e">
        <f>IF(SUM(G75:G89)=G64,SUM(G75:G89),"Total must equal amount in Cell G64 above")</f>
        <v>#VALUE!</v>
      </c>
      <c r="H90" s="1603"/>
      <c r="I90" s="1602" t="e">
        <f>IF(SUM(I75:I89)=I64,SUM(I75:I89),"Total must equal amount in Cell I64 above")</f>
        <v>#VALUE!</v>
      </c>
      <c r="J90" s="1603"/>
      <c r="K90" s="1602" t="e">
        <f>IF(SUM(K75:K89)=K64,SUM(K75:K89),"Total must equal amount in Cell K64 above")</f>
        <v>#VALUE!</v>
      </c>
      <c r="L90" s="1287"/>
    </row>
    <row r="91" spans="1:12" ht="15.4" thickTop="1">
      <c r="A91" s="328"/>
      <c r="B91" s="221"/>
      <c r="C91" s="221"/>
      <c r="D91" s="221"/>
      <c r="E91" s="1074"/>
      <c r="F91" s="1074"/>
      <c r="G91" s="222"/>
      <c r="H91" s="222"/>
      <c r="I91" s="1074"/>
      <c r="J91" s="222"/>
      <c r="K91" s="1075"/>
      <c r="L91" s="1235"/>
    </row>
    <row r="92" spans="1:12" ht="15">
      <c r="A92" s="328" t="s">
        <v>361</v>
      </c>
      <c r="B92" s="221"/>
      <c r="C92" s="221"/>
      <c r="D92" s="221"/>
      <c r="E92" s="221"/>
      <c r="F92" s="222"/>
      <c r="G92" s="222"/>
      <c r="H92" s="222"/>
      <c r="I92" s="222"/>
      <c r="J92" s="222"/>
      <c r="L92" s="1235"/>
    </row>
    <row r="93" spans="1:12" ht="15">
      <c r="A93" s="1259"/>
      <c r="B93" s="1354"/>
      <c r="C93" s="1355" t="s">
        <v>320</v>
      </c>
      <c r="D93" s="1355"/>
      <c r="E93" s="1355"/>
      <c r="F93" s="1355"/>
      <c r="G93" s="1355"/>
      <c r="H93" s="1355"/>
      <c r="I93" s="1355"/>
      <c r="J93" s="1355"/>
      <c r="L93" s="1235"/>
    </row>
    <row r="94" spans="1:12" ht="15">
      <c r="A94" s="328"/>
      <c r="B94" s="287">
        <v>1</v>
      </c>
      <c r="C94" s="1774" t="s">
        <v>243</v>
      </c>
      <c r="D94" s="1792"/>
      <c r="E94" s="1171">
        <f>'Budget-Restricted MYP'!F94</f>
        <v>47548</v>
      </c>
      <c r="F94" s="708"/>
      <c r="G94" s="708"/>
      <c r="H94" s="49" t="str">
        <f>IF(E94&lt;1," ",IF(G94&lt;1," ",(G94-E94)/E94))</f>
        <v xml:space="preserve"> </v>
      </c>
      <c r="I94" s="714"/>
      <c r="J94" s="483" t="str">
        <f t="shared" ref="J94:J114" si="3">IF(G94&lt;1," ",IF(I94&lt;1," ",(I94-G94)/G94))</f>
        <v xml:space="preserve"> </v>
      </c>
      <c r="K94" s="698"/>
      <c r="L94" s="1236" t="str">
        <f t="shared" ref="L94:L114" si="4">IF(I94&lt;1," ",IF(K94&lt;1," ",(K94-I94)/I94))</f>
        <v xml:space="preserve"> </v>
      </c>
    </row>
    <row r="95" spans="1:12" ht="15">
      <c r="A95" s="280"/>
      <c r="B95" s="287">
        <v>2</v>
      </c>
      <c r="C95" s="1724"/>
      <c r="D95" s="1793"/>
      <c r="E95" s="1171">
        <f>'Budget-Restricted MYP'!F95</f>
        <v>202325</v>
      </c>
      <c r="F95" s="708"/>
      <c r="G95" s="708"/>
      <c r="H95" s="49" t="str">
        <f>IF(E95&lt;1," ",IF(G95&lt;1," ",(G95-E95)/E95))</f>
        <v xml:space="preserve"> </v>
      </c>
      <c r="I95" s="714"/>
      <c r="J95" s="483" t="str">
        <f t="shared" si="3"/>
        <v xml:space="preserve"> </v>
      </c>
      <c r="K95" s="698"/>
      <c r="L95" s="1236" t="str">
        <f t="shared" si="4"/>
        <v xml:space="preserve"> </v>
      </c>
    </row>
    <row r="96" spans="1:12" ht="15">
      <c r="A96" s="280"/>
      <c r="B96" s="287">
        <v>3</v>
      </c>
      <c r="C96" s="1724"/>
      <c r="D96" s="1793"/>
      <c r="E96" s="1171">
        <f>'Budget-Restricted MYP'!F96</f>
        <v>153274</v>
      </c>
      <c r="F96" s="708"/>
      <c r="G96" s="708"/>
      <c r="H96" s="49"/>
      <c r="I96" s="714"/>
      <c r="J96" s="483"/>
      <c r="K96" s="698"/>
      <c r="L96" s="1236"/>
    </row>
    <row r="97" spans="1:12" ht="15">
      <c r="A97" s="280"/>
      <c r="B97" s="287">
        <v>4</v>
      </c>
      <c r="C97" s="1724"/>
      <c r="D97" s="1793"/>
      <c r="E97" s="1171">
        <f>'Budget-Restricted MYP'!F97</f>
        <v>17272.254999999997</v>
      </c>
      <c r="F97" s="708"/>
      <c r="G97" s="708"/>
      <c r="H97" s="49"/>
      <c r="I97" s="714"/>
      <c r="J97" s="483"/>
      <c r="K97" s="698"/>
      <c r="L97" s="1236"/>
    </row>
    <row r="98" spans="1:12" ht="15">
      <c r="A98" s="280"/>
      <c r="B98" s="287">
        <v>5</v>
      </c>
      <c r="C98" s="1724"/>
      <c r="D98" s="1793"/>
      <c r="E98" s="1171">
        <f>'Budget-Restricted MYP'!F98</f>
        <v>13882</v>
      </c>
      <c r="F98" s="708"/>
      <c r="G98" s="708"/>
      <c r="H98" s="49"/>
      <c r="I98" s="714"/>
      <c r="J98" s="483"/>
      <c r="K98" s="698"/>
      <c r="L98" s="1236"/>
    </row>
    <row r="99" spans="1:12" ht="15">
      <c r="A99" s="280"/>
      <c r="B99" s="287">
        <v>6</v>
      </c>
      <c r="C99" s="1724"/>
      <c r="D99" s="1793"/>
      <c r="E99" s="1171">
        <f>'Budget-Restricted MYP'!F99</f>
        <v>0</v>
      </c>
      <c r="F99" s="708"/>
      <c r="G99" s="708"/>
      <c r="H99" s="49"/>
      <c r="I99" s="714"/>
      <c r="J99" s="483"/>
      <c r="K99" s="698"/>
      <c r="L99" s="1236"/>
    </row>
    <row r="100" spans="1:12" ht="15">
      <c r="A100" s="280"/>
      <c r="B100" s="287">
        <v>7</v>
      </c>
      <c r="C100" s="1724"/>
      <c r="D100" s="1793"/>
      <c r="E100" s="1171">
        <f>'Budget-Restricted MYP'!F100</f>
        <v>0</v>
      </c>
      <c r="F100" s="708"/>
      <c r="G100" s="708"/>
      <c r="H100" s="49"/>
      <c r="I100" s="714"/>
      <c r="J100" s="483"/>
      <c r="K100" s="698"/>
      <c r="L100" s="1236"/>
    </row>
    <row r="101" spans="1:12" ht="15">
      <c r="A101" s="280"/>
      <c r="B101" s="287">
        <v>8</v>
      </c>
      <c r="C101" s="1724"/>
      <c r="D101" s="1793"/>
      <c r="E101" s="1171">
        <f>'Budget-Restricted MYP'!F101</f>
        <v>0</v>
      </c>
      <c r="F101" s="708"/>
      <c r="G101" s="708"/>
      <c r="H101" s="49"/>
      <c r="I101" s="714"/>
      <c r="J101" s="483"/>
      <c r="K101" s="698"/>
      <c r="L101" s="1236"/>
    </row>
    <row r="102" spans="1:12" ht="15">
      <c r="A102" s="280"/>
      <c r="B102" s="287">
        <v>9</v>
      </c>
      <c r="C102" s="1724"/>
      <c r="D102" s="1793"/>
      <c r="E102" s="1171">
        <f>'Budget-Restricted MYP'!F102</f>
        <v>0</v>
      </c>
      <c r="F102" s="708"/>
      <c r="G102" s="708"/>
      <c r="H102" s="49"/>
      <c r="I102" s="714"/>
      <c r="J102" s="483"/>
      <c r="K102" s="698"/>
      <c r="L102" s="1236"/>
    </row>
    <row r="103" spans="1:12" ht="15">
      <c r="A103" s="280"/>
      <c r="B103" s="1598">
        <v>10</v>
      </c>
      <c r="C103" s="1724"/>
      <c r="D103" s="1793"/>
      <c r="E103" s="1171">
        <f>'Budget-Restricted MYP'!F103</f>
        <v>100000</v>
      </c>
      <c r="F103" s="708"/>
      <c r="G103" s="708"/>
      <c r="H103" s="49"/>
      <c r="I103" s="714"/>
      <c r="J103" s="483"/>
      <c r="K103" s="698"/>
      <c r="L103" s="1236"/>
    </row>
    <row r="104" spans="1:12" ht="15">
      <c r="A104" s="280"/>
      <c r="B104" s="1598">
        <v>11</v>
      </c>
      <c r="C104" s="1724"/>
      <c r="D104" s="1793"/>
      <c r="E104" s="1171">
        <f>'Budget-Restricted MYP'!F104</f>
        <v>0</v>
      </c>
      <c r="F104" s="708"/>
      <c r="G104" s="708"/>
      <c r="H104" s="49"/>
      <c r="I104" s="714"/>
      <c r="J104" s="483"/>
      <c r="K104" s="698"/>
      <c r="L104" s="1236"/>
    </row>
    <row r="105" spans="1:12" ht="15">
      <c r="A105" s="280"/>
      <c r="B105" s="1598">
        <v>12</v>
      </c>
      <c r="C105" s="1724"/>
      <c r="D105" s="1793"/>
      <c r="E105" s="1171">
        <f>'Budget-Restricted MYP'!F105</f>
        <v>0</v>
      </c>
      <c r="F105" s="708"/>
      <c r="G105" s="708"/>
      <c r="H105" s="49"/>
      <c r="I105" s="714"/>
      <c r="J105" s="483"/>
      <c r="K105" s="698"/>
      <c r="L105" s="1236"/>
    </row>
    <row r="106" spans="1:12" ht="15">
      <c r="A106" s="280"/>
      <c r="B106" s="1598">
        <v>13</v>
      </c>
      <c r="C106" s="1724"/>
      <c r="D106" s="1793"/>
      <c r="E106" s="1171">
        <f>'Budget-Restricted MYP'!F106</f>
        <v>0</v>
      </c>
      <c r="F106" s="708"/>
      <c r="G106" s="708"/>
      <c r="H106" s="49"/>
      <c r="I106" s="714"/>
      <c r="J106" s="483"/>
      <c r="K106" s="698"/>
      <c r="L106" s="1236"/>
    </row>
    <row r="107" spans="1:12" ht="15">
      <c r="A107" s="280"/>
      <c r="B107" s="1598">
        <v>14</v>
      </c>
      <c r="C107" s="1724"/>
      <c r="D107" s="1793"/>
      <c r="E107" s="1171">
        <f>'Budget-Restricted MYP'!F107</f>
        <v>0</v>
      </c>
      <c r="F107" s="708"/>
      <c r="G107" s="708"/>
      <c r="H107" s="49" t="str">
        <f t="shared" ref="H107:H114" si="5">IF(E107&lt;1," ",IF(G107&lt;1," ",(G107-E107)/E107))</f>
        <v xml:space="preserve"> </v>
      </c>
      <c r="I107" s="714"/>
      <c r="J107" s="483" t="str">
        <f t="shared" si="3"/>
        <v xml:space="preserve"> </v>
      </c>
      <c r="K107" s="698"/>
      <c r="L107" s="1236" t="str">
        <f t="shared" si="4"/>
        <v xml:space="preserve"> </v>
      </c>
    </row>
    <row r="108" spans="1:12" ht="15">
      <c r="A108" s="280"/>
      <c r="B108" s="1598">
        <v>15</v>
      </c>
      <c r="C108" s="1724"/>
      <c r="D108" s="1793"/>
      <c r="E108" s="1171">
        <f>'Budget-Restricted MYP'!F108</f>
        <v>0</v>
      </c>
      <c r="F108" s="708"/>
      <c r="G108" s="708"/>
      <c r="H108" s="49" t="str">
        <f t="shared" si="5"/>
        <v xml:space="preserve"> </v>
      </c>
      <c r="I108" s="714"/>
      <c r="J108" s="483" t="str">
        <f t="shared" si="3"/>
        <v xml:space="preserve"> </v>
      </c>
      <c r="K108" s="698"/>
      <c r="L108" s="1236" t="str">
        <f t="shared" si="4"/>
        <v xml:space="preserve"> </v>
      </c>
    </row>
    <row r="109" spans="1:12" ht="15">
      <c r="A109" s="280"/>
      <c r="B109" s="1598">
        <v>16</v>
      </c>
      <c r="C109" s="1724"/>
      <c r="D109" s="1793"/>
      <c r="E109" s="1171">
        <f>'Budget-Restricted MYP'!F109</f>
        <v>0</v>
      </c>
      <c r="F109" s="708"/>
      <c r="G109" s="708"/>
      <c r="H109" s="49" t="str">
        <f t="shared" si="5"/>
        <v xml:space="preserve"> </v>
      </c>
      <c r="I109" s="714"/>
      <c r="J109" s="483" t="str">
        <f t="shared" si="3"/>
        <v xml:space="preserve"> </v>
      </c>
      <c r="K109" s="698"/>
      <c r="L109" s="1236" t="str">
        <f t="shared" si="4"/>
        <v xml:space="preserve"> </v>
      </c>
    </row>
    <row r="110" spans="1:12" ht="15">
      <c r="A110" s="280"/>
      <c r="B110" s="1598">
        <v>17</v>
      </c>
      <c r="C110" s="1722"/>
      <c r="D110" s="1794"/>
      <c r="E110" s="1171">
        <f>'Budget-Restricted MYP'!F110</f>
        <v>0</v>
      </c>
      <c r="F110" s="708"/>
      <c r="G110" s="708"/>
      <c r="H110" s="49" t="str">
        <f t="shared" si="5"/>
        <v xml:space="preserve"> </v>
      </c>
      <c r="I110" s="714"/>
      <c r="J110" s="483" t="str">
        <f t="shared" si="3"/>
        <v xml:space="preserve"> </v>
      </c>
      <c r="K110" s="698"/>
      <c r="L110" s="1236" t="str">
        <f t="shared" si="4"/>
        <v xml:space="preserve"> </v>
      </c>
    </row>
    <row r="111" spans="1:12" ht="15">
      <c r="A111" s="280"/>
      <c r="B111" s="1598">
        <v>18</v>
      </c>
      <c r="C111" s="1722"/>
      <c r="D111" s="1794"/>
      <c r="E111" s="1171">
        <f>'Budget-Restricted MYP'!F111</f>
        <v>0</v>
      </c>
      <c r="F111" s="708"/>
      <c r="G111" s="708"/>
      <c r="H111" s="49" t="str">
        <f t="shared" si="5"/>
        <v xml:space="preserve"> </v>
      </c>
      <c r="I111" s="714"/>
      <c r="J111" s="483" t="str">
        <f t="shared" si="3"/>
        <v xml:space="preserve"> </v>
      </c>
      <c r="K111" s="698"/>
      <c r="L111" s="1236" t="str">
        <f t="shared" si="4"/>
        <v xml:space="preserve"> </v>
      </c>
    </row>
    <row r="112" spans="1:12" ht="15">
      <c r="A112" s="67"/>
      <c r="B112" s="1598">
        <v>19</v>
      </c>
      <c r="C112" s="1722"/>
      <c r="D112" s="1794"/>
      <c r="E112" s="1171">
        <f>'Budget-Restricted MYP'!F112</f>
        <v>0</v>
      </c>
      <c r="F112" s="709"/>
      <c r="G112" s="709"/>
      <c r="H112" s="49" t="str">
        <f t="shared" si="5"/>
        <v xml:space="preserve"> </v>
      </c>
      <c r="I112" s="716"/>
      <c r="J112" s="483" t="str">
        <f t="shared" si="3"/>
        <v xml:space="preserve"> </v>
      </c>
      <c r="K112" s="705"/>
      <c r="L112" s="1236" t="str">
        <f t="shared" si="4"/>
        <v xml:space="preserve"> </v>
      </c>
    </row>
    <row r="113" spans="1:12" ht="15.4" thickBot="1">
      <c r="A113" s="67"/>
      <c r="B113" s="1598">
        <v>20</v>
      </c>
      <c r="C113" s="1780"/>
      <c r="D113" s="1867"/>
      <c r="E113" s="1171">
        <f>'Budget-Restricted MYP'!F113</f>
        <v>0</v>
      </c>
      <c r="F113" s="710"/>
      <c r="G113" s="710"/>
      <c r="H113" s="49" t="str">
        <f t="shared" si="5"/>
        <v xml:space="preserve"> </v>
      </c>
      <c r="I113" s="818"/>
      <c r="J113" s="484" t="str">
        <f t="shared" si="3"/>
        <v xml:space="preserve"> </v>
      </c>
      <c r="K113" s="699"/>
      <c r="L113" s="1237" t="str">
        <f t="shared" si="4"/>
        <v xml:space="preserve"> </v>
      </c>
    </row>
    <row r="114" spans="1:12" ht="15.75" thickTop="1" thickBot="1">
      <c r="A114" s="67"/>
      <c r="B114" s="923" t="s">
        <v>2</v>
      </c>
      <c r="C114" s="1728" t="s">
        <v>318</v>
      </c>
      <c r="D114" s="1729"/>
      <c r="E114" s="884">
        <f>SUM(E94:E113)</f>
        <v>534301.255</v>
      </c>
      <c r="F114" s="1170">
        <f>SUM(F94:F113)</f>
        <v>0</v>
      </c>
      <c r="G114" s="884">
        <f>SUM(G94:G113)</f>
        <v>0</v>
      </c>
      <c r="H114" s="1084" t="str">
        <f t="shared" si="5"/>
        <v xml:space="preserve"> </v>
      </c>
      <c r="I114" s="884">
        <f>SUM(I94:I113)</f>
        <v>0</v>
      </c>
      <c r="J114" s="885" t="str">
        <f t="shared" si="3"/>
        <v xml:space="preserve"> </v>
      </c>
      <c r="K114" s="884">
        <f>SUM(K94:K113)</f>
        <v>0</v>
      </c>
      <c r="L114" s="1238" t="str">
        <f t="shared" si="4"/>
        <v xml:space="preserve"> </v>
      </c>
    </row>
    <row r="115" spans="1:12" ht="15.4" thickTop="1">
      <c r="A115" s="67"/>
      <c r="B115" s="933"/>
      <c r="C115" s="934"/>
      <c r="D115" s="952"/>
      <c r="E115" s="167"/>
      <c r="F115" s="51"/>
      <c r="G115" s="167"/>
      <c r="H115" s="51"/>
      <c r="I115" s="167"/>
      <c r="J115" s="51"/>
      <c r="K115" s="51"/>
      <c r="L115" s="1239"/>
    </row>
    <row r="116" spans="1:12" ht="15">
      <c r="A116" s="67"/>
      <c r="B116" s="1864" t="s">
        <v>207</v>
      </c>
      <c r="C116" s="1865"/>
      <c r="D116" s="1866"/>
      <c r="E116" s="959">
        <f>'Budget-Restricted MYP'!F116</f>
        <v>72</v>
      </c>
      <c r="F116" s="958"/>
      <c r="G116" s="959">
        <f>'1st Interim-Assumptions'!G17</f>
        <v>0</v>
      </c>
      <c r="H116" s="465"/>
      <c r="I116" s="959">
        <f>'1st Interim-Assumptions'!H17</f>
        <v>0</v>
      </c>
      <c r="J116" s="465"/>
      <c r="K116" s="959">
        <f>'1st Interim-Assumptions'!J17</f>
        <v>0</v>
      </c>
      <c r="L116" s="1240"/>
    </row>
    <row r="117" spans="1:12" ht="15">
      <c r="A117" s="280"/>
      <c r="B117" s="1864" t="s">
        <v>208</v>
      </c>
      <c r="C117" s="1865"/>
      <c r="D117" s="1866"/>
      <c r="E117" s="962">
        <f>'Budget-Restricted MYP'!F117</f>
        <v>37638.160559999997</v>
      </c>
      <c r="F117" s="958"/>
      <c r="G117" s="962" t="e">
        <f>(1.04446*'1st Interim-ADA'!O76)*G116</f>
        <v>#VALUE!</v>
      </c>
      <c r="H117" s="49" t="e">
        <f>IF(E117&lt;1," ",IF(G117&lt;1," ",(G117-E117)/E117))</f>
        <v>#VALUE!</v>
      </c>
      <c r="I117" s="962" t="e">
        <f>(1.04446*'1st Interim-ADA'!R76)*I116</f>
        <v>#VALUE!</v>
      </c>
      <c r="J117" s="268" t="e">
        <f>IF(G117&lt;1," ",IF(I117&lt;1," ",(I117-G117)/G117))</f>
        <v>#VALUE!</v>
      </c>
      <c r="K117" s="962" t="e">
        <f>(1.04446*'1st Interim-ADA'!U76)*K116</f>
        <v>#VALUE!</v>
      </c>
      <c r="L117" s="1241" t="e">
        <f>IF(I117&lt;1," ",IF(K117&lt;1," ",(K117-I117)/I117))</f>
        <v>#VALUE!</v>
      </c>
    </row>
    <row r="118" spans="1:12" ht="8.25" customHeight="1">
      <c r="A118" s="67"/>
      <c r="B118" s="358"/>
      <c r="C118" s="358"/>
      <c r="D118" s="953"/>
      <c r="E118" s="954"/>
      <c r="F118" s="51"/>
      <c r="G118" s="51"/>
      <c r="H118" s="955"/>
      <c r="I118" s="51"/>
      <c r="J118" s="955"/>
      <c r="K118" s="51"/>
      <c r="L118" s="1239"/>
    </row>
    <row r="119" spans="1:12" ht="15">
      <c r="A119" s="280"/>
      <c r="B119" s="164"/>
      <c r="C119" s="164" t="s">
        <v>319</v>
      </c>
      <c r="D119" s="164"/>
      <c r="E119" s="164"/>
      <c r="F119" s="1770"/>
      <c r="G119" s="1770"/>
      <c r="H119" s="1770"/>
      <c r="I119" s="1770"/>
      <c r="J119" s="1770"/>
      <c r="K119" s="51"/>
      <c r="L119" s="1242"/>
    </row>
    <row r="120" spans="1:12" ht="15">
      <c r="A120" s="280"/>
      <c r="B120" s="287">
        <v>1</v>
      </c>
      <c r="C120" s="1724"/>
      <c r="D120" s="1725"/>
      <c r="E120" s="1172">
        <f>'Budget-Restricted MYP'!F120</f>
        <v>444144</v>
      </c>
      <c r="F120" s="708"/>
      <c r="G120" s="708"/>
      <c r="H120" s="1086" t="str">
        <f t="shared" ref="H120:H138" si="6">IF(E120&lt;1," ",IF(G120&lt;1," ",(G120-E120)/E120))</f>
        <v xml:space="preserve"> </v>
      </c>
      <c r="I120" s="714"/>
      <c r="J120" s="484" t="str">
        <f t="shared" ref="J120:J138" si="7">IF(G120&lt;1," ",IF(I120&lt;1," ",(I120-G120)/G120))</f>
        <v xml:space="preserve"> </v>
      </c>
      <c r="K120" s="703"/>
      <c r="L120" s="1243" t="str">
        <f t="shared" ref="L120:L138" si="8">IF(I120&lt;1," ",IF(K120&lt;1," ",(K120-I120)/I120))</f>
        <v xml:space="preserve"> </v>
      </c>
    </row>
    <row r="121" spans="1:12" ht="15">
      <c r="A121" s="280"/>
      <c r="B121" s="287">
        <v>2</v>
      </c>
      <c r="C121" s="1724"/>
      <c r="D121" s="1725"/>
      <c r="E121" s="1172">
        <f>'Budget-Restricted MYP'!F121</f>
        <v>243577</v>
      </c>
      <c r="F121" s="709"/>
      <c r="G121" s="709"/>
      <c r="H121" s="1086" t="str">
        <f t="shared" si="6"/>
        <v xml:space="preserve"> </v>
      </c>
      <c r="I121" s="716"/>
      <c r="J121" s="484" t="str">
        <f t="shared" si="7"/>
        <v xml:space="preserve"> </v>
      </c>
      <c r="K121" s="705"/>
      <c r="L121" s="1237" t="str">
        <f t="shared" si="8"/>
        <v xml:space="preserve"> </v>
      </c>
    </row>
    <row r="122" spans="1:12" ht="15">
      <c r="A122" s="280"/>
      <c r="B122" s="287">
        <v>3</v>
      </c>
      <c r="C122" s="1724"/>
      <c r="D122" s="1725"/>
      <c r="E122" s="1172">
        <f>'Budget-Restricted MYP'!F122</f>
        <v>710710</v>
      </c>
      <c r="F122" s="709"/>
      <c r="G122" s="709"/>
      <c r="H122" s="1086" t="str">
        <f t="shared" si="6"/>
        <v xml:space="preserve"> </v>
      </c>
      <c r="I122" s="716"/>
      <c r="J122" s="484" t="str">
        <f t="shared" si="7"/>
        <v xml:space="preserve"> </v>
      </c>
      <c r="K122" s="705"/>
      <c r="L122" s="1237" t="str">
        <f t="shared" si="8"/>
        <v xml:space="preserve"> </v>
      </c>
    </row>
    <row r="123" spans="1:12" ht="15">
      <c r="A123" s="280"/>
      <c r="B123" s="287">
        <v>4</v>
      </c>
      <c r="C123" s="1724"/>
      <c r="D123" s="1725"/>
      <c r="E123" s="1172">
        <f>'Budget-Restricted MYP'!F123</f>
        <v>95181</v>
      </c>
      <c r="F123" s="708"/>
      <c r="G123" s="708"/>
      <c r="H123" s="1086" t="str">
        <f t="shared" si="6"/>
        <v xml:space="preserve"> </v>
      </c>
      <c r="I123" s="714"/>
      <c r="J123" s="484" t="str">
        <f t="shared" si="7"/>
        <v xml:space="preserve"> </v>
      </c>
      <c r="K123" s="698"/>
      <c r="L123" s="1236" t="str">
        <f t="shared" si="8"/>
        <v xml:space="preserve"> </v>
      </c>
    </row>
    <row r="124" spans="1:12" ht="15">
      <c r="A124" s="67"/>
      <c r="B124" s="287">
        <v>5</v>
      </c>
      <c r="C124" s="1724"/>
      <c r="D124" s="1725"/>
      <c r="E124" s="1172">
        <f>'Budget-Restricted MYP'!F124</f>
        <v>0</v>
      </c>
      <c r="F124" s="726"/>
      <c r="G124" s="726"/>
      <c r="H124" s="1086" t="str">
        <f t="shared" si="6"/>
        <v xml:space="preserve"> </v>
      </c>
      <c r="I124" s="819"/>
      <c r="J124" s="484" t="str">
        <f t="shared" si="7"/>
        <v xml:space="preserve"> </v>
      </c>
      <c r="K124" s="824"/>
      <c r="L124" s="485" t="str">
        <f t="shared" si="8"/>
        <v xml:space="preserve"> </v>
      </c>
    </row>
    <row r="125" spans="1:12" ht="15">
      <c r="A125" s="281"/>
      <c r="B125" s="288">
        <v>6</v>
      </c>
      <c r="C125" s="1722"/>
      <c r="D125" s="1723"/>
      <c r="E125" s="1172">
        <f>'Budget-Restricted MYP'!F125</f>
        <v>0</v>
      </c>
      <c r="F125" s="727"/>
      <c r="G125" s="727"/>
      <c r="H125" s="1085" t="str">
        <f t="shared" si="6"/>
        <v xml:space="preserve"> </v>
      </c>
      <c r="I125" s="820"/>
      <c r="J125" s="483" t="str">
        <f t="shared" si="7"/>
        <v xml:space="preserve"> </v>
      </c>
      <c r="K125" s="825"/>
      <c r="L125" s="482" t="str">
        <f t="shared" si="8"/>
        <v xml:space="preserve"> </v>
      </c>
    </row>
    <row r="126" spans="1:12" ht="15">
      <c r="A126" s="281"/>
      <c r="B126" s="288">
        <v>7</v>
      </c>
      <c r="C126" s="1722"/>
      <c r="D126" s="1723"/>
      <c r="E126" s="1172">
        <f>'Budget-Restricted MYP'!F126</f>
        <v>0</v>
      </c>
      <c r="F126" s="709"/>
      <c r="G126" s="709"/>
      <c r="H126" s="1085" t="str">
        <f t="shared" si="6"/>
        <v xml:space="preserve"> </v>
      </c>
      <c r="I126" s="716"/>
      <c r="J126" s="483" t="str">
        <f t="shared" si="7"/>
        <v xml:space="preserve"> </v>
      </c>
      <c r="K126" s="705"/>
      <c r="L126" s="482" t="str">
        <f t="shared" si="8"/>
        <v xml:space="preserve"> </v>
      </c>
    </row>
    <row r="127" spans="1:12" ht="15">
      <c r="A127" s="281"/>
      <c r="B127" s="288">
        <v>8</v>
      </c>
      <c r="C127" s="1722"/>
      <c r="D127" s="1723"/>
      <c r="E127" s="1172">
        <f>'Budget-Restricted MYP'!F127</f>
        <v>0</v>
      </c>
      <c r="F127" s="709"/>
      <c r="G127" s="709"/>
      <c r="H127" s="1085" t="str">
        <f t="shared" si="6"/>
        <v xml:space="preserve"> </v>
      </c>
      <c r="I127" s="716"/>
      <c r="J127" s="483" t="str">
        <f t="shared" si="7"/>
        <v xml:space="preserve"> </v>
      </c>
      <c r="K127" s="705"/>
      <c r="L127" s="482" t="str">
        <f t="shared" si="8"/>
        <v xml:space="preserve"> </v>
      </c>
    </row>
    <row r="128" spans="1:12" ht="15">
      <c r="A128" s="281"/>
      <c r="B128" s="288">
        <v>9</v>
      </c>
      <c r="C128" s="1724"/>
      <c r="D128" s="1725"/>
      <c r="E128" s="1172">
        <f>'Budget-Restricted MYP'!F128</f>
        <v>0</v>
      </c>
      <c r="F128" s="709"/>
      <c r="G128" s="709"/>
      <c r="H128" s="1085" t="str">
        <f t="shared" si="6"/>
        <v xml:space="preserve"> </v>
      </c>
      <c r="I128" s="716"/>
      <c r="J128" s="483" t="str">
        <f t="shared" si="7"/>
        <v xml:space="preserve"> </v>
      </c>
      <c r="K128" s="705"/>
      <c r="L128" s="482" t="str">
        <f t="shared" si="8"/>
        <v xml:space="preserve"> </v>
      </c>
    </row>
    <row r="129" spans="1:12" ht="15">
      <c r="A129" s="281"/>
      <c r="B129" s="1599">
        <v>10</v>
      </c>
      <c r="C129" s="1722"/>
      <c r="D129" s="1723"/>
      <c r="E129" s="1172">
        <f>'Budget-Restricted MYP'!F129</f>
        <v>0</v>
      </c>
      <c r="F129" s="705"/>
      <c r="G129" s="709"/>
      <c r="H129" s="1085" t="str">
        <f t="shared" si="6"/>
        <v xml:space="preserve"> </v>
      </c>
      <c r="I129" s="716"/>
      <c r="J129" s="483" t="str">
        <f t="shared" si="7"/>
        <v xml:space="preserve"> </v>
      </c>
      <c r="K129" s="705"/>
      <c r="L129" s="482" t="str">
        <f t="shared" si="8"/>
        <v xml:space="preserve"> </v>
      </c>
    </row>
    <row r="130" spans="1:12" ht="15">
      <c r="A130" s="67"/>
      <c r="B130" s="1599">
        <v>11</v>
      </c>
      <c r="C130" s="1722"/>
      <c r="D130" s="1723"/>
      <c r="E130" s="1172">
        <f>'Budget-Restricted MYP'!F130</f>
        <v>0</v>
      </c>
      <c r="F130" s="826"/>
      <c r="G130" s="719"/>
      <c r="H130" s="1085" t="str">
        <f t="shared" si="6"/>
        <v xml:space="preserve"> </v>
      </c>
      <c r="I130" s="719"/>
      <c r="J130" s="483" t="str">
        <f t="shared" si="7"/>
        <v xml:space="preserve"> </v>
      </c>
      <c r="K130" s="826"/>
      <c r="L130" s="482" t="str">
        <f t="shared" si="8"/>
        <v xml:space="preserve"> </v>
      </c>
    </row>
    <row r="131" spans="1:12" ht="15">
      <c r="A131" s="67"/>
      <c r="B131" s="1599">
        <v>12</v>
      </c>
      <c r="C131" s="1722"/>
      <c r="D131" s="1723"/>
      <c r="E131" s="1172">
        <f>'Budget-Restricted MYP'!F131</f>
        <v>0</v>
      </c>
      <c r="F131" s="827"/>
      <c r="G131" s="720"/>
      <c r="H131" s="1085" t="str">
        <f t="shared" si="6"/>
        <v xml:space="preserve"> </v>
      </c>
      <c r="I131" s="720"/>
      <c r="J131" s="483" t="str">
        <f t="shared" si="7"/>
        <v xml:space="preserve"> </v>
      </c>
      <c r="K131" s="827"/>
      <c r="L131" s="482" t="str">
        <f t="shared" si="8"/>
        <v xml:space="preserve"> </v>
      </c>
    </row>
    <row r="132" spans="1:12" ht="15">
      <c r="A132" s="67"/>
      <c r="B132" s="1599">
        <v>13</v>
      </c>
      <c r="C132" s="1722"/>
      <c r="D132" s="1723"/>
      <c r="E132" s="1172">
        <f>'Budget-Restricted MYP'!F132</f>
        <v>0</v>
      </c>
      <c r="F132" s="734"/>
      <c r="G132" s="728"/>
      <c r="H132" s="1085" t="str">
        <f t="shared" si="6"/>
        <v xml:space="preserve"> </v>
      </c>
      <c r="I132" s="821"/>
      <c r="J132" s="483" t="str">
        <f t="shared" si="7"/>
        <v xml:space="preserve"> </v>
      </c>
      <c r="K132" s="734"/>
      <c r="L132" s="482" t="str">
        <f t="shared" si="8"/>
        <v xml:space="preserve"> </v>
      </c>
    </row>
    <row r="133" spans="1:12" ht="15">
      <c r="A133" s="67"/>
      <c r="B133" s="1599">
        <v>14</v>
      </c>
      <c r="C133" s="1722"/>
      <c r="D133" s="1723"/>
      <c r="E133" s="1172">
        <f>'Budget-Restricted MYP'!F133</f>
        <v>0</v>
      </c>
      <c r="F133" s="735"/>
      <c r="G133" s="729"/>
      <c r="H133" s="1085" t="str">
        <f t="shared" si="6"/>
        <v xml:space="preserve"> </v>
      </c>
      <c r="I133" s="742"/>
      <c r="J133" s="483" t="str">
        <f t="shared" si="7"/>
        <v xml:space="preserve"> </v>
      </c>
      <c r="K133" s="735"/>
      <c r="L133" s="482" t="str">
        <f t="shared" si="8"/>
        <v xml:space="preserve"> </v>
      </c>
    </row>
    <row r="134" spans="1:12" ht="15">
      <c r="A134" s="67"/>
      <c r="B134" s="1599">
        <v>15</v>
      </c>
      <c r="C134" s="1722"/>
      <c r="D134" s="1723"/>
      <c r="E134" s="1172">
        <f>'Budget-Restricted MYP'!F134</f>
        <v>0</v>
      </c>
      <c r="F134" s="728"/>
      <c r="G134" s="728"/>
      <c r="H134" s="1085" t="str">
        <f t="shared" si="6"/>
        <v xml:space="preserve"> </v>
      </c>
      <c r="I134" s="821"/>
      <c r="J134" s="483" t="str">
        <f t="shared" si="7"/>
        <v xml:space="preserve"> </v>
      </c>
      <c r="K134" s="734"/>
      <c r="L134" s="482" t="str">
        <f t="shared" si="8"/>
        <v xml:space="preserve"> </v>
      </c>
    </row>
    <row r="135" spans="1:12" ht="15">
      <c r="A135" s="67"/>
      <c r="B135" s="1599">
        <v>16</v>
      </c>
      <c r="C135" s="1722"/>
      <c r="D135" s="1723"/>
      <c r="E135" s="1172">
        <f>'Budget-Restricted MYP'!F135</f>
        <v>0</v>
      </c>
      <c r="F135" s="730"/>
      <c r="G135" s="730"/>
      <c r="H135" s="1085" t="str">
        <f t="shared" si="6"/>
        <v xml:space="preserve"> </v>
      </c>
      <c r="I135" s="822"/>
      <c r="J135" s="483" t="str">
        <f t="shared" si="7"/>
        <v xml:space="preserve"> </v>
      </c>
      <c r="K135" s="736"/>
      <c r="L135" s="482" t="str">
        <f t="shared" si="8"/>
        <v xml:space="preserve"> </v>
      </c>
    </row>
    <row r="136" spans="1:12" ht="15">
      <c r="A136" s="67"/>
      <c r="B136" s="1599">
        <v>17</v>
      </c>
      <c r="C136" s="1722"/>
      <c r="D136" s="1723"/>
      <c r="E136" s="1172">
        <f>'Budget-Restricted MYP'!F136</f>
        <v>0</v>
      </c>
      <c r="F136" s="731"/>
      <c r="G136" s="731"/>
      <c r="H136" s="1085" t="str">
        <f t="shared" si="6"/>
        <v xml:space="preserve"> </v>
      </c>
      <c r="I136" s="823"/>
      <c r="J136" s="483" t="str">
        <f t="shared" si="7"/>
        <v xml:space="preserve"> </v>
      </c>
      <c r="K136" s="737"/>
      <c r="L136" s="482" t="str">
        <f t="shared" si="8"/>
        <v xml:space="preserve"> </v>
      </c>
    </row>
    <row r="137" spans="1:12" ht="15.4" thickBot="1">
      <c r="A137" s="67"/>
      <c r="B137" s="1600">
        <v>18</v>
      </c>
      <c r="C137" s="1726"/>
      <c r="D137" s="1727"/>
      <c r="E137" s="1173">
        <f>'Budget-Restricted MYP'!F137</f>
        <v>0</v>
      </c>
      <c r="F137" s="1174"/>
      <c r="G137" s="725"/>
      <c r="H137" s="330" t="str">
        <f t="shared" si="6"/>
        <v xml:space="preserve"> </v>
      </c>
      <c r="I137" s="725"/>
      <c r="J137" s="593" t="str">
        <f t="shared" si="7"/>
        <v xml:space="preserve"> </v>
      </c>
      <c r="K137" s="828"/>
      <c r="L137" s="594" t="str">
        <f t="shared" si="8"/>
        <v xml:space="preserve"> </v>
      </c>
    </row>
    <row r="138" spans="1:12" ht="15.75" thickTop="1" thickBot="1">
      <c r="A138" s="67"/>
      <c r="B138" s="887"/>
      <c r="C138" s="1728" t="s">
        <v>317</v>
      </c>
      <c r="D138" s="1729"/>
      <c r="E138" s="794">
        <f>SUM(E120:E137)</f>
        <v>1493612</v>
      </c>
      <c r="F138" s="794">
        <f>SUM(F120:F137)</f>
        <v>0</v>
      </c>
      <c r="G138" s="794">
        <f>SUM(G120:G137)</f>
        <v>0</v>
      </c>
      <c r="H138" s="1087" t="str">
        <f t="shared" si="6"/>
        <v xml:space="preserve"> </v>
      </c>
      <c r="I138" s="794">
        <f>SUM(I120:I137)</f>
        <v>0</v>
      </c>
      <c r="J138" s="576" t="str">
        <f t="shared" si="7"/>
        <v xml:space="preserve"> </v>
      </c>
      <c r="K138" s="794">
        <f>SUM(K120:K137)</f>
        <v>0</v>
      </c>
      <c r="L138" s="481" t="str">
        <f t="shared" si="8"/>
        <v xml:space="preserve"> </v>
      </c>
    </row>
    <row r="139" spans="1:12" ht="15.4" thickTop="1">
      <c r="A139" s="67"/>
      <c r="B139" s="151"/>
      <c r="C139" s="1860"/>
      <c r="D139" s="1860"/>
      <c r="E139" s="646"/>
      <c r="F139" s="454"/>
      <c r="G139" s="454"/>
      <c r="H139" s="853"/>
      <c r="I139" s="454"/>
      <c r="J139" s="853"/>
      <c r="K139" s="454"/>
      <c r="L139" s="867"/>
    </row>
    <row r="140" spans="1:12" ht="15">
      <c r="A140" s="280"/>
      <c r="B140" s="164"/>
      <c r="C140" s="164" t="s">
        <v>331</v>
      </c>
      <c r="D140" s="164"/>
      <c r="E140" s="164"/>
      <c r="F140" s="1770"/>
      <c r="G140" s="1770"/>
      <c r="H140" s="1770"/>
      <c r="I140" s="1770"/>
      <c r="J140" s="1770"/>
      <c r="K140" s="51"/>
      <c r="L140" s="595"/>
    </row>
    <row r="141" spans="1:12" ht="15">
      <c r="A141" s="67"/>
      <c r="B141" s="287">
        <v>1</v>
      </c>
      <c r="C141" s="1724"/>
      <c r="D141" s="1725"/>
      <c r="E141" s="1172">
        <f>'Budget-Restricted MYP'!F141</f>
        <v>0</v>
      </c>
      <c r="F141" s="1175"/>
      <c r="G141" s="722"/>
      <c r="H141" s="1085" t="str">
        <f t="shared" ref="H141:H147" si="9">IF(E141&lt;1," ",IF(G141&lt;1," ",(G141-E141)/E141))</f>
        <v xml:space="preserve"> </v>
      </c>
      <c r="I141" s="742"/>
      <c r="J141" s="31" t="str">
        <f t="shared" ref="J141:J147" si="10">IF(G141&lt;1," ",IF(I141&lt;1," ",(I141-G141)/G141))</f>
        <v xml:space="preserve"> </v>
      </c>
      <c r="K141" s="829"/>
      <c r="L141" s="632" t="str">
        <f t="shared" ref="L141:L147" si="11">IF(I141&lt;1," ",IF(K141&lt;1," ",(K141-I141)/I141))</f>
        <v xml:space="preserve"> </v>
      </c>
    </row>
    <row r="142" spans="1:12" ht="15">
      <c r="A142" s="67"/>
      <c r="B142" s="287">
        <v>2</v>
      </c>
      <c r="C142" s="1724"/>
      <c r="D142" s="1725"/>
      <c r="E142" s="1172">
        <f>'Budget-Restricted MYP'!F142</f>
        <v>0</v>
      </c>
      <c r="F142" s="1176"/>
      <c r="G142" s="740"/>
      <c r="H142" s="78" t="str">
        <f t="shared" si="9"/>
        <v xml:space="preserve"> </v>
      </c>
      <c r="I142" s="740"/>
      <c r="J142" s="78" t="str">
        <f t="shared" si="10"/>
        <v xml:space="preserve"> </v>
      </c>
      <c r="K142" s="830"/>
      <c r="L142" s="633" t="str">
        <f t="shared" si="11"/>
        <v xml:space="preserve"> </v>
      </c>
    </row>
    <row r="143" spans="1:12" ht="15">
      <c r="A143" s="67"/>
      <c r="B143" s="287">
        <v>3</v>
      </c>
      <c r="C143" s="1724"/>
      <c r="D143" s="1725"/>
      <c r="E143" s="1172">
        <f>'Budget-Restricted MYP'!F143</f>
        <v>0</v>
      </c>
      <c r="F143" s="828"/>
      <c r="G143" s="725"/>
      <c r="H143" s="330" t="str">
        <f t="shared" si="9"/>
        <v xml:space="preserve"> </v>
      </c>
      <c r="I143" s="743"/>
      <c r="J143" s="330" t="str">
        <f t="shared" si="10"/>
        <v xml:space="preserve"> </v>
      </c>
      <c r="K143" s="831"/>
      <c r="L143" s="634" t="str">
        <f t="shared" si="11"/>
        <v xml:space="preserve"> </v>
      </c>
    </row>
    <row r="144" spans="1:12" ht="15">
      <c r="A144" s="67"/>
      <c r="B144" s="287">
        <v>4</v>
      </c>
      <c r="C144" s="1724"/>
      <c r="D144" s="1725"/>
      <c r="E144" s="1172">
        <f>'Budget-Restricted MYP'!F144</f>
        <v>0</v>
      </c>
      <c r="F144" s="735"/>
      <c r="G144" s="722"/>
      <c r="H144" s="1085" t="str">
        <f t="shared" si="9"/>
        <v xml:space="preserve"> </v>
      </c>
      <c r="I144" s="742"/>
      <c r="J144" s="31" t="str">
        <f t="shared" si="10"/>
        <v xml:space="preserve"> </v>
      </c>
      <c r="K144" s="832"/>
      <c r="L144" s="635" t="str">
        <f t="shared" si="11"/>
        <v xml:space="preserve"> </v>
      </c>
    </row>
    <row r="145" spans="1:12" ht="15">
      <c r="A145" s="67"/>
      <c r="B145" s="287">
        <v>5</v>
      </c>
      <c r="C145" s="1724"/>
      <c r="D145" s="1725"/>
      <c r="E145" s="1172">
        <f>'Budget-Restricted MYP'!F145</f>
        <v>0</v>
      </c>
      <c r="F145" s="735"/>
      <c r="G145" s="722"/>
      <c r="H145" s="1085" t="str">
        <f t="shared" si="9"/>
        <v xml:space="preserve"> </v>
      </c>
      <c r="I145" s="742"/>
      <c r="J145" s="31" t="str">
        <f t="shared" si="10"/>
        <v xml:space="preserve"> </v>
      </c>
      <c r="K145" s="832"/>
      <c r="L145" s="635" t="str">
        <f t="shared" si="11"/>
        <v xml:space="preserve"> </v>
      </c>
    </row>
    <row r="146" spans="1:12" ht="15.4" thickBot="1">
      <c r="A146" s="67"/>
      <c r="B146" s="922">
        <v>6</v>
      </c>
      <c r="C146" s="1726"/>
      <c r="D146" s="1727"/>
      <c r="E146" s="1173">
        <f>'Budget-Restricted MYP'!F146</f>
        <v>0</v>
      </c>
      <c r="F146" s="1174"/>
      <c r="G146" s="725"/>
      <c r="H146" s="1086" t="str">
        <f t="shared" si="9"/>
        <v xml:space="preserve"> </v>
      </c>
      <c r="I146" s="743"/>
      <c r="J146" s="94" t="str">
        <f t="shared" si="10"/>
        <v xml:space="preserve"> </v>
      </c>
      <c r="K146" s="831"/>
      <c r="L146" s="634" t="str">
        <f t="shared" si="11"/>
        <v xml:space="preserve"> </v>
      </c>
    </row>
    <row r="147" spans="1:12" ht="15.75" thickTop="1" thickBot="1">
      <c r="A147" s="67"/>
      <c r="B147" s="913"/>
      <c r="C147" s="1728" t="s">
        <v>316</v>
      </c>
      <c r="D147" s="1729"/>
      <c r="E147" s="794">
        <f>SUM(E141:E146)</f>
        <v>0</v>
      </c>
      <c r="F147" s="794">
        <f>SUM(F141:F146)</f>
        <v>0</v>
      </c>
      <c r="G147" s="794">
        <f>SUM(G141:G146)</f>
        <v>0</v>
      </c>
      <c r="H147" s="1087" t="str">
        <f t="shared" si="9"/>
        <v xml:space="preserve"> </v>
      </c>
      <c r="I147" s="794">
        <f>SUM(I141:I146)</f>
        <v>0</v>
      </c>
      <c r="J147" s="576" t="str">
        <f t="shared" si="10"/>
        <v xml:space="preserve"> </v>
      </c>
      <c r="K147" s="794">
        <f>SUM(K141:K146)</f>
        <v>0</v>
      </c>
      <c r="L147" s="481" t="str">
        <f t="shared" si="11"/>
        <v xml:space="preserve"> </v>
      </c>
    </row>
    <row r="148" spans="1:12" ht="15.75" thickTop="1">
      <c r="A148" s="283"/>
      <c r="B148" s="1"/>
      <c r="C148" s="1"/>
      <c r="D148" s="1294"/>
      <c r="F148" s="1295"/>
      <c r="G148" s="157"/>
      <c r="H148" s="1295"/>
      <c r="I148" s="157"/>
      <c r="J148" s="1295"/>
      <c r="K148" s="1358"/>
      <c r="L148" s="1359"/>
    </row>
    <row r="149" spans="1:12" ht="15">
      <c r="A149" s="328" t="s">
        <v>438</v>
      </c>
      <c r="B149" s="1"/>
      <c r="C149" s="1"/>
      <c r="D149" s="1294"/>
      <c r="F149" s="1295"/>
      <c r="G149" s="157"/>
      <c r="H149" s="1295"/>
      <c r="I149" s="157"/>
      <c r="J149" s="1295"/>
      <c r="K149" s="157"/>
      <c r="L149" s="467"/>
    </row>
    <row r="150" spans="1:12" ht="15.4">
      <c r="A150" s="283"/>
      <c r="B150" s="1787" t="s">
        <v>431</v>
      </c>
      <c r="C150" s="1787"/>
      <c r="D150" s="1787"/>
      <c r="E150" s="1368">
        <f>'Budget-Restricted MYP'!E150</f>
        <v>0</v>
      </c>
      <c r="F150" s="1306"/>
      <c r="G150" s="1306"/>
      <c r="H150" s="1360" t="str">
        <f>IF(E150=0,"",IF(G150=0,"",(G150-E150)/E150))</f>
        <v/>
      </c>
      <c r="I150" s="1371"/>
      <c r="J150" s="1360" t="str">
        <f>IF(G150=0,"",IF(I150=0,"",(I150-G150)/G150))</f>
        <v/>
      </c>
      <c r="K150" s="1371"/>
      <c r="L150" s="1361" t="str">
        <f>IF(I150=0,"",IF(K150=0,"",(K150-I150)/I150))</f>
        <v/>
      </c>
    </row>
    <row r="151" spans="1:12" ht="15.4">
      <c r="A151" s="283"/>
      <c r="B151" s="1787" t="s">
        <v>457</v>
      </c>
      <c r="C151" s="1787"/>
      <c r="D151" s="1787"/>
      <c r="E151" s="1868"/>
      <c r="F151" s="1869"/>
      <c r="G151" s="1869"/>
      <c r="H151" s="1869"/>
      <c r="I151" s="1869"/>
      <c r="J151" s="1869"/>
      <c r="K151" s="1869"/>
      <c r="L151" s="1870"/>
    </row>
    <row r="152" spans="1:12" ht="15.4">
      <c r="A152" s="283"/>
      <c r="B152" s="1789" t="s">
        <v>433</v>
      </c>
      <c r="C152" s="1685"/>
      <c r="D152" s="1790"/>
      <c r="E152" s="1300">
        <f>'Budget-Restricted MYP'!E152</f>
        <v>0</v>
      </c>
      <c r="F152" s="1300">
        <f>F24</f>
        <v>0</v>
      </c>
      <c r="G152" s="1300">
        <f>G24</f>
        <v>0</v>
      </c>
      <c r="H152" s="1605" t="str">
        <f>IF(E152=0,"",IF(G152=0,"",(G152-E152)/E152))</f>
        <v/>
      </c>
      <c r="I152" s="1300">
        <f>I24</f>
        <v>0</v>
      </c>
      <c r="J152" s="1605" t="str">
        <f>IF(G152=0,"",IF(I152=0,"",(I152-G152)/G152))</f>
        <v/>
      </c>
      <c r="K152" s="1344">
        <f>K24</f>
        <v>0</v>
      </c>
      <c r="L152" s="1607" t="str">
        <f>IF(I152=0,"",IF(K152=0,"",(K152-I152)/I152))</f>
        <v/>
      </c>
    </row>
    <row r="153" spans="1:12" ht="15.4">
      <c r="A153" s="283"/>
      <c r="B153" s="1787" t="s">
        <v>434</v>
      </c>
      <c r="C153" s="1787"/>
      <c r="D153" s="1787"/>
      <c r="E153" s="1521">
        <f>'Budget-Restricted MYP'!E153</f>
        <v>0</v>
      </c>
      <c r="F153" s="735"/>
      <c r="G153" s="735"/>
      <c r="H153" s="1522" t="str">
        <f>IF(E153=0,"",IF(G153=0,"",(G153-E153)/E153))</f>
        <v/>
      </c>
      <c r="I153" s="1216"/>
      <c r="J153" s="1360" t="str">
        <f>IF(G153=0,"",IF(I153=0,"",(I153-G153)/G153))</f>
        <v/>
      </c>
      <c r="K153" s="1345"/>
      <c r="L153" s="1361" t="str">
        <f>IF(I153=0,"",IF(K153=0,"",(K153-I153)/I153))</f>
        <v/>
      </c>
    </row>
    <row r="154" spans="1:12" ht="15.4">
      <c r="A154" s="283"/>
      <c r="B154" s="1787" t="s">
        <v>462</v>
      </c>
      <c r="C154" s="1787"/>
      <c r="D154" s="1787"/>
      <c r="E154" s="288">
        <f>'Budget-Restricted MYP'!E154</f>
        <v>0</v>
      </c>
      <c r="F154" s="735"/>
      <c r="G154" s="735"/>
      <c r="H154" s="1523" t="str">
        <f>IF(E154=0,"",IF(G154=0,"",(G154-E154)/E154))</f>
        <v/>
      </c>
      <c r="I154" s="722"/>
      <c r="J154" s="1365" t="str">
        <f>IF(G154=0,"",IF(I154=0,"",(I154-G154)/G154))</f>
        <v/>
      </c>
      <c r="K154" s="729"/>
      <c r="L154" s="1362" t="str">
        <f>IF(I154=0,"",IF(K154=0,"",(K154-I154)/I154))</f>
        <v/>
      </c>
    </row>
    <row r="155" spans="1:12" ht="15.75" thickBot="1">
      <c r="A155" s="283"/>
      <c r="B155" s="145"/>
      <c r="C155" s="1685" t="s">
        <v>435</v>
      </c>
      <c r="D155" s="1790"/>
      <c r="E155" s="1304">
        <f>'Budget-Restricted MYP'!E155</f>
        <v>0</v>
      </c>
      <c r="F155" s="1304">
        <f>SUM(F152:F154)</f>
        <v>0</v>
      </c>
      <c r="G155" s="1304">
        <f>SUM(G152:G154)</f>
        <v>0</v>
      </c>
      <c r="H155" s="1366" t="str">
        <f>IF(E155=0,"",IF(G155=0,"",(G155-E155)/E155))</f>
        <v/>
      </c>
      <c r="I155" s="1304">
        <f>SUM(I152:I154)</f>
        <v>0</v>
      </c>
      <c r="J155" s="1366" t="str">
        <f>IF(G155=0,"",IF(I155=0,"",(I155-G155)/G155))</f>
        <v/>
      </c>
      <c r="K155" s="1346">
        <f>SUM(K152:K154)</f>
        <v>0</v>
      </c>
      <c r="L155" s="1363" t="str">
        <f>IF(I155=0,"",IF(K155=0,"",(K155-I155)/I155))</f>
        <v/>
      </c>
    </row>
    <row r="156" spans="1:12" ht="16.149999999999999" thickTop="1" thickBot="1">
      <c r="A156" s="284"/>
      <c r="B156" s="1788" t="s">
        <v>436</v>
      </c>
      <c r="C156" s="1788"/>
      <c r="D156" s="1788"/>
      <c r="E156" s="1370">
        <f>'Budget-Restricted MYP'!E156</f>
        <v>0</v>
      </c>
      <c r="F156" s="1246"/>
      <c r="G156" s="1246"/>
      <c r="H156" s="1367" t="str">
        <f>IF(E156=0,"",IF(G156=0,"",(G156-E156)/E156))</f>
        <v/>
      </c>
      <c r="I156" s="1246"/>
      <c r="J156" s="1367" t="str">
        <f>IF(G156=0,"",IF(I156=0,"",(I156-G156)/G156))</f>
        <v/>
      </c>
      <c r="K156" s="1246"/>
      <c r="L156" s="1364" t="str">
        <f>IF(I156=0,"",IF(K156=0,"",(K156-I156)/I156))</f>
        <v/>
      </c>
    </row>
    <row r="157" spans="1:12" ht="15.4">
      <c r="A157" s="2"/>
      <c r="B157" s="2"/>
      <c r="C157" s="2"/>
      <c r="D157" s="2"/>
      <c r="E157" s="2"/>
      <c r="F157" s="32"/>
      <c r="G157" s="32"/>
      <c r="H157" s="2"/>
      <c r="I157" s="32"/>
      <c r="J157" s="2"/>
      <c r="K157" s="32"/>
      <c r="L157" s="2"/>
    </row>
    <row r="158" spans="1:12" ht="15.4">
      <c r="A158" s="2"/>
      <c r="B158" s="2"/>
      <c r="C158" s="2"/>
      <c r="D158" s="2"/>
      <c r="E158" s="2"/>
      <c r="F158" s="32"/>
      <c r="G158" s="32"/>
      <c r="H158" s="2"/>
      <c r="I158" s="32"/>
      <c r="J158" s="2"/>
      <c r="K158" s="32"/>
      <c r="L158" s="2"/>
    </row>
    <row r="159" spans="1:12" ht="15.4">
      <c r="A159" s="2"/>
      <c r="B159" s="2"/>
      <c r="C159" s="2"/>
      <c r="D159" s="2"/>
      <c r="E159" s="2"/>
      <c r="F159" s="32"/>
      <c r="G159" s="32"/>
      <c r="H159" s="2"/>
      <c r="I159" s="32"/>
      <c r="J159" s="2"/>
      <c r="K159" s="32"/>
      <c r="L159" s="2"/>
    </row>
    <row r="160" spans="1:12" ht="15.4">
      <c r="A160" s="2"/>
      <c r="B160" s="2"/>
      <c r="C160" s="2"/>
      <c r="D160" s="2"/>
      <c r="E160" s="2"/>
      <c r="F160" s="32"/>
      <c r="G160" s="32"/>
      <c r="H160" s="2"/>
      <c r="I160" s="32"/>
      <c r="J160" s="2"/>
      <c r="K160" s="32"/>
      <c r="L160" s="2"/>
    </row>
    <row r="161" spans="1:12" ht="15.4">
      <c r="A161" s="2"/>
      <c r="B161" s="2"/>
      <c r="C161" s="2"/>
      <c r="D161" s="2"/>
      <c r="E161" s="2"/>
      <c r="F161" s="32"/>
      <c r="G161" s="32"/>
      <c r="H161" s="2"/>
      <c r="I161" s="32"/>
      <c r="J161" s="2"/>
      <c r="K161" s="32"/>
      <c r="L161" s="2"/>
    </row>
    <row r="162" spans="1:12" ht="15.4">
      <c r="A162" s="2"/>
      <c r="B162" s="2"/>
      <c r="C162" s="2"/>
      <c r="D162" s="2"/>
      <c r="E162" s="2"/>
      <c r="F162" s="32"/>
      <c r="G162" s="32"/>
      <c r="H162" s="2"/>
      <c r="I162" s="32"/>
      <c r="J162" s="2"/>
      <c r="K162" s="32"/>
      <c r="L162" s="2"/>
    </row>
    <row r="163" spans="1:12" ht="15.4">
      <c r="A163" s="2"/>
      <c r="B163" s="2"/>
      <c r="C163" s="2"/>
      <c r="D163" s="2"/>
      <c r="E163" s="2"/>
      <c r="F163" s="32"/>
      <c r="G163" s="32"/>
      <c r="H163" s="2"/>
      <c r="I163" s="32"/>
      <c r="J163" s="2"/>
      <c r="K163" s="32"/>
      <c r="L163" s="2"/>
    </row>
    <row r="164" spans="1:12" ht="15.4">
      <c r="A164" s="2"/>
      <c r="B164" s="2"/>
      <c r="C164" s="2"/>
      <c r="D164" s="2"/>
      <c r="E164" s="2"/>
      <c r="F164" s="32"/>
      <c r="G164" s="32"/>
      <c r="H164" s="2"/>
      <c r="I164" s="32"/>
      <c r="J164" s="2"/>
      <c r="K164" s="32"/>
      <c r="L164" s="2"/>
    </row>
    <row r="165" spans="1:12" ht="15.4">
      <c r="A165" s="2"/>
      <c r="B165" s="2"/>
      <c r="C165" s="2"/>
      <c r="D165" s="2"/>
      <c r="E165" s="2"/>
      <c r="F165" s="32"/>
      <c r="G165" s="32"/>
      <c r="H165" s="2"/>
      <c r="I165" s="32"/>
      <c r="J165" s="2"/>
      <c r="K165" s="32"/>
      <c r="L165" s="2"/>
    </row>
    <row r="166" spans="1:12" ht="15.4">
      <c r="A166" s="2"/>
      <c r="B166" s="2"/>
      <c r="C166" s="2"/>
      <c r="D166" s="2"/>
      <c r="E166" s="2"/>
      <c r="F166" s="32"/>
      <c r="G166" s="32"/>
      <c r="H166" s="2"/>
      <c r="I166" s="32"/>
      <c r="J166" s="2"/>
      <c r="K166" s="32"/>
      <c r="L166" s="2"/>
    </row>
    <row r="167" spans="1:12" ht="15.4">
      <c r="A167" s="2"/>
      <c r="B167" s="2"/>
      <c r="C167" s="2"/>
      <c r="D167" s="2"/>
      <c r="E167" s="2"/>
      <c r="F167" s="32"/>
      <c r="G167" s="32"/>
      <c r="H167" s="2"/>
      <c r="I167" s="32"/>
      <c r="J167" s="2"/>
      <c r="K167" s="32"/>
      <c r="L167" s="2"/>
    </row>
    <row r="168" spans="1:12" ht="15.4">
      <c r="A168" s="2"/>
      <c r="B168" s="2"/>
      <c r="C168" s="2"/>
      <c r="D168" s="2"/>
      <c r="E168" s="2"/>
      <c r="F168" s="32"/>
      <c r="G168" s="32"/>
      <c r="H168" s="2"/>
      <c r="I168" s="32"/>
      <c r="J168" s="2"/>
      <c r="K168" s="32"/>
      <c r="L168" s="2"/>
    </row>
    <row r="169" spans="1:12" ht="15.4">
      <c r="A169" s="2"/>
      <c r="B169" s="2"/>
      <c r="C169" s="2"/>
      <c r="D169" s="2"/>
      <c r="E169" s="2"/>
      <c r="F169" s="32"/>
      <c r="G169" s="32"/>
      <c r="H169" s="2"/>
      <c r="I169" s="32"/>
      <c r="J169" s="2"/>
      <c r="K169" s="32"/>
      <c r="L169" s="2"/>
    </row>
    <row r="170" spans="1:12" ht="15.4">
      <c r="A170" s="2"/>
      <c r="B170" s="2"/>
      <c r="C170" s="2"/>
      <c r="D170" s="2"/>
      <c r="E170" s="2"/>
      <c r="F170" s="32"/>
      <c r="G170" s="32"/>
      <c r="H170" s="2"/>
      <c r="I170" s="32"/>
      <c r="J170" s="2"/>
      <c r="K170" s="32"/>
      <c r="L170" s="2"/>
    </row>
    <row r="171" spans="1:12" ht="15.4">
      <c r="A171" s="2"/>
      <c r="B171" s="2"/>
      <c r="C171" s="2"/>
      <c r="D171" s="2"/>
      <c r="E171" s="2"/>
      <c r="F171" s="32"/>
      <c r="G171" s="32"/>
      <c r="H171" s="2"/>
      <c r="I171" s="32"/>
      <c r="J171" s="2"/>
      <c r="K171" s="32"/>
      <c r="L171" s="2"/>
    </row>
    <row r="172" spans="1:12" ht="15.4">
      <c r="A172" s="2"/>
      <c r="B172" s="2"/>
      <c r="C172" s="2"/>
      <c r="D172" s="2"/>
      <c r="E172" s="2"/>
      <c r="F172" s="32"/>
      <c r="G172" s="32"/>
      <c r="H172" s="2"/>
      <c r="I172" s="32"/>
      <c r="J172" s="2"/>
      <c r="K172" s="32"/>
      <c r="L172" s="2"/>
    </row>
    <row r="173" spans="1:12" ht="15.4">
      <c r="A173" s="2"/>
      <c r="B173" s="2"/>
      <c r="C173" s="2"/>
      <c r="D173" s="2"/>
      <c r="E173" s="2"/>
      <c r="F173" s="32"/>
      <c r="G173" s="32"/>
      <c r="H173" s="2"/>
      <c r="I173" s="32"/>
      <c r="J173" s="2"/>
      <c r="K173" s="32"/>
      <c r="L173" s="2"/>
    </row>
    <row r="174" spans="1:12" ht="15.4">
      <c r="A174" s="2"/>
      <c r="B174" s="2"/>
      <c r="C174" s="2"/>
      <c r="D174" s="2"/>
      <c r="E174" s="2"/>
      <c r="F174" s="32"/>
      <c r="G174" s="32"/>
      <c r="H174" s="2"/>
      <c r="I174" s="32"/>
      <c r="J174" s="2"/>
      <c r="K174" s="32"/>
      <c r="L174" s="2"/>
    </row>
    <row r="175" spans="1:12" ht="15.4">
      <c r="A175" s="2"/>
      <c r="B175" s="2"/>
      <c r="C175" s="2"/>
      <c r="D175" s="2"/>
      <c r="E175" s="2"/>
      <c r="F175" s="32"/>
      <c r="G175" s="32"/>
      <c r="H175" s="2"/>
      <c r="I175" s="32"/>
      <c r="J175" s="2"/>
      <c r="K175" s="32"/>
      <c r="L175" s="2"/>
    </row>
    <row r="176" spans="1:12" ht="15.4">
      <c r="A176" s="2"/>
      <c r="B176" s="2"/>
      <c r="C176" s="2"/>
      <c r="D176" s="2"/>
      <c r="E176" s="2"/>
      <c r="F176" s="32"/>
      <c r="G176" s="32"/>
      <c r="H176" s="2"/>
      <c r="I176" s="32"/>
      <c r="J176" s="2"/>
      <c r="K176" s="32"/>
      <c r="L176" s="2"/>
    </row>
    <row r="177" spans="1:12" ht="15.4">
      <c r="A177" s="2"/>
      <c r="B177" s="2"/>
      <c r="C177" s="2"/>
      <c r="D177" s="2"/>
      <c r="E177" s="2"/>
      <c r="F177" s="32"/>
      <c r="G177" s="32"/>
      <c r="H177" s="2"/>
      <c r="I177" s="32"/>
      <c r="J177" s="2"/>
      <c r="K177" s="32"/>
      <c r="L177" s="2"/>
    </row>
    <row r="178" spans="1:12" ht="15.4">
      <c r="A178" s="2"/>
      <c r="B178" s="2"/>
      <c r="C178" s="2"/>
      <c r="D178" s="2"/>
      <c r="E178" s="2"/>
      <c r="F178" s="32"/>
      <c r="G178" s="32"/>
      <c r="H178" s="2"/>
      <c r="I178" s="32"/>
      <c r="J178" s="2"/>
      <c r="K178" s="32"/>
      <c r="L178" s="2"/>
    </row>
    <row r="179" spans="1:12" ht="15.4">
      <c r="A179" s="2"/>
      <c r="B179" s="2"/>
      <c r="C179" s="2"/>
      <c r="D179" s="2"/>
      <c r="E179" s="2"/>
      <c r="F179" s="32"/>
      <c r="G179" s="32"/>
      <c r="H179" s="2"/>
      <c r="I179" s="32"/>
      <c r="J179" s="2"/>
      <c r="K179" s="32"/>
      <c r="L179" s="2"/>
    </row>
    <row r="180" spans="1:12" ht="15.4">
      <c r="A180" s="2"/>
      <c r="B180" s="2"/>
      <c r="C180" s="2"/>
      <c r="D180" s="2"/>
      <c r="E180" s="2"/>
      <c r="F180" s="32"/>
      <c r="G180" s="32"/>
      <c r="H180" s="2"/>
      <c r="I180" s="32"/>
      <c r="J180" s="2"/>
      <c r="K180" s="32"/>
      <c r="L180" s="2"/>
    </row>
    <row r="181" spans="1:12" ht="15.4">
      <c r="A181" s="2"/>
      <c r="B181" s="2"/>
      <c r="C181" s="2"/>
      <c r="D181" s="2"/>
      <c r="E181" s="2"/>
      <c r="F181" s="32"/>
      <c r="G181" s="32"/>
      <c r="H181" s="2"/>
      <c r="I181" s="32"/>
      <c r="J181" s="2"/>
      <c r="K181" s="32"/>
      <c r="L181" s="2"/>
    </row>
    <row r="182" spans="1:12" ht="15.4">
      <c r="A182" s="2"/>
      <c r="B182" s="2"/>
      <c r="C182" s="2"/>
      <c r="D182" s="2"/>
      <c r="E182" s="2"/>
      <c r="F182" s="32"/>
      <c r="G182" s="32"/>
      <c r="H182" s="2"/>
      <c r="I182" s="32"/>
      <c r="J182" s="2"/>
      <c r="K182" s="32"/>
      <c r="L182" s="2"/>
    </row>
    <row r="183" spans="1:12" ht="15.4">
      <c r="A183" s="2"/>
      <c r="B183" s="2"/>
      <c r="C183" s="2"/>
      <c r="D183" s="2"/>
      <c r="E183" s="2"/>
      <c r="F183" s="32"/>
      <c r="G183" s="32"/>
      <c r="H183" s="2"/>
      <c r="I183" s="32"/>
      <c r="J183" s="2"/>
      <c r="K183" s="32"/>
      <c r="L183" s="2"/>
    </row>
    <row r="184" spans="1:12" ht="15.4">
      <c r="A184" s="2"/>
      <c r="B184" s="2"/>
      <c r="C184" s="2"/>
      <c r="D184" s="2"/>
      <c r="E184" s="2"/>
      <c r="F184" s="32"/>
      <c r="G184" s="32"/>
      <c r="H184" s="2"/>
      <c r="I184" s="32"/>
      <c r="J184" s="2"/>
      <c r="K184" s="32"/>
      <c r="L184" s="2"/>
    </row>
    <row r="185" spans="1:12" ht="15.4">
      <c r="A185" s="2"/>
      <c r="B185" s="2"/>
      <c r="C185" s="2"/>
      <c r="D185" s="2"/>
      <c r="E185" s="2"/>
      <c r="F185" s="32"/>
      <c r="G185" s="32"/>
      <c r="H185" s="2"/>
      <c r="I185" s="32"/>
      <c r="J185" s="2"/>
      <c r="K185" s="32"/>
      <c r="L185" s="2"/>
    </row>
    <row r="186" spans="1:12" ht="15.4">
      <c r="A186" s="2"/>
      <c r="B186" s="2"/>
      <c r="C186" s="2"/>
      <c r="D186" s="2"/>
      <c r="E186" s="2"/>
      <c r="F186" s="32"/>
      <c r="G186" s="32"/>
      <c r="H186" s="2"/>
      <c r="I186" s="32"/>
      <c r="J186" s="2"/>
      <c r="K186" s="32"/>
      <c r="L186" s="2"/>
    </row>
    <row r="187" spans="1:12" ht="15.4">
      <c r="A187" s="2"/>
      <c r="B187" s="2"/>
      <c r="C187" s="2"/>
      <c r="D187" s="2"/>
      <c r="E187" s="2"/>
      <c r="F187" s="32"/>
      <c r="G187" s="32"/>
      <c r="H187" s="2"/>
      <c r="I187" s="32"/>
      <c r="J187" s="2"/>
      <c r="K187" s="32"/>
      <c r="L187" s="2"/>
    </row>
    <row r="188" spans="1:12" ht="15.4">
      <c r="A188" s="2"/>
      <c r="B188" s="2"/>
      <c r="C188" s="2"/>
      <c r="D188" s="2"/>
      <c r="E188" s="2"/>
      <c r="F188" s="32"/>
      <c r="G188" s="32"/>
      <c r="H188" s="2"/>
      <c r="I188" s="32"/>
      <c r="J188" s="2"/>
      <c r="K188" s="32"/>
      <c r="L188" s="2"/>
    </row>
    <row r="189" spans="1:12" ht="15.4">
      <c r="A189" s="2"/>
      <c r="B189" s="2"/>
      <c r="C189" s="2"/>
      <c r="D189" s="2"/>
      <c r="E189" s="2"/>
      <c r="F189" s="32"/>
      <c r="G189" s="32"/>
      <c r="H189" s="2"/>
      <c r="I189" s="32"/>
      <c r="J189" s="2"/>
      <c r="K189" s="32"/>
      <c r="L189" s="2"/>
    </row>
    <row r="190" spans="1:12" ht="15.4">
      <c r="A190" s="2"/>
      <c r="B190" s="2"/>
      <c r="C190" s="2"/>
      <c r="D190" s="2"/>
      <c r="E190" s="2"/>
      <c r="F190" s="32"/>
      <c r="G190" s="32"/>
      <c r="H190" s="2"/>
      <c r="I190" s="32"/>
      <c r="J190" s="2"/>
      <c r="K190" s="32"/>
      <c r="L190" s="2"/>
    </row>
    <row r="191" spans="1:12" ht="15.4">
      <c r="A191" s="2"/>
      <c r="B191" s="2"/>
      <c r="C191" s="2"/>
      <c r="D191" s="2"/>
      <c r="E191" s="2"/>
      <c r="F191" s="32"/>
      <c r="G191" s="32"/>
      <c r="H191" s="2"/>
      <c r="I191" s="32"/>
      <c r="J191" s="2"/>
      <c r="K191" s="32"/>
      <c r="L191" s="2"/>
    </row>
    <row r="192" spans="1:12" ht="15.4">
      <c r="A192" s="2"/>
      <c r="B192" s="2"/>
      <c r="C192" s="2"/>
      <c r="D192" s="2"/>
      <c r="E192" s="2"/>
      <c r="F192" s="32"/>
      <c r="G192" s="32"/>
      <c r="H192" s="2"/>
      <c r="I192" s="32"/>
      <c r="J192" s="2"/>
      <c r="K192" s="32"/>
      <c r="L192" s="2"/>
    </row>
    <row r="193" spans="1:12" ht="15.4">
      <c r="A193" s="2"/>
      <c r="B193" s="2"/>
      <c r="C193" s="2"/>
      <c r="D193" s="2"/>
      <c r="E193" s="2"/>
      <c r="F193" s="32"/>
      <c r="G193" s="32"/>
      <c r="H193" s="2"/>
      <c r="I193" s="32"/>
      <c r="J193" s="2"/>
      <c r="K193" s="32"/>
      <c r="L193" s="2"/>
    </row>
    <row r="194" spans="1:12" ht="15.4">
      <c r="A194" s="2"/>
      <c r="B194" s="2"/>
      <c r="C194" s="2"/>
      <c r="D194" s="2"/>
      <c r="E194" s="2"/>
      <c r="F194" s="32"/>
      <c r="G194" s="32"/>
      <c r="H194" s="2"/>
      <c r="I194" s="32"/>
      <c r="J194" s="2"/>
      <c r="K194" s="32"/>
      <c r="L194" s="2"/>
    </row>
    <row r="195" spans="1:12" ht="15.4">
      <c r="A195" s="2"/>
      <c r="B195" s="2"/>
      <c r="C195" s="2"/>
      <c r="D195" s="2"/>
      <c r="E195" s="2"/>
      <c r="F195" s="32"/>
      <c r="G195" s="32"/>
      <c r="H195" s="2"/>
      <c r="I195" s="32"/>
      <c r="J195" s="2"/>
      <c r="K195" s="32"/>
      <c r="L195" s="2"/>
    </row>
    <row r="196" spans="1:12" ht="15.4">
      <c r="A196" s="2"/>
      <c r="B196" s="2"/>
      <c r="C196" s="2"/>
      <c r="D196" s="2"/>
      <c r="E196" s="2"/>
      <c r="F196" s="32"/>
      <c r="G196" s="32"/>
      <c r="H196" s="2"/>
      <c r="I196" s="32"/>
      <c r="J196" s="2"/>
      <c r="K196" s="32"/>
      <c r="L196" s="2"/>
    </row>
    <row r="197" spans="1:12" ht="15.4">
      <c r="A197" s="2"/>
      <c r="B197" s="2"/>
      <c r="C197" s="2"/>
      <c r="D197" s="2"/>
      <c r="E197" s="2"/>
      <c r="F197" s="32"/>
      <c r="G197" s="32"/>
      <c r="H197" s="2"/>
      <c r="I197" s="32"/>
      <c r="J197" s="2"/>
      <c r="K197" s="32"/>
      <c r="L197" s="2"/>
    </row>
    <row r="198" spans="1:12" ht="15.4">
      <c r="A198" s="2"/>
      <c r="B198" s="2"/>
      <c r="C198" s="2"/>
      <c r="D198" s="2"/>
      <c r="E198" s="2"/>
      <c r="F198" s="32"/>
      <c r="G198" s="32"/>
      <c r="H198" s="2"/>
      <c r="I198" s="32"/>
      <c r="J198" s="2"/>
      <c r="K198" s="32"/>
      <c r="L198" s="2"/>
    </row>
    <row r="199" spans="1:12" ht="15.4">
      <c r="A199" s="2"/>
      <c r="B199" s="2"/>
      <c r="C199" s="2"/>
      <c r="D199" s="2"/>
      <c r="E199" s="2"/>
      <c r="F199" s="32"/>
      <c r="G199" s="32"/>
      <c r="H199" s="2"/>
      <c r="I199" s="32"/>
      <c r="J199" s="2"/>
      <c r="K199" s="32"/>
      <c r="L199" s="2"/>
    </row>
    <row r="200" spans="1:12" ht="15.4">
      <c r="A200" s="2"/>
      <c r="B200" s="2"/>
      <c r="C200" s="2"/>
      <c r="D200" s="2"/>
      <c r="E200" s="2"/>
      <c r="F200" s="32"/>
      <c r="G200" s="32"/>
      <c r="H200" s="2"/>
      <c r="I200" s="32"/>
      <c r="J200" s="2"/>
      <c r="K200" s="32"/>
      <c r="L200" s="2"/>
    </row>
    <row r="201" spans="1:12" ht="15.4">
      <c r="A201" s="2"/>
      <c r="B201" s="2"/>
      <c r="C201" s="2"/>
      <c r="D201" s="2"/>
      <c r="E201" s="2"/>
      <c r="F201" s="32"/>
      <c r="G201" s="32"/>
      <c r="H201" s="2"/>
      <c r="I201" s="32"/>
      <c r="J201" s="2"/>
      <c r="K201" s="32"/>
      <c r="L201" s="2"/>
    </row>
    <row r="202" spans="1:12" ht="15.4">
      <c r="A202" s="2"/>
      <c r="B202" s="2"/>
      <c r="C202" s="2"/>
      <c r="D202" s="2"/>
      <c r="E202" s="2"/>
      <c r="F202" s="32"/>
      <c r="G202" s="32"/>
      <c r="H202" s="2"/>
      <c r="I202" s="32"/>
      <c r="J202" s="2"/>
      <c r="K202" s="32"/>
      <c r="L202" s="2"/>
    </row>
    <row r="203" spans="1:12" ht="15.4">
      <c r="A203" s="2"/>
      <c r="B203" s="2"/>
      <c r="C203" s="2"/>
      <c r="D203" s="2"/>
      <c r="E203" s="2"/>
      <c r="F203" s="32"/>
      <c r="G203" s="32"/>
      <c r="H203" s="2"/>
      <c r="I203" s="32"/>
      <c r="J203" s="2"/>
      <c r="K203" s="32"/>
      <c r="L203" s="2"/>
    </row>
    <row r="204" spans="1:12" ht="15.4">
      <c r="A204" s="2"/>
      <c r="B204" s="2"/>
      <c r="C204" s="2"/>
      <c r="D204" s="2"/>
      <c r="E204" s="2"/>
      <c r="F204" s="32"/>
      <c r="G204" s="32"/>
      <c r="H204" s="2"/>
      <c r="I204" s="32"/>
      <c r="J204" s="2"/>
      <c r="K204" s="32"/>
      <c r="L204" s="2"/>
    </row>
    <row r="205" spans="1:12" ht="15.4">
      <c r="A205" s="2"/>
      <c r="B205" s="2"/>
      <c r="C205" s="2"/>
      <c r="D205" s="2"/>
      <c r="E205" s="2"/>
      <c r="F205" s="32"/>
      <c r="G205" s="32"/>
      <c r="H205" s="2"/>
      <c r="I205" s="32"/>
      <c r="J205" s="2"/>
      <c r="K205" s="32"/>
      <c r="L205" s="2"/>
    </row>
    <row r="206" spans="1:12" ht="15.4">
      <c r="A206" s="2"/>
      <c r="B206" s="2"/>
      <c r="C206" s="2"/>
      <c r="D206" s="2"/>
      <c r="E206" s="2"/>
      <c r="F206" s="32"/>
      <c r="G206" s="32"/>
      <c r="H206" s="2"/>
      <c r="I206" s="32"/>
      <c r="J206" s="2"/>
      <c r="K206" s="32"/>
      <c r="L206" s="2"/>
    </row>
    <row r="207" spans="1:12" ht="15.4">
      <c r="A207" s="2"/>
      <c r="B207" s="2"/>
      <c r="C207" s="2"/>
      <c r="D207" s="2"/>
      <c r="E207" s="2"/>
      <c r="F207" s="32"/>
      <c r="G207" s="32"/>
      <c r="H207" s="2"/>
      <c r="I207" s="32"/>
      <c r="J207" s="2"/>
      <c r="K207" s="32"/>
      <c r="L207" s="2"/>
    </row>
    <row r="208" spans="1:12" ht="15.4">
      <c r="A208" s="2"/>
      <c r="B208" s="2"/>
      <c r="C208" s="2"/>
      <c r="D208" s="2"/>
      <c r="E208" s="2"/>
      <c r="F208" s="32"/>
      <c r="G208" s="32"/>
      <c r="H208" s="2"/>
      <c r="I208" s="32"/>
      <c r="J208" s="2"/>
      <c r="K208" s="32"/>
      <c r="L208" s="2"/>
    </row>
    <row r="209" spans="1:12" ht="15.4">
      <c r="A209" s="2"/>
      <c r="B209" s="2"/>
      <c r="C209" s="2"/>
      <c r="D209" s="2"/>
      <c r="E209" s="2"/>
      <c r="F209" s="32"/>
      <c r="G209" s="32"/>
      <c r="H209" s="2"/>
      <c r="I209" s="32"/>
      <c r="J209" s="2"/>
      <c r="K209" s="32"/>
      <c r="L209" s="2"/>
    </row>
    <row r="210" spans="1:12" ht="15.4">
      <c r="A210" s="2"/>
      <c r="B210" s="2"/>
      <c r="C210" s="2"/>
      <c r="D210" s="2"/>
      <c r="E210" s="2"/>
      <c r="F210" s="32"/>
      <c r="G210" s="32"/>
      <c r="H210" s="2"/>
      <c r="I210" s="32"/>
      <c r="J210" s="2"/>
      <c r="K210" s="32"/>
      <c r="L210" s="2"/>
    </row>
    <row r="211" spans="1:12" ht="15.4">
      <c r="A211" s="2"/>
      <c r="B211" s="2"/>
      <c r="C211" s="2"/>
      <c r="D211" s="2"/>
      <c r="E211" s="2"/>
      <c r="F211" s="32"/>
      <c r="G211" s="32"/>
      <c r="H211" s="2"/>
      <c r="I211" s="32"/>
      <c r="J211" s="2"/>
      <c r="K211" s="32"/>
      <c r="L211" s="2"/>
    </row>
    <row r="212" spans="1:12" ht="15.4">
      <c r="A212" s="2"/>
      <c r="B212" s="2"/>
      <c r="C212" s="2"/>
      <c r="D212" s="2"/>
      <c r="E212" s="2"/>
      <c r="F212" s="32"/>
      <c r="G212" s="32"/>
      <c r="H212" s="2"/>
      <c r="I212" s="32"/>
      <c r="J212" s="2"/>
      <c r="K212" s="32"/>
      <c r="L212" s="2"/>
    </row>
    <row r="213" spans="1:12" ht="15.4">
      <c r="A213" s="2"/>
      <c r="B213" s="2"/>
      <c r="C213" s="2"/>
      <c r="D213" s="2"/>
      <c r="E213" s="2"/>
      <c r="F213" s="32"/>
      <c r="G213" s="32"/>
      <c r="H213" s="2"/>
      <c r="I213" s="32"/>
      <c r="J213" s="2"/>
      <c r="K213" s="32"/>
      <c r="L213" s="2"/>
    </row>
    <row r="214" spans="1:12" ht="15.4">
      <c r="A214" s="2"/>
      <c r="B214" s="2"/>
      <c r="C214" s="2"/>
      <c r="D214" s="2"/>
      <c r="E214" s="2"/>
      <c r="F214" s="32"/>
      <c r="G214" s="32"/>
      <c r="H214" s="2"/>
      <c r="I214" s="32"/>
      <c r="J214" s="2"/>
      <c r="K214" s="32"/>
      <c r="L214" s="2"/>
    </row>
    <row r="215" spans="1:12" ht="15.4">
      <c r="A215" s="2"/>
      <c r="B215" s="2"/>
      <c r="C215" s="2"/>
      <c r="D215" s="2"/>
      <c r="E215" s="2"/>
      <c r="F215" s="32"/>
      <c r="G215" s="32"/>
      <c r="H215" s="2"/>
      <c r="I215" s="32"/>
      <c r="J215" s="2"/>
      <c r="K215" s="32"/>
      <c r="L215" s="2"/>
    </row>
    <row r="216" spans="1:12" ht="15.4">
      <c r="A216" s="2"/>
      <c r="B216" s="2"/>
      <c r="C216" s="2"/>
      <c r="D216" s="2"/>
      <c r="E216" s="2"/>
      <c r="F216" s="32"/>
      <c r="G216" s="32"/>
      <c r="H216" s="2"/>
      <c r="I216" s="32"/>
      <c r="J216" s="2"/>
      <c r="K216" s="32"/>
      <c r="L216" s="2"/>
    </row>
    <row r="217" spans="1:12" ht="15.4">
      <c r="A217" s="2"/>
      <c r="B217" s="2"/>
      <c r="C217" s="2"/>
      <c r="D217" s="2"/>
      <c r="E217" s="2"/>
      <c r="F217" s="32"/>
      <c r="G217" s="32"/>
      <c r="H217" s="2"/>
      <c r="I217" s="32"/>
      <c r="J217" s="2"/>
      <c r="K217" s="32"/>
      <c r="L217" s="2"/>
    </row>
    <row r="218" spans="1:12" ht="15.4">
      <c r="A218" s="2"/>
      <c r="B218" s="2"/>
      <c r="C218" s="2"/>
      <c r="D218" s="2"/>
      <c r="E218" s="2"/>
      <c r="F218" s="32"/>
      <c r="G218" s="32"/>
      <c r="H218" s="2"/>
      <c r="I218" s="32"/>
      <c r="J218" s="2"/>
      <c r="K218" s="32"/>
      <c r="L218" s="2"/>
    </row>
    <row r="219" spans="1:12" ht="15.4">
      <c r="A219" s="2"/>
      <c r="B219" s="2"/>
      <c r="C219" s="2"/>
      <c r="D219" s="2"/>
      <c r="E219" s="2"/>
      <c r="F219" s="32"/>
      <c r="G219" s="32"/>
      <c r="H219" s="2"/>
      <c r="I219" s="32"/>
      <c r="J219" s="2"/>
      <c r="K219" s="32"/>
      <c r="L219" s="2"/>
    </row>
    <row r="220" spans="1:12" ht="15.4">
      <c r="A220" s="2"/>
      <c r="B220" s="2"/>
      <c r="C220" s="2"/>
      <c r="D220" s="2"/>
      <c r="E220" s="2"/>
      <c r="F220" s="32"/>
      <c r="G220" s="32"/>
      <c r="H220" s="2"/>
      <c r="I220" s="32"/>
      <c r="J220" s="2"/>
      <c r="K220" s="32"/>
      <c r="L220" s="2"/>
    </row>
    <row r="221" spans="1:12" ht="15.4">
      <c r="A221" s="2"/>
      <c r="B221" s="2"/>
      <c r="C221" s="2"/>
      <c r="D221" s="2"/>
      <c r="E221" s="2"/>
      <c r="F221" s="32"/>
      <c r="G221" s="32"/>
      <c r="H221" s="2"/>
      <c r="I221" s="32"/>
      <c r="J221" s="2"/>
      <c r="K221" s="32"/>
      <c r="L221" s="2"/>
    </row>
    <row r="222" spans="1:12" ht="15.4">
      <c r="A222" s="2"/>
      <c r="B222" s="2"/>
      <c r="C222" s="2"/>
      <c r="D222" s="2"/>
      <c r="E222" s="2"/>
      <c r="F222" s="32"/>
      <c r="G222" s="32"/>
      <c r="H222" s="2"/>
      <c r="I222" s="32"/>
      <c r="J222" s="2"/>
      <c r="K222" s="32"/>
      <c r="L222" s="2"/>
    </row>
    <row r="223" spans="1:12" ht="15.4">
      <c r="A223" s="2"/>
      <c r="B223" s="2"/>
      <c r="C223" s="2"/>
      <c r="D223" s="2"/>
      <c r="E223" s="2"/>
      <c r="F223" s="32"/>
      <c r="G223" s="32"/>
      <c r="H223" s="2"/>
      <c r="I223" s="32"/>
      <c r="J223" s="2"/>
      <c r="K223" s="32"/>
      <c r="L223" s="2"/>
    </row>
    <row r="224" spans="1:12" ht="15.4">
      <c r="A224" s="2"/>
      <c r="B224" s="2"/>
      <c r="C224" s="2"/>
      <c r="D224" s="2"/>
      <c r="E224" s="2"/>
      <c r="F224" s="32"/>
      <c r="G224" s="32"/>
      <c r="H224" s="2"/>
      <c r="I224" s="32"/>
      <c r="J224" s="2"/>
      <c r="K224" s="32"/>
      <c r="L224" s="2"/>
    </row>
    <row r="225" spans="1:12" ht="15.4">
      <c r="A225" s="2"/>
      <c r="B225" s="2"/>
      <c r="C225" s="2"/>
      <c r="D225" s="2"/>
      <c r="E225" s="2"/>
      <c r="F225" s="32"/>
      <c r="G225" s="32"/>
      <c r="H225" s="2"/>
      <c r="I225" s="32"/>
      <c r="J225" s="2"/>
      <c r="K225" s="32"/>
      <c r="L225" s="2"/>
    </row>
    <row r="226" spans="1:12" ht="15.4">
      <c r="A226" s="2"/>
      <c r="B226" s="2"/>
      <c r="C226" s="2"/>
      <c r="D226" s="2"/>
      <c r="E226" s="2"/>
      <c r="F226" s="32"/>
      <c r="G226" s="32"/>
      <c r="H226" s="2"/>
      <c r="I226" s="32"/>
      <c r="J226" s="2"/>
      <c r="K226" s="32"/>
      <c r="L226" s="2"/>
    </row>
    <row r="227" spans="1:12" ht="15.4">
      <c r="A227" s="2"/>
      <c r="B227" s="2"/>
      <c r="C227" s="2"/>
      <c r="D227" s="2"/>
      <c r="E227" s="2"/>
      <c r="F227" s="32"/>
      <c r="G227" s="32"/>
      <c r="H227" s="2"/>
      <c r="I227" s="32"/>
      <c r="J227" s="2"/>
      <c r="K227" s="32"/>
      <c r="L227" s="2"/>
    </row>
    <row r="228" spans="1:12" ht="15.4">
      <c r="A228" s="2"/>
      <c r="B228" s="2"/>
      <c r="C228" s="2"/>
      <c r="D228" s="2"/>
      <c r="E228" s="2"/>
      <c r="F228" s="32"/>
      <c r="G228" s="32"/>
      <c r="H228" s="2"/>
      <c r="I228" s="32"/>
      <c r="J228" s="2"/>
      <c r="K228" s="32"/>
      <c r="L228" s="2"/>
    </row>
    <row r="229" spans="1:12" ht="15.4">
      <c r="A229" s="2"/>
      <c r="B229" s="2"/>
      <c r="C229" s="2"/>
      <c r="D229" s="2"/>
      <c r="E229" s="2"/>
      <c r="F229" s="32"/>
      <c r="G229" s="32"/>
      <c r="H229" s="2"/>
      <c r="I229" s="32"/>
      <c r="J229" s="2"/>
      <c r="K229" s="32"/>
      <c r="L229" s="2"/>
    </row>
    <row r="230" spans="1:12" ht="15.4">
      <c r="A230" s="2"/>
      <c r="B230" s="2"/>
      <c r="C230" s="2"/>
      <c r="D230" s="2"/>
      <c r="E230" s="2"/>
      <c r="F230" s="32"/>
      <c r="G230" s="32"/>
      <c r="H230" s="2"/>
      <c r="I230" s="32"/>
      <c r="J230" s="2"/>
      <c r="K230" s="32"/>
      <c r="L230" s="2"/>
    </row>
    <row r="231" spans="1:12" ht="15.4">
      <c r="A231" s="2"/>
      <c r="B231" s="2"/>
      <c r="C231" s="2"/>
      <c r="D231" s="2"/>
      <c r="E231" s="2"/>
      <c r="F231" s="32"/>
      <c r="G231" s="32"/>
      <c r="H231" s="2"/>
      <c r="I231" s="32"/>
      <c r="J231" s="2"/>
      <c r="K231" s="32"/>
      <c r="L231" s="2"/>
    </row>
    <row r="232" spans="1:12" ht="15.4">
      <c r="A232" s="2"/>
      <c r="B232" s="2"/>
      <c r="C232" s="2"/>
      <c r="D232" s="2"/>
      <c r="E232" s="2"/>
      <c r="F232" s="32"/>
      <c r="G232" s="32"/>
      <c r="H232" s="2"/>
      <c r="I232" s="32"/>
      <c r="J232" s="2"/>
      <c r="K232" s="32"/>
      <c r="L232" s="2"/>
    </row>
    <row r="233" spans="1:12" ht="15.4">
      <c r="A233" s="2"/>
      <c r="B233" s="2"/>
      <c r="C233" s="2"/>
      <c r="D233" s="2"/>
      <c r="E233" s="2"/>
      <c r="F233" s="32"/>
      <c r="G233" s="32"/>
      <c r="H233" s="2"/>
      <c r="I233" s="32"/>
      <c r="J233" s="2"/>
      <c r="K233" s="32"/>
      <c r="L233" s="2"/>
    </row>
    <row r="234" spans="1:12" ht="15.4">
      <c r="A234" s="2"/>
      <c r="B234" s="2"/>
      <c r="C234" s="2"/>
      <c r="D234" s="2"/>
      <c r="E234" s="2"/>
      <c r="F234" s="32"/>
      <c r="G234" s="32"/>
      <c r="H234" s="2"/>
      <c r="I234" s="32"/>
      <c r="J234" s="2"/>
      <c r="K234" s="32"/>
      <c r="L234" s="2"/>
    </row>
    <row r="235" spans="1:12" ht="15.4">
      <c r="A235" s="2"/>
      <c r="B235" s="2"/>
      <c r="C235" s="2"/>
      <c r="D235" s="2"/>
      <c r="E235" s="2"/>
      <c r="F235" s="32"/>
      <c r="G235" s="32"/>
      <c r="H235" s="2"/>
      <c r="I235" s="32"/>
      <c r="J235" s="2"/>
      <c r="K235" s="32"/>
      <c r="L235" s="2"/>
    </row>
    <row r="236" spans="1:12" ht="15.4">
      <c r="A236" s="2"/>
      <c r="B236" s="2"/>
      <c r="C236" s="2"/>
      <c r="D236" s="2"/>
      <c r="E236" s="2"/>
      <c r="F236" s="32"/>
      <c r="G236" s="32"/>
      <c r="H236" s="2"/>
      <c r="I236" s="32"/>
      <c r="J236" s="2"/>
      <c r="K236" s="32"/>
      <c r="L236" s="2"/>
    </row>
    <row r="237" spans="1:12" ht="15.4">
      <c r="A237" s="2"/>
      <c r="B237" s="2"/>
      <c r="C237" s="2"/>
      <c r="D237" s="2"/>
      <c r="E237" s="2"/>
      <c r="F237" s="32"/>
      <c r="G237" s="32"/>
      <c r="H237" s="2"/>
      <c r="I237" s="32"/>
      <c r="J237" s="2"/>
      <c r="K237" s="32"/>
      <c r="L237" s="2"/>
    </row>
    <row r="238" spans="1:12" ht="15.4">
      <c r="A238" s="2"/>
      <c r="B238" s="2"/>
      <c r="C238" s="2"/>
      <c r="D238" s="2"/>
      <c r="E238" s="2"/>
      <c r="F238" s="32"/>
      <c r="G238" s="32"/>
      <c r="H238" s="2"/>
      <c r="I238" s="32"/>
      <c r="J238" s="2"/>
      <c r="K238" s="32"/>
      <c r="L238" s="2"/>
    </row>
    <row r="239" spans="1:12" ht="15.4">
      <c r="A239" s="2"/>
      <c r="B239" s="2"/>
      <c r="C239" s="2"/>
      <c r="D239" s="2"/>
      <c r="E239" s="2"/>
      <c r="F239" s="32"/>
      <c r="G239" s="32"/>
      <c r="H239" s="2"/>
      <c r="I239" s="32"/>
      <c r="J239" s="2"/>
      <c r="K239" s="32"/>
      <c r="L239" s="2"/>
    </row>
    <row r="240" spans="1:12" ht="15.4">
      <c r="A240" s="2"/>
      <c r="B240" s="2"/>
      <c r="C240" s="2"/>
      <c r="D240" s="2"/>
      <c r="E240" s="2"/>
      <c r="F240" s="32"/>
      <c r="G240" s="32"/>
      <c r="H240" s="2"/>
      <c r="I240" s="32"/>
      <c r="J240" s="2"/>
      <c r="K240" s="32"/>
      <c r="L240" s="2"/>
    </row>
    <row r="241" spans="1:12" ht="15.4">
      <c r="A241" s="2"/>
      <c r="B241" s="2"/>
      <c r="C241" s="2"/>
      <c r="D241" s="2"/>
      <c r="E241" s="2"/>
      <c r="F241" s="32"/>
      <c r="G241" s="32"/>
      <c r="H241" s="2"/>
      <c r="I241" s="32"/>
      <c r="J241" s="2"/>
      <c r="K241" s="32"/>
      <c r="L241" s="2"/>
    </row>
    <row r="242" spans="1:12" ht="15.4">
      <c r="A242" s="2"/>
      <c r="B242" s="2"/>
      <c r="C242" s="2"/>
      <c r="D242" s="2"/>
      <c r="E242" s="2"/>
      <c r="F242" s="32"/>
      <c r="G242" s="32"/>
    </row>
    <row r="243" spans="1:12" ht="15.4">
      <c r="A243" s="2"/>
      <c r="B243" s="2"/>
      <c r="C243" s="2"/>
      <c r="D243" s="2"/>
      <c r="E243" s="2"/>
      <c r="F243" s="32"/>
      <c r="G243" s="32"/>
    </row>
    <row r="244" spans="1:12" ht="15.4">
      <c r="A244" s="2"/>
      <c r="B244" s="2"/>
      <c r="C244" s="2"/>
      <c r="D244" s="2"/>
      <c r="E244" s="2"/>
      <c r="F244" s="32"/>
      <c r="G244" s="32"/>
    </row>
    <row r="245" spans="1:12" ht="15.4">
      <c r="A245" s="2"/>
      <c r="B245" s="2"/>
      <c r="C245" s="2"/>
      <c r="D245" s="2"/>
      <c r="E245" s="2"/>
      <c r="F245" s="32"/>
      <c r="G245" s="32"/>
    </row>
    <row r="246" spans="1:12" ht="15.4">
      <c r="A246" s="2"/>
      <c r="B246" s="2"/>
      <c r="C246" s="2"/>
      <c r="D246" s="2"/>
      <c r="E246" s="2"/>
      <c r="F246" s="32"/>
      <c r="G246" s="32"/>
    </row>
    <row r="247" spans="1:12" ht="15.4">
      <c r="A247" s="2"/>
      <c r="B247" s="2"/>
      <c r="C247" s="2"/>
      <c r="D247" s="2"/>
      <c r="E247" s="2"/>
      <c r="F247" s="32"/>
      <c r="G247" s="32"/>
    </row>
    <row r="248" spans="1:12" ht="15.4">
      <c r="A248" s="2"/>
      <c r="B248" s="2"/>
      <c r="C248" s="2"/>
      <c r="D248" s="2"/>
      <c r="E248" s="2"/>
      <c r="F248" s="32"/>
      <c r="G248" s="32"/>
    </row>
    <row r="249" spans="1:12" ht="15.4">
      <c r="A249" s="2"/>
      <c r="B249" s="2"/>
      <c r="C249" s="2"/>
      <c r="D249" s="2"/>
      <c r="E249" s="2"/>
      <c r="F249" s="32"/>
      <c r="G249" s="32"/>
    </row>
    <row r="250" spans="1:12" ht="15.4">
      <c r="A250" s="2"/>
      <c r="B250" s="2"/>
      <c r="C250" s="2"/>
      <c r="D250" s="2"/>
      <c r="E250" s="2"/>
      <c r="F250" s="32"/>
      <c r="G250" s="32"/>
    </row>
    <row r="251" spans="1:12" ht="15.4">
      <c r="A251" s="2"/>
      <c r="B251" s="2"/>
      <c r="C251" s="2"/>
      <c r="D251" s="2"/>
      <c r="E251" s="2"/>
      <c r="F251" s="32"/>
      <c r="G251" s="32"/>
    </row>
    <row r="252" spans="1:12" ht="15.4">
      <c r="A252" s="2"/>
      <c r="B252" s="2"/>
      <c r="C252" s="2"/>
      <c r="D252" s="2"/>
      <c r="E252" s="2"/>
      <c r="F252" s="32"/>
      <c r="G252" s="32"/>
    </row>
    <row r="253" spans="1:12" ht="15.4">
      <c r="A253" s="2"/>
      <c r="B253" s="2"/>
      <c r="C253" s="2"/>
      <c r="D253" s="2"/>
      <c r="E253" s="2"/>
      <c r="F253" s="32"/>
      <c r="G253" s="32"/>
    </row>
    <row r="254" spans="1:12" ht="15.4">
      <c r="A254" s="2"/>
      <c r="B254" s="2"/>
      <c r="C254" s="2"/>
      <c r="D254" s="2"/>
      <c r="E254" s="2"/>
      <c r="F254" s="32"/>
      <c r="G254" s="32"/>
    </row>
    <row r="255" spans="1:12" ht="15.4">
      <c r="A255" s="2"/>
      <c r="B255" s="2"/>
      <c r="C255" s="2"/>
      <c r="D255" s="2"/>
      <c r="E255" s="2"/>
      <c r="F255" s="32"/>
      <c r="G255" s="32"/>
    </row>
    <row r="256" spans="1:12" ht="15.4">
      <c r="A256" s="2"/>
      <c r="B256" s="2"/>
      <c r="C256" s="2"/>
      <c r="D256" s="2"/>
      <c r="E256" s="2"/>
      <c r="F256" s="32"/>
      <c r="G256" s="32"/>
    </row>
    <row r="257" spans="1:7" ht="15.4">
      <c r="A257" s="2"/>
      <c r="B257" s="2"/>
      <c r="C257" s="2"/>
      <c r="D257" s="2"/>
      <c r="E257" s="2"/>
      <c r="F257" s="32"/>
      <c r="G257" s="32"/>
    </row>
    <row r="258" spans="1:7" ht="15.4">
      <c r="A258" s="2"/>
      <c r="B258" s="2"/>
      <c r="C258" s="2"/>
      <c r="D258" s="2"/>
      <c r="E258" s="2"/>
      <c r="F258" s="32"/>
      <c r="G258" s="32"/>
    </row>
    <row r="259" spans="1:7" ht="15.4">
      <c r="A259" s="2"/>
      <c r="B259" s="2"/>
      <c r="C259" s="2"/>
      <c r="D259" s="2"/>
      <c r="E259" s="2"/>
      <c r="F259" s="32"/>
      <c r="G259" s="32"/>
    </row>
    <row r="260" spans="1:7" ht="15.4">
      <c r="A260" s="2"/>
      <c r="B260" s="2"/>
      <c r="C260" s="2"/>
      <c r="D260" s="2"/>
      <c r="E260" s="2"/>
      <c r="F260" s="32"/>
      <c r="G260" s="32"/>
    </row>
    <row r="261" spans="1:7" ht="15.4">
      <c r="A261" s="2"/>
      <c r="B261" s="2"/>
      <c r="C261" s="2"/>
      <c r="D261" s="2"/>
      <c r="E261" s="2"/>
      <c r="F261" s="32"/>
      <c r="G261" s="32"/>
    </row>
    <row r="262" spans="1:7" ht="15.4">
      <c r="A262" s="2"/>
      <c r="B262" s="2"/>
      <c r="C262" s="2"/>
      <c r="D262" s="2"/>
      <c r="E262" s="2"/>
      <c r="F262" s="32"/>
      <c r="G262" s="32"/>
    </row>
    <row r="263" spans="1:7" ht="15.4">
      <c r="A263" s="2"/>
      <c r="B263" s="2"/>
      <c r="C263" s="2"/>
      <c r="D263" s="2"/>
      <c r="E263" s="2"/>
      <c r="F263" s="32"/>
      <c r="G263" s="32"/>
    </row>
    <row r="264" spans="1:7" ht="15.4">
      <c r="A264" s="2"/>
      <c r="B264" s="2"/>
      <c r="C264" s="2"/>
      <c r="D264" s="2"/>
      <c r="E264" s="2"/>
      <c r="F264" s="32"/>
      <c r="G264" s="32"/>
    </row>
    <row r="265" spans="1:7" ht="15.4">
      <c r="A265" s="2"/>
      <c r="B265" s="2"/>
      <c r="C265" s="2"/>
      <c r="D265" s="2"/>
      <c r="E265" s="2"/>
      <c r="F265" s="32"/>
      <c r="G265" s="32"/>
    </row>
    <row r="266" spans="1:7" ht="15.4">
      <c r="A266" s="2"/>
      <c r="B266" s="2"/>
      <c r="C266" s="2"/>
      <c r="D266" s="2"/>
      <c r="E266" s="2"/>
      <c r="F266" s="32"/>
      <c r="G266" s="32"/>
    </row>
    <row r="267" spans="1:7" ht="15.4">
      <c r="A267" s="2"/>
      <c r="B267" s="2"/>
      <c r="C267" s="2"/>
      <c r="D267" s="2"/>
      <c r="E267" s="2"/>
      <c r="F267" s="32"/>
      <c r="G267" s="32"/>
    </row>
    <row r="268" spans="1:7" ht="15.4">
      <c r="A268" s="2"/>
      <c r="B268" s="2"/>
      <c r="C268" s="2"/>
      <c r="D268" s="2"/>
      <c r="E268" s="2"/>
      <c r="F268" s="32"/>
      <c r="G268" s="32"/>
    </row>
    <row r="269" spans="1:7" ht="15.4">
      <c r="A269" s="2"/>
      <c r="B269" s="2"/>
      <c r="C269" s="2"/>
      <c r="D269" s="2"/>
      <c r="E269" s="2"/>
      <c r="F269" s="32"/>
      <c r="G269" s="32"/>
    </row>
  </sheetData>
  <sheetProtection algorithmName="SHA-512" hashValue="OoV5Mi/tAbbXVUv+h7pm4w1A8rLJLDnzPivTzI3mBxscuOlH7vNNIEHLaArZ/FlYVQdqaqz6bTGKxa5TOy/JZg==" saltValue="eOGRkXho8ioBDkct8OKZPA==" spinCount="100000" sheet="1" objects="1" scenarios="1"/>
  <mergeCells count="85">
    <mergeCell ref="F27:I27"/>
    <mergeCell ref="F28:I28"/>
    <mergeCell ref="F39:I39"/>
    <mergeCell ref="A28:C28"/>
    <mergeCell ref="E151:L151"/>
    <mergeCell ref="C104:D104"/>
    <mergeCell ref="C105:D105"/>
    <mergeCell ref="C106:D106"/>
    <mergeCell ref="C98:D98"/>
    <mergeCell ref="C99:D99"/>
    <mergeCell ref="C100:D100"/>
    <mergeCell ref="C101:D101"/>
    <mergeCell ref="C134:D134"/>
    <mergeCell ref="C135:D135"/>
    <mergeCell ref="C141:D141"/>
    <mergeCell ref="C132:D132"/>
    <mergeCell ref="F11:I11"/>
    <mergeCell ref="F12:I12"/>
    <mergeCell ref="A1:C1"/>
    <mergeCell ref="A2:C2"/>
    <mergeCell ref="A3:C3"/>
    <mergeCell ref="A8:C8"/>
    <mergeCell ref="C121:D121"/>
    <mergeCell ref="C127:D127"/>
    <mergeCell ref="C128:D128"/>
    <mergeCell ref="C129:D129"/>
    <mergeCell ref="F140:J140"/>
    <mergeCell ref="C133:D133"/>
    <mergeCell ref="C130:D130"/>
    <mergeCell ref="C131:D131"/>
    <mergeCell ref="C125:D125"/>
    <mergeCell ref="C110:D110"/>
    <mergeCell ref="F41:I41"/>
    <mergeCell ref="F42:I42"/>
    <mergeCell ref="F48:I48"/>
    <mergeCell ref="C76:D76"/>
    <mergeCell ref="C96:D96"/>
    <mergeCell ref="C84:D84"/>
    <mergeCell ref="C85:D85"/>
    <mergeCell ref="F49:I49"/>
    <mergeCell ref="F59:I59"/>
    <mergeCell ref="C86:D86"/>
    <mergeCell ref="C88:D88"/>
    <mergeCell ref="C89:D89"/>
    <mergeCell ref="C94:D94"/>
    <mergeCell ref="C103:D103"/>
    <mergeCell ref="C111:D111"/>
    <mergeCell ref="C75:D75"/>
    <mergeCell ref="C77:D77"/>
    <mergeCell ref="F119:J119"/>
    <mergeCell ref="C120:D120"/>
    <mergeCell ref="C107:D107"/>
    <mergeCell ref="C108:D108"/>
    <mergeCell ref="C109:D109"/>
    <mergeCell ref="B116:D116"/>
    <mergeCell ref="C112:D112"/>
    <mergeCell ref="C113:D113"/>
    <mergeCell ref="C114:D114"/>
    <mergeCell ref="C97:D97"/>
    <mergeCell ref="C78:D78"/>
    <mergeCell ref="C87:D87"/>
    <mergeCell ref="C102:D102"/>
    <mergeCell ref="B156:D156"/>
    <mergeCell ref="B150:D150"/>
    <mergeCell ref="B151:D151"/>
    <mergeCell ref="B152:D152"/>
    <mergeCell ref="B153:D153"/>
    <mergeCell ref="B154:D154"/>
    <mergeCell ref="C155:D155"/>
    <mergeCell ref="C146:D146"/>
    <mergeCell ref="C147:D147"/>
    <mergeCell ref="C95:D95"/>
    <mergeCell ref="C138:D138"/>
    <mergeCell ref="C145:D145"/>
    <mergeCell ref="C126:D126"/>
    <mergeCell ref="C136:D136"/>
    <mergeCell ref="C137:D137"/>
    <mergeCell ref="B117:D117"/>
    <mergeCell ref="C139:D139"/>
    <mergeCell ref="C143:D143"/>
    <mergeCell ref="C144:D144"/>
    <mergeCell ref="C142:D142"/>
    <mergeCell ref="C122:D122"/>
    <mergeCell ref="C123:D123"/>
    <mergeCell ref="C124:D124"/>
  </mergeCells>
  <phoneticPr fontId="5" type="noConversion"/>
  <conditionalFormatting sqref="A1:A3">
    <cfRule type="containsText" dxfId="150" priority="11" stopIfTrue="1" operator="containsText" text="Enter">
      <formula>NOT(ISERROR(SEARCH("Enter",A1)))</formula>
    </cfRule>
  </conditionalFormatting>
  <conditionalFormatting sqref="D2:D3">
    <cfRule type="containsText" dxfId="149" priority="12" stopIfTrue="1" operator="containsText" text="Enter">
      <formula>NOT(ISERROR(SEARCH("Enter",D2)))</formula>
    </cfRule>
  </conditionalFormatting>
  <conditionalFormatting sqref="E90:F90 H90 J90">
    <cfRule type="containsText" dxfId="148" priority="1" operator="containsText" text="Total must equal amount in Cell E63 above">
      <formula>NOT(ISERROR(SEARCH("Total must equal amount in Cell E63 above",E90)))</formula>
    </cfRule>
  </conditionalFormatting>
  <conditionalFormatting sqref="F90">
    <cfRule type="containsText" dxfId="147" priority="3" operator="containsText" text="Total must equal amount in Cell F63 above">
      <formula>NOT(ISERROR(SEARCH("Total must equal amount in Cell F63 above",F90)))</formula>
    </cfRule>
  </conditionalFormatting>
  <conditionalFormatting sqref="G90 I90 K90">
    <cfRule type="containsText" dxfId="146" priority="2" stopIfTrue="1" operator="containsText" text="Total must equal amount in Cell">
      <formula>NOT(ISERROR(SEARCH("Total must equal amount in Cell",G90)))</formula>
    </cfRule>
  </conditionalFormatting>
  <printOptions horizontalCentered="1"/>
  <pageMargins left="0.25" right="0.25" top="0.5" bottom="0.5" header="0.5" footer="0.5"/>
  <pageSetup scale="54" orientation="landscape" horizontalDpi="200" verticalDpi="200" r:id="rId1"/>
  <headerFooter alignWithMargins="0">
    <oddFooter>Page &amp;P of &amp;N</oddFooter>
  </headerFooter>
  <rowBreaks count="3" manualBreakCount="3">
    <brk id="57" max="16383" man="1"/>
    <brk id="91" max="16383" man="1"/>
    <brk id="139"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theme="4"/>
    <pageSetUpPr autoPageBreaks="0" fitToPage="1"/>
  </sheetPr>
  <dimension ref="A1:AL88"/>
  <sheetViews>
    <sheetView showGridLines="0" zoomScale="87" zoomScaleNormal="87" zoomScaleSheetLayoutView="100" workbookViewId="0">
      <pane xSplit="4" ySplit="10" topLeftCell="E11" activePane="bottomRight" state="frozen"/>
      <selection activeCell="J13" sqref="J13"/>
      <selection pane="topRight" activeCell="J13" sqref="J13"/>
      <selection pane="bottomLeft" activeCell="J13" sqref="J13"/>
      <selection pane="bottomRight" activeCell="K47" sqref="K47"/>
    </sheetView>
  </sheetViews>
  <sheetFormatPr defaultColWidth="10.33203125" defaultRowHeight="15.4"/>
  <cols>
    <col min="1" max="1" width="5.46484375" style="2" customWidth="1"/>
    <col min="2" max="2" width="4.53125" style="2" customWidth="1"/>
    <col min="3" max="3" width="81" style="2" customWidth="1"/>
    <col min="4" max="4" width="10.33203125" style="2"/>
    <col min="5" max="7" width="14.53125" style="2" customWidth="1"/>
    <col min="8" max="8" width="10.53125" style="2" customWidth="1"/>
    <col min="9" max="9" width="14.53125" style="2" customWidth="1"/>
    <col min="10" max="10" width="10.53125" style="2" customWidth="1"/>
    <col min="11" max="11" width="14.53125" style="2" customWidth="1"/>
    <col min="12" max="12" width="10.53125" style="2" customWidth="1"/>
    <col min="13" max="13" width="3.33203125" style="2" customWidth="1"/>
    <col min="14" max="14" width="4.1328125" style="2" customWidth="1"/>
    <col min="15" max="15" width="12.6640625" style="2" customWidth="1"/>
    <col min="16" max="16384" width="10.33203125" style="2"/>
  </cols>
  <sheetData>
    <row r="1" spans="1:34">
      <c r="A1" s="1664" t="str">
        <f>IF('INTERIM-CERTIFICATION'!$M$1="","CHARTER NAME: Enter Charter Name on INTERIM-CERTIFICATION Worksheet",(CONCATENATE("CHARTER NAME: ",'INTERIM-CERTIFICATION'!$M$1)))</f>
        <v>CHARTER NAME: Encor Jr./Sr. High School for the Performing and Visual Arts</v>
      </c>
      <c r="B1" s="1664"/>
      <c r="C1" s="1664"/>
      <c r="D1" s="12"/>
      <c r="E1" s="12"/>
      <c r="F1" s="12"/>
      <c r="G1" s="12"/>
      <c r="H1" s="156"/>
      <c r="I1" s="12"/>
      <c r="J1" s="155"/>
      <c r="K1" s="1"/>
      <c r="L1" s="157"/>
      <c r="M1" s="157"/>
      <c r="N1" s="1180"/>
      <c r="O1" s="1181"/>
      <c r="P1" s="3"/>
      <c r="Q1" s="3"/>
      <c r="R1" s="3"/>
      <c r="S1" s="3"/>
      <c r="T1" s="3"/>
      <c r="U1" s="1"/>
      <c r="V1" s="1"/>
      <c r="W1" s="1"/>
      <c r="X1" s="1"/>
      <c r="Y1" s="1"/>
      <c r="Z1" s="1"/>
      <c r="AA1" s="1"/>
      <c r="AB1" s="1"/>
      <c r="AC1" s="1"/>
      <c r="AD1" s="1"/>
      <c r="AE1" s="1"/>
      <c r="AF1" s="1"/>
      <c r="AG1" s="1"/>
      <c r="AH1" s="1"/>
    </row>
    <row r="2" spans="1:34">
      <c r="A2" s="1664" t="str">
        <f>IF('INTERIM-CERTIFICATION'!$M$2="","CDS #: Enter Charter CDS # on INTERIM-CERTIFICATION Worksheet",(_xlfn.CONCAT("CDS #: ",'INTERIM-CERTIFICATION'!$M$2)))</f>
        <v>CDS #: 35-75044-01166707</v>
      </c>
      <c r="B2" s="1664"/>
      <c r="C2" s="1664"/>
      <c r="D2" s="10"/>
      <c r="E2" s="10"/>
      <c r="F2" s="12"/>
      <c r="G2" s="80"/>
      <c r="H2" s="156"/>
      <c r="I2" s="80"/>
      <c r="J2" s="156"/>
      <c r="K2" s="1"/>
      <c r="L2" s="157"/>
      <c r="M2" s="157"/>
      <c r="N2" s="1180"/>
      <c r="O2" s="1181"/>
      <c r="P2" s="3"/>
      <c r="Q2" s="3"/>
      <c r="R2" s="3"/>
      <c r="S2" s="3"/>
      <c r="T2" s="3"/>
      <c r="U2" s="1"/>
      <c r="V2" s="1"/>
      <c r="W2" s="1"/>
      <c r="X2" s="1"/>
      <c r="Y2" s="1"/>
      <c r="Z2" s="1"/>
      <c r="AA2" s="1"/>
      <c r="AB2" s="1"/>
      <c r="AC2" s="1"/>
      <c r="AD2" s="1"/>
      <c r="AE2" s="1"/>
      <c r="AF2" s="1"/>
      <c r="AG2" s="1"/>
      <c r="AH2" s="1"/>
    </row>
    <row r="3" spans="1:34">
      <c r="A3" s="1664" t="str">
        <f>IF('INTERIM-CERTIFICATION'!$M$5="","CHARTER #: Enter Charter # on INTERIM-CERTIFICATION Worksheet",(_xlfn.CONCAT("CHARTER #: ",'INTERIM-CERTIFICATION'!$M$5)))</f>
        <v>CHARTER #: 0971</v>
      </c>
      <c r="B3" s="1664"/>
      <c r="C3" s="1664"/>
      <c r="D3" s="11"/>
      <c r="E3" s="11"/>
      <c r="F3" s="12"/>
      <c r="G3" s="12"/>
      <c r="H3" s="155"/>
      <c r="I3" s="12"/>
      <c r="J3" s="155"/>
      <c r="K3" s="1"/>
      <c r="L3" s="157"/>
      <c r="M3" s="157"/>
      <c r="N3" s="1180"/>
      <c r="O3" s="1181"/>
      <c r="P3" s="3"/>
      <c r="Q3" s="3"/>
      <c r="R3" s="3"/>
      <c r="S3" s="3"/>
      <c r="T3" s="3"/>
      <c r="U3" s="1"/>
      <c r="V3" s="1"/>
      <c r="W3" s="1"/>
      <c r="X3" s="1"/>
      <c r="Y3" s="1"/>
      <c r="Z3" s="1"/>
      <c r="AA3" s="1"/>
      <c r="AB3" s="1"/>
      <c r="AC3" s="1"/>
      <c r="AD3" s="1"/>
      <c r="AE3" s="1"/>
      <c r="AF3" s="1"/>
      <c r="AG3" s="1"/>
      <c r="AH3" s="1"/>
    </row>
    <row r="4" spans="1:34">
      <c r="B4" s="52"/>
      <c r="C4" s="52"/>
      <c r="D4" s="158" t="str">
        <f>'1st Interim-ADA'!J4</f>
        <v>Fiscal Year 2024-25 First Interim Report</v>
      </c>
      <c r="E4" s="158"/>
      <c r="F4" s="52"/>
      <c r="G4" s="52"/>
      <c r="H4" s="52"/>
      <c r="I4" s="52"/>
      <c r="J4" s="52"/>
      <c r="K4" s="52"/>
      <c r="L4" s="52"/>
      <c r="M4" s="52"/>
      <c r="N4" s="1180"/>
      <c r="O4" s="1181"/>
      <c r="P4" s="3"/>
      <c r="Q4" s="3"/>
      <c r="R4" s="3"/>
      <c r="S4" s="3"/>
      <c r="T4" s="3"/>
      <c r="U4" s="1"/>
      <c r="V4" s="1"/>
      <c r="W4" s="1"/>
      <c r="X4" s="1"/>
      <c r="Y4" s="1"/>
      <c r="Z4" s="1"/>
      <c r="AA4" s="1"/>
      <c r="AB4" s="1"/>
      <c r="AC4" s="1"/>
      <c r="AD4" s="1"/>
      <c r="AE4" s="1"/>
      <c r="AF4" s="1"/>
      <c r="AG4" s="1"/>
      <c r="AH4" s="1"/>
    </row>
    <row r="5" spans="1:34">
      <c r="A5" s="12"/>
      <c r="B5" s="12"/>
      <c r="C5" s="52"/>
      <c r="D5" s="158" t="s">
        <v>209</v>
      </c>
      <c r="E5" s="158"/>
      <c r="F5" s="52"/>
      <c r="G5" s="52"/>
      <c r="H5" s="159"/>
      <c r="I5" s="52"/>
      <c r="J5" s="159"/>
      <c r="K5" s="1"/>
      <c r="L5" s="160"/>
      <c r="M5" s="160"/>
      <c r="N5" s="1180"/>
      <c r="O5" s="1181"/>
      <c r="P5" s="3"/>
      <c r="Q5" s="3"/>
      <c r="R5" s="3"/>
      <c r="S5" s="3"/>
      <c r="T5" s="3"/>
      <c r="U5" s="1"/>
      <c r="V5" s="1"/>
      <c r="W5" s="1"/>
      <c r="X5" s="1"/>
      <c r="Y5" s="1"/>
      <c r="Z5" s="1"/>
      <c r="AA5" s="1"/>
      <c r="AB5" s="1"/>
      <c r="AC5" s="1"/>
      <c r="AD5" s="1"/>
      <c r="AE5" s="1"/>
      <c r="AF5" s="1"/>
      <c r="AG5" s="1"/>
      <c r="AH5" s="1"/>
    </row>
    <row r="6" spans="1:34" ht="15.75" thickBot="1">
      <c r="A6" s="1560" t="str">
        <f>Instructions!H1</f>
        <v>Form Revised (revision date here if revised)</v>
      </c>
      <c r="B6" s="12"/>
      <c r="C6" s="12"/>
      <c r="D6" s="12"/>
      <c r="E6" s="12"/>
      <c r="F6" s="12"/>
      <c r="G6" s="12"/>
      <c r="H6" s="155"/>
      <c r="I6" s="12"/>
      <c r="J6" s="155"/>
      <c r="K6" s="1"/>
      <c r="L6" s="157"/>
      <c r="M6" s="157"/>
      <c r="N6" s="1180"/>
      <c r="O6" s="1181"/>
      <c r="P6" s="3"/>
      <c r="Q6" s="3"/>
      <c r="R6" s="3"/>
      <c r="S6" s="3"/>
      <c r="T6" s="3"/>
      <c r="U6" s="1"/>
      <c r="V6" s="1"/>
      <c r="W6" s="1"/>
      <c r="X6" s="1"/>
      <c r="Y6" s="1"/>
      <c r="Z6" s="1"/>
      <c r="AA6" s="1"/>
      <c r="AB6" s="1"/>
      <c r="AC6" s="1"/>
      <c r="AD6" s="1"/>
      <c r="AE6" s="1"/>
      <c r="AF6" s="1"/>
      <c r="AG6" s="1"/>
      <c r="AH6" s="1"/>
    </row>
    <row r="7" spans="1:34">
      <c r="A7" s="238"/>
      <c r="B7" s="233"/>
      <c r="C7" s="233"/>
      <c r="D7" s="295"/>
      <c r="E7" s="296"/>
      <c r="F7" s="296" t="s">
        <v>165</v>
      </c>
      <c r="G7" s="296" t="str">
        <f>$F$7</f>
        <v>First Interim</v>
      </c>
      <c r="H7" s="297"/>
      <c r="I7" s="296" t="str">
        <f>$F$7</f>
        <v>First Interim</v>
      </c>
      <c r="J7" s="297"/>
      <c r="K7" s="296" t="str">
        <f>$F$7</f>
        <v>First Interim</v>
      </c>
      <c r="L7" s="298"/>
      <c r="M7" s="222"/>
      <c r="N7" s="1180"/>
      <c r="O7" s="1181"/>
      <c r="P7" s="3"/>
      <c r="Q7" s="3"/>
      <c r="R7" s="3"/>
      <c r="S7" s="3"/>
      <c r="T7" s="3"/>
      <c r="U7" s="1"/>
      <c r="V7" s="1"/>
      <c r="W7" s="1"/>
      <c r="X7" s="1"/>
      <c r="Y7" s="1"/>
      <c r="Z7" s="1"/>
      <c r="AA7" s="1"/>
      <c r="AB7" s="1"/>
      <c r="AC7" s="1"/>
      <c r="AD7" s="1"/>
      <c r="AE7" s="1"/>
      <c r="AF7" s="1"/>
      <c r="AG7" s="1"/>
      <c r="AH7" s="1"/>
    </row>
    <row r="8" spans="1:34">
      <c r="A8" s="1775" t="s">
        <v>21</v>
      </c>
      <c r="B8" s="1776"/>
      <c r="C8" s="1776"/>
      <c r="D8" s="53"/>
      <c r="E8" s="14" t="s">
        <v>17</v>
      </c>
      <c r="F8" s="210" t="s">
        <v>61</v>
      </c>
      <c r="G8" s="14" t="s">
        <v>19</v>
      </c>
      <c r="H8" s="161" t="s">
        <v>18</v>
      </c>
      <c r="I8" s="14" t="s">
        <v>19</v>
      </c>
      <c r="J8" s="161" t="s">
        <v>18</v>
      </c>
      <c r="K8" s="14" t="s">
        <v>19</v>
      </c>
      <c r="L8" s="299" t="s">
        <v>18</v>
      </c>
      <c r="M8" s="222"/>
      <c r="N8" s="1180"/>
      <c r="O8" s="1181"/>
      <c r="P8" s="3"/>
      <c r="Q8" s="3"/>
      <c r="R8" s="3"/>
      <c r="S8" s="3"/>
      <c r="T8" s="3"/>
      <c r="U8" s="1"/>
      <c r="V8" s="1"/>
      <c r="W8" s="1"/>
      <c r="X8" s="1"/>
      <c r="Y8" s="1"/>
      <c r="Z8" s="1"/>
      <c r="AA8" s="1"/>
      <c r="AB8" s="1"/>
      <c r="AC8" s="1"/>
      <c r="AD8" s="1"/>
      <c r="AE8" s="1"/>
      <c r="AF8" s="1"/>
      <c r="AG8" s="1"/>
      <c r="AH8" s="1"/>
    </row>
    <row r="9" spans="1:34">
      <c r="A9" s="67"/>
      <c r="B9" s="1"/>
      <c r="C9" s="1"/>
      <c r="D9" s="53"/>
      <c r="E9" s="14" t="s">
        <v>16</v>
      </c>
      <c r="F9" s="14" t="s">
        <v>239</v>
      </c>
      <c r="G9" s="14" t="s">
        <v>16</v>
      </c>
      <c r="H9" s="161" t="s">
        <v>22</v>
      </c>
      <c r="I9" s="14" t="s">
        <v>16</v>
      </c>
      <c r="J9" s="161" t="s">
        <v>22</v>
      </c>
      <c r="K9" s="14" t="s">
        <v>16</v>
      </c>
      <c r="L9" s="299" t="s">
        <v>22</v>
      </c>
      <c r="M9" s="222"/>
      <c r="N9" s="1180"/>
      <c r="O9" s="1181"/>
      <c r="P9" s="3"/>
      <c r="Q9" s="3"/>
      <c r="R9" s="3"/>
      <c r="S9" s="3"/>
      <c r="T9" s="3"/>
      <c r="U9" s="1"/>
      <c r="V9" s="1"/>
      <c r="W9" s="1"/>
      <c r="X9" s="1"/>
      <c r="Y9" s="1"/>
      <c r="Z9" s="1"/>
      <c r="AA9" s="1"/>
      <c r="AB9" s="1"/>
      <c r="AC9" s="1"/>
      <c r="AD9" s="1"/>
      <c r="AE9" s="1"/>
      <c r="AF9" s="1"/>
      <c r="AG9" s="1"/>
      <c r="AH9" s="1"/>
    </row>
    <row r="10" spans="1:34" ht="15.75" thickBot="1">
      <c r="A10" s="300"/>
      <c r="B10" s="162"/>
      <c r="C10" s="162"/>
      <c r="D10" s="54"/>
      <c r="E10" s="204" t="str">
        <f>'1st Interim-Restricted MYP'!E10</f>
        <v>2024-25</v>
      </c>
      <c r="F10" s="203" t="str">
        <f>'1st Interim-Restricted MYP'!F10</f>
        <v>2024</v>
      </c>
      <c r="G10" s="15" t="str">
        <f>'1st Interim-Restricted MYP'!G10</f>
        <v>2024-25</v>
      </c>
      <c r="H10" s="163"/>
      <c r="I10" s="15" t="str">
        <f>'1st Interim-Restricted MYP'!I10</f>
        <v>2025-26</v>
      </c>
      <c r="J10" s="163"/>
      <c r="K10" s="15" t="str">
        <f>'1st Interim-Restricted MYP'!K10</f>
        <v>2026-27</v>
      </c>
      <c r="L10" s="301"/>
      <c r="M10" s="222"/>
      <c r="N10" s="1180"/>
      <c r="O10" s="1181"/>
      <c r="P10" s="3"/>
      <c r="Q10" s="3"/>
      <c r="R10" s="3"/>
      <c r="S10" s="3"/>
      <c r="T10" s="3"/>
      <c r="U10" s="1"/>
      <c r="V10" s="1"/>
      <c r="W10" s="1"/>
      <c r="X10" s="1"/>
      <c r="Y10" s="1"/>
      <c r="Z10" s="1"/>
      <c r="AA10" s="1"/>
      <c r="AB10" s="1"/>
      <c r="AC10" s="1"/>
      <c r="AD10" s="1"/>
      <c r="AE10" s="1"/>
      <c r="AF10" s="1"/>
      <c r="AG10" s="1"/>
      <c r="AH10" s="1"/>
    </row>
    <row r="11" spans="1:34" ht="15.75" thickTop="1">
      <c r="A11" s="302" t="s">
        <v>1</v>
      </c>
      <c r="B11" s="1"/>
      <c r="C11" s="1"/>
      <c r="D11" s="333"/>
      <c r="E11" s="13"/>
      <c r="F11" s="13"/>
      <c r="G11" s="1747"/>
      <c r="H11" s="1747"/>
      <c r="I11" s="1747"/>
      <c r="J11" s="1747"/>
      <c r="K11" s="1747"/>
      <c r="L11" s="1748"/>
      <c r="M11" s="1373"/>
      <c r="N11" s="1180"/>
      <c r="O11" s="1181"/>
      <c r="P11" s="3"/>
      <c r="Q11" s="3"/>
      <c r="R11" s="3"/>
      <c r="S11" s="3"/>
      <c r="T11" s="3"/>
      <c r="U11" s="1"/>
      <c r="V11" s="1"/>
      <c r="W11" s="1"/>
      <c r="X11" s="1"/>
      <c r="Y11" s="1"/>
      <c r="Z11" s="1"/>
      <c r="AA11" s="1"/>
      <c r="AB11" s="1"/>
      <c r="AC11" s="1"/>
      <c r="AD11" s="1"/>
      <c r="AE11" s="1"/>
      <c r="AF11" s="1"/>
      <c r="AG11" s="1"/>
      <c r="AH11" s="1"/>
    </row>
    <row r="12" spans="1:34">
      <c r="A12" s="302"/>
      <c r="B12" s="145" t="s">
        <v>303</v>
      </c>
      <c r="C12" s="139"/>
      <c r="D12" s="139"/>
      <c r="E12" s="362"/>
      <c r="F12" s="362"/>
      <c r="G12" s="1743"/>
      <c r="H12" s="1743"/>
      <c r="I12" s="1743"/>
      <c r="J12" s="1743"/>
      <c r="K12" s="1743"/>
      <c r="L12" s="1744"/>
      <c r="M12" s="1373"/>
      <c r="N12" s="1180"/>
      <c r="O12" s="1181"/>
      <c r="P12" s="3"/>
      <c r="Q12" s="3"/>
      <c r="R12" s="3"/>
      <c r="S12" s="3"/>
      <c r="T12" s="3"/>
      <c r="U12" s="1"/>
      <c r="V12" s="1"/>
      <c r="W12" s="1"/>
      <c r="X12" s="1"/>
      <c r="Y12" s="1"/>
      <c r="Z12" s="1"/>
      <c r="AA12" s="1"/>
      <c r="AB12" s="1"/>
      <c r="AC12" s="1"/>
      <c r="AD12" s="1"/>
      <c r="AE12" s="1"/>
      <c r="AF12" s="1"/>
      <c r="AG12" s="1"/>
      <c r="AH12" s="1"/>
    </row>
    <row r="13" spans="1:34">
      <c r="A13" s="302"/>
      <c r="B13" s="145"/>
      <c r="C13" s="276" t="s">
        <v>152</v>
      </c>
      <c r="D13" s="342">
        <v>8011</v>
      </c>
      <c r="E13" s="748">
        <f>'1st Interim-Unrestricted MYP'!E13+'1st Interim-Restricted MYP'!E13</f>
        <v>4666685</v>
      </c>
      <c r="F13" s="748">
        <f>'1st Interim-Unrestricted MYP'!F13+'1st Interim-Restricted MYP'!F13</f>
        <v>0</v>
      </c>
      <c r="G13" s="757">
        <f>'1st Interim-Unrestricted MYP'!G13+'1st Interim-Restricted MYP'!G13</f>
        <v>0</v>
      </c>
      <c r="H13" s="49" t="str">
        <f>IF(E13&lt;1," ",IF(G13&lt;1," ",(G13-E13)/E13))</f>
        <v xml:space="preserve"> </v>
      </c>
      <c r="I13" s="751">
        <f>'1st Interim-Unrestricted MYP'!I13+'1st Interim-Restricted MYP'!I13</f>
        <v>0</v>
      </c>
      <c r="J13" s="49" t="str">
        <f>IF(G13&lt;1," ",IF(I13&lt;1," ",(I13-G13)/G13))</f>
        <v xml:space="preserve"> </v>
      </c>
      <c r="K13" s="751">
        <f>'1st Interim-Unrestricted MYP'!K13+'1st Interim-Restricted MYP'!K13</f>
        <v>0</v>
      </c>
      <c r="L13" s="363" t="str">
        <f>IF(I13&lt;1," ",IF(K13&lt;1," ",(K13-I13)/I13))</f>
        <v xml:space="preserve"> </v>
      </c>
      <c r="M13" s="1372"/>
      <c r="N13" s="1180"/>
      <c r="O13" s="1181"/>
      <c r="P13" s="3" t="s">
        <v>154</v>
      </c>
      <c r="Q13" s="3"/>
      <c r="R13" s="3"/>
      <c r="S13" s="3"/>
      <c r="T13" s="3"/>
      <c r="U13" s="1"/>
      <c r="V13" s="1"/>
      <c r="W13" s="1"/>
      <c r="X13" s="1"/>
      <c r="Y13" s="1"/>
      <c r="Z13" s="1"/>
      <c r="AA13" s="1"/>
      <c r="AB13" s="1"/>
      <c r="AC13" s="1"/>
      <c r="AD13" s="1"/>
      <c r="AE13" s="1"/>
      <c r="AF13" s="1"/>
      <c r="AG13" s="1"/>
      <c r="AH13" s="1"/>
    </row>
    <row r="14" spans="1:34">
      <c r="A14" s="302"/>
      <c r="B14" s="145"/>
      <c r="C14" s="276" t="s">
        <v>153</v>
      </c>
      <c r="D14" s="342">
        <v>8012</v>
      </c>
      <c r="E14" s="748">
        <f>'1st Interim-Unrestricted MYP'!E14+'1st Interim-Restricted MYP'!E14</f>
        <v>1916629</v>
      </c>
      <c r="F14" s="748">
        <f>'1st Interim-Unrestricted MYP'!F14+'1st Interim-Restricted MYP'!F14</f>
        <v>0</v>
      </c>
      <c r="G14" s="757">
        <f>'1st Interim-Unrestricted MYP'!G14+'1st Interim-Restricted MYP'!G14</f>
        <v>0</v>
      </c>
      <c r="H14" s="49" t="str">
        <f>IF(E14&lt;1," ",IF(G14&lt;1," ",(G14-E14)/E14))</f>
        <v xml:space="preserve"> </v>
      </c>
      <c r="I14" s="751">
        <f>'1st Interim-Unrestricted MYP'!I14+'1st Interim-Restricted MYP'!I14</f>
        <v>0</v>
      </c>
      <c r="J14" s="49" t="str">
        <f>IF(G14&lt;1," ",IF(I14&lt;1," ",(I14-G14)/G14))</f>
        <v xml:space="preserve"> </v>
      </c>
      <c r="K14" s="752">
        <f>'1st Interim-Unrestricted MYP'!K14+'1st Interim-Restricted MYP'!K14</f>
        <v>0</v>
      </c>
      <c r="L14" s="363" t="str">
        <f>IF(I14&lt;1," ",IF(K14&lt;1," ",(K14-I14)/I14))</f>
        <v xml:space="preserve"> </v>
      </c>
      <c r="M14" s="1372"/>
      <c r="N14" s="1180"/>
      <c r="O14" s="1181"/>
      <c r="P14" s="3"/>
      <c r="Q14" s="3"/>
      <c r="R14" s="3"/>
      <c r="S14" s="3"/>
      <c r="T14" s="3"/>
      <c r="U14" s="1"/>
      <c r="V14" s="1"/>
      <c r="W14" s="1"/>
      <c r="X14" s="1"/>
      <c r="Y14" s="1"/>
      <c r="Z14" s="1"/>
      <c r="AA14" s="1"/>
      <c r="AB14" s="1"/>
      <c r="AC14" s="1"/>
      <c r="AD14" s="1"/>
      <c r="AE14" s="1"/>
      <c r="AF14" s="1"/>
      <c r="AG14" s="1"/>
      <c r="AH14" s="1"/>
    </row>
    <row r="15" spans="1:34">
      <c r="A15" s="67"/>
      <c r="B15" s="145"/>
      <c r="C15" s="276" t="s">
        <v>301</v>
      </c>
      <c r="D15" s="342">
        <v>8019</v>
      </c>
      <c r="E15" s="748">
        <f>'1st Interim-Unrestricted MYP'!E15+'1st Interim-Restricted MYP'!E15</f>
        <v>0</v>
      </c>
      <c r="F15" s="748">
        <f>'1st Interim-Unrestricted MYP'!F15+'1st Interim-Restricted MYP'!F15</f>
        <v>0</v>
      </c>
      <c r="G15" s="757">
        <f>'1st Interim-Unrestricted MYP'!G15+'1st Interim-Restricted MYP'!G15</f>
        <v>0</v>
      </c>
      <c r="H15" s="49" t="str">
        <f>IF(E15&lt;1," ",IF(G15&lt;1," ",(G15-E15)/E15))</f>
        <v xml:space="preserve"> </v>
      </c>
      <c r="I15" s="751">
        <f>'1st Interim-Unrestricted MYP'!I15+'1st Interim-Restricted MYP'!I15</f>
        <v>0</v>
      </c>
      <c r="J15" s="49" t="str">
        <f>IF(G15&lt;1," ",IF(I15&lt;1," ",(I15-G15)/G15))</f>
        <v xml:space="preserve"> </v>
      </c>
      <c r="K15" s="752">
        <f>'1st Interim-Unrestricted MYP'!K15+'1st Interim-Restricted MYP'!K15</f>
        <v>0</v>
      </c>
      <c r="L15" s="363" t="str">
        <f>IF(I15&lt;1," ",IF(K15&lt;1," ",(K15-I15)/I15))</f>
        <v xml:space="preserve"> </v>
      </c>
      <c r="M15" s="1372"/>
      <c r="N15" s="1180"/>
      <c r="O15" s="1181"/>
      <c r="P15" s="3"/>
      <c r="Q15" s="3"/>
      <c r="R15" s="3"/>
      <c r="S15" s="3"/>
      <c r="T15" s="3"/>
      <c r="U15" s="1"/>
      <c r="V15" s="1"/>
      <c r="W15" s="1"/>
      <c r="X15" s="1"/>
      <c r="Y15" s="1"/>
      <c r="Z15" s="1"/>
      <c r="AA15" s="1"/>
      <c r="AB15" s="1"/>
      <c r="AC15" s="1"/>
      <c r="AD15" s="1"/>
      <c r="AE15" s="1"/>
      <c r="AF15" s="1"/>
      <c r="AG15" s="1"/>
      <c r="AH15" s="1"/>
    </row>
    <row r="16" spans="1:34">
      <c r="A16" s="67"/>
      <c r="B16" s="145"/>
      <c r="C16" s="276" t="s">
        <v>302</v>
      </c>
      <c r="D16" s="342">
        <v>8096</v>
      </c>
      <c r="E16" s="748">
        <f>'1st Interim-Unrestricted MYP'!E16+'1st Interim-Restricted MYP'!E16</f>
        <v>206686</v>
      </c>
      <c r="F16" s="748">
        <f>'1st Interim-Unrestricted MYP'!F16+'1st Interim-Restricted MYP'!F16</f>
        <v>0</v>
      </c>
      <c r="G16" s="757">
        <f>'1st Interim-Unrestricted MYP'!G16+'1st Interim-Restricted MYP'!G16</f>
        <v>0</v>
      </c>
      <c r="H16" s="49" t="str">
        <f>IF(E16&lt;1," ",IF(G16&lt;1," ",(G16-E16)/E16))</f>
        <v xml:space="preserve"> </v>
      </c>
      <c r="I16" s="752">
        <f>'1st Interim-Unrestricted MYP'!I16+'1st Interim-Restricted MYP'!I16</f>
        <v>0</v>
      </c>
      <c r="J16" s="31" t="str">
        <f>IF(G16&lt;1," ",IF(I16&lt;1," ",(I16-G16)/G16))</f>
        <v xml:space="preserve"> </v>
      </c>
      <c r="K16" s="752">
        <f>'1st Interim-Unrestricted MYP'!K16+'1st Interim-Restricted MYP'!K16</f>
        <v>0</v>
      </c>
      <c r="L16" s="307" t="str">
        <f>IF(I16&lt;1," ",IF(K16&lt;1," ",(K16-I16)/I16))</f>
        <v xml:space="preserve"> </v>
      </c>
      <c r="M16" s="1196"/>
      <c r="N16" s="1180"/>
      <c r="O16" s="1181"/>
      <c r="P16" s="3"/>
      <c r="Q16" s="3"/>
      <c r="R16" s="3"/>
      <c r="S16" s="3"/>
      <c r="T16" s="3"/>
      <c r="U16" s="1"/>
      <c r="V16" s="1"/>
      <c r="W16" s="1"/>
      <c r="X16" s="1"/>
      <c r="Y16" s="1"/>
      <c r="Z16" s="1"/>
      <c r="AA16" s="1"/>
      <c r="AB16" s="1"/>
      <c r="AC16" s="1"/>
      <c r="AD16" s="1"/>
      <c r="AE16" s="1"/>
      <c r="AF16" s="1"/>
      <c r="AG16" s="1"/>
      <c r="AH16" s="1"/>
    </row>
    <row r="17" spans="1:34">
      <c r="A17" s="67"/>
      <c r="B17" s="145" t="s">
        <v>304</v>
      </c>
      <c r="C17" s="276"/>
      <c r="D17" s="342" t="s">
        <v>99</v>
      </c>
      <c r="E17" s="748">
        <f>'1st Interim-Unrestricted MYP'!E17+'1st Interim-Restricted MYP'!E17</f>
        <v>534301.255</v>
      </c>
      <c r="F17" s="748">
        <f>'1st Interim-Unrestricted MYP'!F17+'1st Interim-Restricted MYP'!F17</f>
        <v>0</v>
      </c>
      <c r="G17" s="963">
        <f>'1st Interim-Unrestricted MYP'!G17+'1st Interim-Restricted MYP'!G17</f>
        <v>0</v>
      </c>
      <c r="H17" s="49" t="str">
        <f>IF(E17&lt;1," ",IF(G17&lt;1," ",(G17-E17)/E17))</f>
        <v xml:space="preserve"> </v>
      </c>
      <c r="I17" s="748">
        <f>'1st Interim-Unrestricted MYP'!I17+'1st Interim-Restricted MYP'!I17</f>
        <v>0</v>
      </c>
      <c r="J17" s="31" t="str">
        <f>IF(G17&lt;1," ",IF(I17&lt;1," ",(I17-G17)/G17))</f>
        <v xml:space="preserve"> </v>
      </c>
      <c r="K17" s="748">
        <f>'1st Interim-Unrestricted MYP'!K17+'1st Interim-Restricted MYP'!K17</f>
        <v>0</v>
      </c>
      <c r="L17" s="307" t="str">
        <f>IF(I17&lt;1," ",IF(K17&lt;1," ",(K17-I17)/I17))</f>
        <v xml:space="preserve"> </v>
      </c>
      <c r="M17" s="1196"/>
      <c r="N17" s="1180"/>
      <c r="O17" s="1181"/>
      <c r="P17" s="3"/>
      <c r="Q17" s="3"/>
      <c r="R17" s="3"/>
      <c r="S17" s="3"/>
      <c r="T17" s="3"/>
      <c r="U17" s="1"/>
      <c r="V17" s="1"/>
      <c r="W17" s="1"/>
      <c r="X17" s="1"/>
      <c r="Y17" s="1"/>
      <c r="Z17" s="1"/>
      <c r="AA17" s="1"/>
      <c r="AB17" s="1"/>
      <c r="AC17" s="1"/>
      <c r="AD17" s="1"/>
      <c r="AE17" s="1"/>
      <c r="AF17" s="1"/>
      <c r="AG17" s="1"/>
      <c r="AH17" s="1"/>
    </row>
    <row r="18" spans="1:34">
      <c r="A18" s="67"/>
      <c r="B18" s="145" t="s">
        <v>305</v>
      </c>
      <c r="C18" s="139"/>
      <c r="D18" s="139"/>
      <c r="E18" s="816"/>
      <c r="F18" s="816"/>
      <c r="G18" s="860"/>
      <c r="H18" s="499"/>
      <c r="I18" s="816"/>
      <c r="J18" s="499"/>
      <c r="K18" s="816"/>
      <c r="L18" s="500"/>
      <c r="M18" s="1196"/>
      <c r="N18" s="1180"/>
      <c r="O18" s="1181"/>
      <c r="P18" s="3"/>
      <c r="Q18" s="3"/>
      <c r="R18" s="3"/>
      <c r="S18" s="3"/>
      <c r="T18" s="3"/>
      <c r="U18" s="1"/>
      <c r="V18" s="1"/>
      <c r="W18" s="1"/>
      <c r="X18" s="1"/>
      <c r="Y18" s="1"/>
      <c r="Z18" s="1"/>
      <c r="AA18" s="1"/>
      <c r="AB18" s="1"/>
      <c r="AC18" s="1"/>
      <c r="AD18" s="1"/>
      <c r="AE18" s="1"/>
      <c r="AF18" s="1"/>
      <c r="AG18" s="1"/>
      <c r="AH18" s="1"/>
    </row>
    <row r="19" spans="1:34">
      <c r="A19" s="67"/>
      <c r="B19" s="145"/>
      <c r="C19" s="276" t="s">
        <v>306</v>
      </c>
      <c r="D19" s="342">
        <v>8560</v>
      </c>
      <c r="E19" s="748">
        <f>'1st Interim-Unrestricted MYP'!E19+'1st Interim-Restricted MYP'!E19</f>
        <v>92527.144709999993</v>
      </c>
      <c r="F19" s="748">
        <f>'1st Interim-Unrestricted MYP'!F19+'1st Interim-Restricted MYP'!F19</f>
        <v>0</v>
      </c>
      <c r="G19" s="757" t="e">
        <f>'1st Interim-Unrestricted MYP'!G19+'1st Interim-Restricted MYP'!G19</f>
        <v>#VALUE!</v>
      </c>
      <c r="H19" s="49" t="e">
        <f>IF(E19&lt;1," ",IF(G19&lt;1," ",(G19-E19)/E19))</f>
        <v>#VALUE!</v>
      </c>
      <c r="I19" s="754" t="e">
        <f>'1st Interim-Unrestricted MYP'!I19+'1st Interim-Restricted MYP'!I19</f>
        <v>#VALUE!</v>
      </c>
      <c r="J19" s="31" t="e">
        <f>IF(G19&lt;1," ",IF(I19&lt;1," ",(I19-G19)/G19))</f>
        <v>#VALUE!</v>
      </c>
      <c r="K19" s="752" t="e">
        <f>'1st Interim-Unrestricted MYP'!K19+'1st Interim-Restricted MYP'!K19</f>
        <v>#VALUE!</v>
      </c>
      <c r="L19" s="307" t="e">
        <f>IF(I19&lt;1," ",IF(K19&lt;1," ",(K19-I19)/I19))</f>
        <v>#VALUE!</v>
      </c>
      <c r="M19" s="1196"/>
      <c r="N19" s="1180"/>
      <c r="O19" s="1181"/>
      <c r="P19" s="3"/>
      <c r="Q19" s="3"/>
      <c r="R19" s="3"/>
      <c r="S19" s="3"/>
      <c r="T19" s="3"/>
      <c r="U19" s="1"/>
      <c r="V19" s="1"/>
      <c r="W19" s="1"/>
      <c r="X19" s="1"/>
      <c r="Y19" s="1"/>
      <c r="Z19" s="1"/>
      <c r="AA19" s="1"/>
      <c r="AB19" s="1"/>
      <c r="AC19" s="1"/>
      <c r="AD19" s="1"/>
      <c r="AE19" s="1"/>
      <c r="AF19" s="1"/>
      <c r="AG19" s="1"/>
      <c r="AH19" s="1"/>
    </row>
    <row r="20" spans="1:34">
      <c r="A20" s="67"/>
      <c r="B20" s="145"/>
      <c r="C20" s="276" t="s">
        <v>307</v>
      </c>
      <c r="D20" s="342">
        <v>8560</v>
      </c>
      <c r="E20" s="753">
        <f>'1st Interim-Unrestricted MYP'!E20+'1st Interim-Restricted MYP'!E20</f>
        <v>37638.160559999997</v>
      </c>
      <c r="F20" s="753">
        <f>'1st Interim-Unrestricted MYP'!F20+'1st Interim-Restricted MYP'!F20</f>
        <v>0</v>
      </c>
      <c r="G20" s="963" t="e">
        <f>'1st Interim-Unrestricted MYP'!G20+'1st Interim-Restricted MYP'!G20</f>
        <v>#VALUE!</v>
      </c>
      <c r="H20" s="31" t="e">
        <f>IF(E20&lt;1," ",IF(G20&lt;1," ",(G20-E20)/E20))</f>
        <v>#VALUE!</v>
      </c>
      <c r="I20" s="754" t="e">
        <f>'1st Interim-Unrestricted MYP'!I20+'1st Interim-Restricted MYP'!I20</f>
        <v>#VALUE!</v>
      </c>
      <c r="J20" s="31" t="e">
        <f>IF(G20&lt;1," ",IF(I20&lt;1," ",(I20-G20)/G20))</f>
        <v>#VALUE!</v>
      </c>
      <c r="K20" s="752" t="e">
        <f>'1st Interim-Unrestricted MYP'!K20+'1st Interim-Restricted MYP'!K20</f>
        <v>#VALUE!</v>
      </c>
      <c r="L20" s="307" t="e">
        <f>IF(I20&lt;1," ",IF(K20&lt;1," ",(K20-I20)/I20))</f>
        <v>#VALUE!</v>
      </c>
      <c r="M20" s="1196"/>
      <c r="N20" s="1180"/>
      <c r="O20" s="1181"/>
      <c r="P20" s="3"/>
      <c r="Q20" s="3"/>
      <c r="R20" s="3"/>
      <c r="S20" s="3"/>
      <c r="T20" s="3"/>
      <c r="U20" s="1"/>
      <c r="V20" s="1"/>
      <c r="W20" s="1"/>
      <c r="X20" s="1"/>
      <c r="Y20" s="1"/>
      <c r="Z20" s="1"/>
      <c r="AA20" s="1"/>
      <c r="AB20" s="1"/>
      <c r="AC20" s="1"/>
      <c r="AD20" s="1"/>
      <c r="AE20" s="1"/>
      <c r="AF20" s="1"/>
      <c r="AG20" s="1"/>
      <c r="AH20" s="1"/>
    </row>
    <row r="21" spans="1:34">
      <c r="A21" s="67"/>
      <c r="B21" s="145"/>
      <c r="C21" s="276" t="s">
        <v>308</v>
      </c>
      <c r="D21" s="342" t="s">
        <v>100</v>
      </c>
      <c r="E21" s="748">
        <f>'1st Interim-Unrestricted MYP'!E21+'1st Interim-Restricted MYP'!E21</f>
        <v>1514866</v>
      </c>
      <c r="F21" s="748">
        <f>'1st Interim-Unrestricted MYP'!F21+'1st Interim-Restricted MYP'!F21</f>
        <v>0</v>
      </c>
      <c r="G21" s="757">
        <f>'1st Interim-Unrestricted MYP'!G21+'1st Interim-Restricted MYP'!G21</f>
        <v>0</v>
      </c>
      <c r="H21" s="49" t="str">
        <f>IF(E21&lt;1," ",IF(G21&lt;1," ",(G21-E21)/E21))</f>
        <v xml:space="preserve"> </v>
      </c>
      <c r="I21" s="751">
        <f>'1st Interim-Unrestricted MYP'!I21+'1st Interim-Restricted MYP'!I21</f>
        <v>0</v>
      </c>
      <c r="J21" s="31" t="str">
        <f>IF(G21&lt;1," ",IF(I21&lt;1," ",(I21-G21)/G21))</f>
        <v xml:space="preserve"> </v>
      </c>
      <c r="K21" s="752">
        <f>'1st Interim-Unrestricted MYP'!K21+'1st Interim-Restricted MYP'!K21</f>
        <v>0</v>
      </c>
      <c r="L21" s="307" t="str">
        <f>IF(I21&lt;1," ",IF(K21&lt;1," ",(K21-I21)/I21))</f>
        <v xml:space="preserve"> </v>
      </c>
      <c r="M21" s="1196"/>
      <c r="N21" s="1180"/>
      <c r="O21" s="1181"/>
      <c r="P21" s="3"/>
      <c r="Q21" s="3"/>
      <c r="R21" s="3"/>
      <c r="S21" s="3"/>
      <c r="T21" s="3"/>
      <c r="U21" s="1"/>
      <c r="V21" s="1"/>
      <c r="W21" s="1"/>
      <c r="X21" s="1"/>
      <c r="Y21" s="1"/>
      <c r="Z21" s="1"/>
      <c r="AA21" s="1"/>
      <c r="AB21" s="1"/>
      <c r="AC21" s="1"/>
      <c r="AD21" s="1"/>
      <c r="AE21" s="1"/>
      <c r="AF21" s="1"/>
      <c r="AG21" s="1"/>
      <c r="AH21" s="1"/>
    </row>
    <row r="22" spans="1:34">
      <c r="A22" s="67"/>
      <c r="B22" s="145" t="s">
        <v>309</v>
      </c>
      <c r="C22" s="139"/>
      <c r="D22" s="139"/>
      <c r="E22" s="816"/>
      <c r="F22" s="816"/>
      <c r="G22" s="860"/>
      <c r="H22" s="499"/>
      <c r="I22" s="816"/>
      <c r="J22" s="499"/>
      <c r="K22" s="816"/>
      <c r="L22" s="500"/>
      <c r="M22" s="1196"/>
      <c r="N22" s="1180"/>
      <c r="O22" s="1181"/>
      <c r="P22" s="3"/>
      <c r="Q22" s="3"/>
      <c r="R22" s="3"/>
      <c r="S22" s="3"/>
      <c r="T22" s="3"/>
      <c r="U22" s="1"/>
      <c r="V22" s="1"/>
      <c r="W22" s="1"/>
      <c r="X22" s="1"/>
      <c r="Y22" s="1"/>
      <c r="Z22" s="1"/>
      <c r="AA22" s="1"/>
      <c r="AB22" s="1"/>
      <c r="AC22" s="1"/>
      <c r="AD22" s="1"/>
      <c r="AE22" s="1"/>
      <c r="AF22" s="1"/>
      <c r="AG22" s="1"/>
      <c r="AH22" s="1"/>
    </row>
    <row r="23" spans="1:34">
      <c r="A23" s="67"/>
      <c r="B23" s="145"/>
      <c r="C23" s="276" t="s">
        <v>236</v>
      </c>
      <c r="D23" s="342">
        <v>8660</v>
      </c>
      <c r="E23" s="748">
        <f>'1st Interim-Unrestricted MYP'!E23+'1st Interim-Restricted MYP'!E23</f>
        <v>0</v>
      </c>
      <c r="F23" s="748">
        <f>'1st Interim-Unrestricted MYP'!F23+'1st Interim-Restricted MYP'!F23</f>
        <v>0</v>
      </c>
      <c r="G23" s="963">
        <f>'1st Interim-Unrestricted MYP'!G23+'1st Interim-Restricted MYP'!G23</f>
        <v>0</v>
      </c>
      <c r="H23" s="49" t="str">
        <f>IF(E23&lt;1," ",IF(G23&lt;1," ",(G23-E23)/E23))</f>
        <v xml:space="preserve"> </v>
      </c>
      <c r="I23" s="751">
        <f>'1st Interim-Unrestricted MYP'!I23+'1st Interim-Restricted MYP'!I23</f>
        <v>0</v>
      </c>
      <c r="J23" s="31" t="str">
        <f>IF(G23&lt;1," ",IF(I23&lt;1," ",(I23-G23)/G23))</f>
        <v xml:space="preserve"> </v>
      </c>
      <c r="K23" s="752">
        <f>'1st Interim-Unrestricted MYP'!K23+'1st Interim-Restricted MYP'!K23</f>
        <v>0</v>
      </c>
      <c r="L23" s="307" t="str">
        <f>IF(I23&lt;1," ",IF(K23&lt;1," ",(K23-I23)/I23))</f>
        <v xml:space="preserve"> </v>
      </c>
      <c r="M23" s="1196"/>
      <c r="N23" s="1180"/>
      <c r="O23" s="1181"/>
      <c r="P23" s="3"/>
      <c r="Q23" s="3"/>
      <c r="R23" s="3"/>
      <c r="S23" s="3"/>
      <c r="T23" s="3"/>
      <c r="U23" s="1"/>
      <c r="V23" s="1"/>
      <c r="W23" s="1"/>
      <c r="X23" s="1"/>
      <c r="Y23" s="1"/>
      <c r="Z23" s="1"/>
      <c r="AA23" s="1"/>
      <c r="AB23" s="1"/>
      <c r="AC23" s="1"/>
      <c r="AD23" s="1"/>
      <c r="AE23" s="1"/>
      <c r="AF23" s="1"/>
      <c r="AG23" s="1"/>
      <c r="AH23" s="1"/>
    </row>
    <row r="24" spans="1:34">
      <c r="A24" s="67"/>
      <c r="B24" s="145"/>
      <c r="C24" s="276" t="s">
        <v>310</v>
      </c>
      <c r="D24" s="342">
        <v>8792</v>
      </c>
      <c r="E24" s="748">
        <f>'1st Interim-Unrestricted MYP'!E24+'1st Interim-Restricted MYP'!E24</f>
        <v>0</v>
      </c>
      <c r="F24" s="748">
        <f>'1st Interim-Unrestricted MYP'!F24+'1st Interim-Restricted MYP'!F24</f>
        <v>0</v>
      </c>
      <c r="G24" s="964">
        <f>'1st Interim-Unrestricted MYP'!G24+'1st Interim-Restricted MYP'!G24</f>
        <v>0</v>
      </c>
      <c r="H24" s="31" t="str">
        <f>IF(E24&lt;1," ",IF(G24&lt;1," ",(G24-E24)/E24))</f>
        <v xml:space="preserve"> </v>
      </c>
      <c r="I24" s="751">
        <f>'1st Interim-Unrestricted MYP'!I24+'1st Interim-Restricted MYP'!I24</f>
        <v>0</v>
      </c>
      <c r="J24" s="31" t="str">
        <f>IF(G24&lt;1," ",IF(I24&lt;1," ",(I24-G24)/G24))</f>
        <v xml:space="preserve"> </v>
      </c>
      <c r="K24" s="752">
        <f>'1st Interim-Unrestricted MYP'!K24+'1st Interim-Restricted MYP'!K24</f>
        <v>0</v>
      </c>
      <c r="L24" s="307" t="str">
        <f>IF(I24&lt;1," ",IF(K24&lt;1," ",(K24-I24)/I24))</f>
        <v xml:space="preserve"> </v>
      </c>
      <c r="M24" s="1196"/>
      <c r="N24" s="1180"/>
      <c r="O24" s="1181"/>
      <c r="P24" s="3"/>
      <c r="Q24" s="3"/>
      <c r="R24" s="3"/>
      <c r="S24" s="3"/>
      <c r="T24" s="3"/>
      <c r="U24" s="1"/>
      <c r="V24" s="1"/>
      <c r="W24" s="1"/>
      <c r="X24" s="1"/>
      <c r="Y24" s="1"/>
      <c r="Z24" s="1"/>
      <c r="AA24" s="1"/>
      <c r="AB24" s="1"/>
      <c r="AC24" s="1"/>
      <c r="AD24" s="1"/>
      <c r="AE24" s="1"/>
      <c r="AF24" s="1"/>
      <c r="AG24" s="1"/>
      <c r="AH24" s="1"/>
    </row>
    <row r="25" spans="1:34" ht="15.75" thickBot="1">
      <c r="A25" s="67"/>
      <c r="B25" s="883"/>
      <c r="C25" s="916" t="s">
        <v>311</v>
      </c>
      <c r="D25" s="917" t="s">
        <v>101</v>
      </c>
      <c r="E25" s="756">
        <f>'1st Interim-Unrestricted MYP'!E25+'1st Interim-Restricted MYP'!E25</f>
        <v>160000</v>
      </c>
      <c r="F25" s="879">
        <f>'1st Interim-Unrestricted MYP'!F25+'1st Interim-Restricted MYP'!F25</f>
        <v>0</v>
      </c>
      <c r="G25" s="965">
        <f>'1st Interim-Unrestricted MYP'!G25+'1st Interim-Restricted MYP'!G25</f>
        <v>0</v>
      </c>
      <c r="H25" s="584" t="str">
        <f>IF(E25&lt;1," ",IF(G25&lt;1," ",(G25-E25)/E25))</f>
        <v xml:space="preserve"> </v>
      </c>
      <c r="I25" s="756">
        <f>'1st Interim-Unrestricted MYP'!I25+'1st Interim-Restricted MYP'!I25</f>
        <v>0</v>
      </c>
      <c r="J25" s="94" t="str">
        <f>IF(G25&lt;1," ",IF(I25&lt;1," ",(I25-G25)/G25))</f>
        <v xml:space="preserve"> </v>
      </c>
      <c r="K25" s="756">
        <f>'1st Interim-Unrestricted MYP'!K25+'1st Interim-Restricted MYP'!K25</f>
        <v>0</v>
      </c>
      <c r="L25" s="308" t="str">
        <f>IF(I25&lt;1," ",IF(K25&lt;1," ",(K25-I25)/I25))</f>
        <v xml:space="preserve"> </v>
      </c>
      <c r="M25" s="1196"/>
      <c r="N25" s="1180"/>
      <c r="O25" s="1181"/>
      <c r="P25" s="3"/>
      <c r="Q25" s="3"/>
      <c r="R25" s="3"/>
      <c r="S25" s="3"/>
      <c r="T25" s="3"/>
      <c r="U25" s="1"/>
      <c r="V25" s="1"/>
      <c r="W25" s="1"/>
      <c r="X25" s="1"/>
      <c r="Y25" s="1"/>
      <c r="Z25" s="1"/>
      <c r="AA25" s="1"/>
      <c r="AB25" s="1"/>
      <c r="AC25" s="1"/>
      <c r="AD25" s="1"/>
      <c r="AE25" s="1"/>
      <c r="AF25" s="1"/>
      <c r="AG25" s="1"/>
      <c r="AH25" s="1"/>
    </row>
    <row r="26" spans="1:34" ht="16.149999999999999" thickTop="1" thickBot="1">
      <c r="A26" s="67"/>
      <c r="B26" s="896" t="s">
        <v>312</v>
      </c>
      <c r="C26" s="941"/>
      <c r="D26" s="915"/>
      <c r="E26" s="884">
        <f>SUM(E13:E25)</f>
        <v>9129332.5602700002</v>
      </c>
      <c r="F26" s="884">
        <f>SUM(F13:F25)</f>
        <v>0</v>
      </c>
      <c r="G26" s="884" t="e">
        <f>SUM(G13:G25)</f>
        <v>#VALUE!</v>
      </c>
      <c r="H26" s="885" t="e">
        <f>IF(E26&lt;1," ",IF(G26&lt;1," ",(G26-E26)/E26))</f>
        <v>#VALUE!</v>
      </c>
      <c r="I26" s="884" t="e">
        <f>SUM(I13:I25)</f>
        <v>#VALUE!</v>
      </c>
      <c r="J26" s="885" t="e">
        <f>IF(G26&lt;1," ",IF(I26&lt;1," ",(I26-G26)/G26))</f>
        <v>#VALUE!</v>
      </c>
      <c r="K26" s="884" t="e">
        <f>SUM(K13:K25)</f>
        <v>#VALUE!</v>
      </c>
      <c r="L26" s="886" t="e">
        <f>IF(I26&lt;1," ",IF(K26&lt;1," ",(K26-I26)/I26))</f>
        <v>#VALUE!</v>
      </c>
      <c r="M26" s="1196"/>
      <c r="N26" s="1180"/>
      <c r="O26" s="1181"/>
      <c r="P26" s="3"/>
      <c r="Q26" s="3"/>
      <c r="R26" s="3"/>
      <c r="S26" s="3"/>
      <c r="T26" s="3"/>
      <c r="U26" s="1"/>
      <c r="V26" s="1"/>
      <c r="W26" s="1"/>
      <c r="X26" s="1"/>
      <c r="Y26" s="1"/>
      <c r="Z26" s="1"/>
      <c r="AA26" s="1"/>
      <c r="AB26" s="1"/>
      <c r="AC26" s="1"/>
      <c r="AD26" s="1"/>
      <c r="AE26" s="1"/>
      <c r="AF26" s="1"/>
      <c r="AG26" s="1"/>
      <c r="AH26" s="1"/>
    </row>
    <row r="27" spans="1:34" ht="15.75" thickTop="1">
      <c r="A27" s="67"/>
      <c r="B27" s="1"/>
      <c r="C27" s="1"/>
      <c r="D27" s="1"/>
      <c r="E27" s="265"/>
      <c r="F27" s="265"/>
      <c r="G27" s="1734"/>
      <c r="H27" s="1734"/>
      <c r="I27" s="1734"/>
      <c r="J27" s="1734"/>
      <c r="K27" s="1734"/>
      <c r="L27" s="1735"/>
      <c r="M27" s="1373"/>
      <c r="N27" s="1180"/>
      <c r="O27" s="1181"/>
      <c r="P27" s="3"/>
      <c r="Q27" s="3"/>
      <c r="R27" s="3"/>
      <c r="S27" s="3"/>
      <c r="T27" s="3"/>
      <c r="U27" s="1"/>
      <c r="V27" s="1"/>
      <c r="W27" s="1"/>
      <c r="X27" s="1"/>
      <c r="Y27" s="1"/>
      <c r="Z27" s="1"/>
      <c r="AA27" s="1"/>
      <c r="AB27" s="1"/>
      <c r="AC27" s="1"/>
      <c r="AD27" s="1"/>
      <c r="AE27" s="1"/>
      <c r="AF27" s="1"/>
      <c r="AG27" s="1"/>
      <c r="AH27" s="1"/>
    </row>
    <row r="28" spans="1:34">
      <c r="A28" s="1736" t="s">
        <v>3</v>
      </c>
      <c r="B28" s="1737"/>
      <c r="C28" s="1737"/>
      <c r="D28" s="153"/>
      <c r="E28" s="81"/>
      <c r="F28" s="81"/>
      <c r="G28" s="1754"/>
      <c r="H28" s="1754"/>
      <c r="I28" s="1754"/>
      <c r="J28" s="1754"/>
      <c r="K28" s="1754"/>
      <c r="L28" s="1755"/>
      <c r="M28" s="1373"/>
      <c r="N28" s="1180"/>
      <c r="O28" s="1181"/>
      <c r="P28" s="3"/>
      <c r="Q28" s="3"/>
      <c r="R28" s="3"/>
      <c r="S28" s="3"/>
      <c r="T28" s="3"/>
      <c r="U28" s="1"/>
      <c r="V28" s="1"/>
      <c r="W28" s="1"/>
      <c r="X28" s="1"/>
      <c r="Y28" s="1"/>
      <c r="Z28" s="1"/>
      <c r="AA28" s="1"/>
      <c r="AB28" s="1"/>
      <c r="AC28" s="1"/>
      <c r="AD28" s="1"/>
      <c r="AE28" s="1"/>
      <c r="AF28" s="1"/>
      <c r="AG28" s="1"/>
      <c r="AH28" s="1"/>
    </row>
    <row r="29" spans="1:34">
      <c r="A29" s="67"/>
      <c r="B29" s="145" t="s">
        <v>4</v>
      </c>
      <c r="C29" s="276"/>
      <c r="D29" s="275" t="s">
        <v>102</v>
      </c>
      <c r="E29" s="748">
        <f>'1st Interim-Unrestricted MYP'!E29+'1st Interim-Restricted MYP'!E29</f>
        <v>2553199</v>
      </c>
      <c r="F29" s="748">
        <f>'1st Interim-Unrestricted MYP'!F29+'1st Interim-Restricted MYP'!F29</f>
        <v>0</v>
      </c>
      <c r="G29" s="758">
        <f>'1st Interim-Unrestricted MYP'!G29+'1st Interim-Restricted MYP'!G29</f>
        <v>0</v>
      </c>
      <c r="H29" s="31" t="str">
        <f t="shared" ref="H29:H38" si="0">IF(E29&lt;1," ",IF(G29&lt;1," ",(G29-E29)/E29))</f>
        <v xml:space="preserve"> </v>
      </c>
      <c r="I29" s="752">
        <f>'1st Interim-Unrestricted MYP'!I29+'1st Interim-Restricted MYP'!I29</f>
        <v>0</v>
      </c>
      <c r="J29" s="31" t="str">
        <f t="shared" ref="J29:J38" si="1">IF(G29&lt;1," ",IF(I29&lt;1," ",(I29-G29)/G29))</f>
        <v xml:space="preserve"> </v>
      </c>
      <c r="K29" s="752">
        <f>'1st Interim-Unrestricted MYP'!K29+'1st Interim-Restricted MYP'!K29</f>
        <v>0</v>
      </c>
      <c r="L29" s="307" t="str">
        <f t="shared" ref="L29:L38" si="2">IF(I29&lt;1," ",IF(K29&lt;1," ",(K29-I29)/I29))</f>
        <v xml:space="preserve"> </v>
      </c>
      <c r="M29" s="1196"/>
      <c r="N29" s="1180"/>
      <c r="O29" s="1181"/>
      <c r="P29" s="3"/>
      <c r="Q29" s="3"/>
      <c r="R29" s="3"/>
      <c r="S29" s="3"/>
      <c r="T29" s="3"/>
      <c r="U29" s="1"/>
      <c r="V29" s="1"/>
      <c r="W29" s="1"/>
      <c r="X29" s="1"/>
      <c r="Y29" s="1"/>
      <c r="Z29" s="1"/>
      <c r="AA29" s="1"/>
      <c r="AB29" s="1"/>
      <c r="AC29" s="1"/>
      <c r="AD29" s="1"/>
      <c r="AE29" s="1"/>
      <c r="AF29" s="1"/>
      <c r="AG29" s="1"/>
      <c r="AH29" s="1"/>
    </row>
    <row r="30" spans="1:34">
      <c r="A30" s="67"/>
      <c r="B30" s="145" t="s">
        <v>23</v>
      </c>
      <c r="C30" s="276"/>
      <c r="D30" s="275" t="s">
        <v>103</v>
      </c>
      <c r="E30" s="748">
        <f>'1st Interim-Unrestricted MYP'!E30+'1st Interim-Restricted MYP'!E30</f>
        <v>1193480</v>
      </c>
      <c r="F30" s="748">
        <f>'1st Interim-Unrestricted MYP'!F30+'1st Interim-Restricted MYP'!F30</f>
        <v>0</v>
      </c>
      <c r="G30" s="758">
        <f>'1st Interim-Unrestricted MYP'!G30+'1st Interim-Restricted MYP'!G30</f>
        <v>0</v>
      </c>
      <c r="H30" s="31" t="str">
        <f t="shared" si="0"/>
        <v xml:space="preserve"> </v>
      </c>
      <c r="I30" s="752">
        <f>'1st Interim-Unrestricted MYP'!I30+'1st Interim-Restricted MYP'!I30</f>
        <v>0</v>
      </c>
      <c r="J30" s="31" t="str">
        <f t="shared" si="1"/>
        <v xml:space="preserve"> </v>
      </c>
      <c r="K30" s="752">
        <f>'1st Interim-Unrestricted MYP'!K30+'1st Interim-Restricted MYP'!K30</f>
        <v>0</v>
      </c>
      <c r="L30" s="307" t="str">
        <f t="shared" si="2"/>
        <v xml:space="preserve"> </v>
      </c>
      <c r="M30" s="1196"/>
      <c r="N30" s="1180"/>
      <c r="O30" s="1181"/>
      <c r="P30" s="3"/>
      <c r="Q30" s="3"/>
      <c r="R30" s="3"/>
      <c r="S30" s="3"/>
      <c r="T30" s="3"/>
      <c r="U30" s="1"/>
      <c r="V30" s="1"/>
      <c r="W30" s="1"/>
      <c r="X30" s="1"/>
      <c r="Y30" s="1"/>
      <c r="Z30" s="1"/>
      <c r="AA30" s="1"/>
      <c r="AB30" s="1"/>
      <c r="AC30" s="1"/>
      <c r="AD30" s="1"/>
      <c r="AE30" s="1"/>
      <c r="AF30" s="1"/>
      <c r="AG30" s="1"/>
      <c r="AH30" s="1"/>
    </row>
    <row r="31" spans="1:34">
      <c r="A31" s="67"/>
      <c r="B31" s="145" t="s">
        <v>24</v>
      </c>
      <c r="C31" s="276"/>
      <c r="D31" s="275" t="s">
        <v>104</v>
      </c>
      <c r="E31" s="748">
        <f>'1st Interim-Unrestricted MYP'!E31+'1st Interim-Restricted MYP'!E31</f>
        <v>1300110</v>
      </c>
      <c r="F31" s="748">
        <f>'1st Interim-Unrestricted MYP'!F31+'1st Interim-Restricted MYP'!F31</f>
        <v>0</v>
      </c>
      <c r="G31" s="758">
        <f>'1st Interim-Unrestricted MYP'!G31+'1st Interim-Restricted MYP'!G31</f>
        <v>0</v>
      </c>
      <c r="H31" s="31" t="str">
        <f t="shared" si="0"/>
        <v xml:space="preserve"> </v>
      </c>
      <c r="I31" s="752">
        <f>'1st Interim-Unrestricted MYP'!I31+'1st Interim-Restricted MYP'!I31</f>
        <v>0</v>
      </c>
      <c r="J31" s="31" t="str">
        <f t="shared" si="1"/>
        <v xml:space="preserve"> </v>
      </c>
      <c r="K31" s="752">
        <f>'1st Interim-Unrestricted MYP'!K31+'1st Interim-Restricted MYP'!K31</f>
        <v>0</v>
      </c>
      <c r="L31" s="307" t="str">
        <f t="shared" si="2"/>
        <v xml:space="preserve"> </v>
      </c>
      <c r="M31" s="1196"/>
      <c r="N31" s="1180"/>
      <c r="O31" s="1181"/>
      <c r="P31" s="3"/>
      <c r="Q31" s="3"/>
      <c r="R31" s="3"/>
      <c r="S31" s="3"/>
      <c r="T31" s="3"/>
      <c r="U31" s="1"/>
      <c r="V31" s="1"/>
      <c r="W31" s="1"/>
      <c r="X31" s="1"/>
      <c r="Y31" s="1"/>
      <c r="Z31" s="1"/>
      <c r="AA31" s="1"/>
      <c r="AB31" s="1"/>
      <c r="AC31" s="1"/>
      <c r="AD31" s="1"/>
      <c r="AE31" s="1"/>
      <c r="AF31" s="1"/>
      <c r="AG31" s="1"/>
      <c r="AH31" s="1"/>
    </row>
    <row r="32" spans="1:34">
      <c r="A32" s="67"/>
      <c r="B32" s="145" t="s">
        <v>25</v>
      </c>
      <c r="C32" s="276"/>
      <c r="D32" s="275" t="s">
        <v>105</v>
      </c>
      <c r="E32" s="748">
        <f>'1st Interim-Unrestricted MYP'!E32+'1st Interim-Restricted MYP'!E32</f>
        <v>628200</v>
      </c>
      <c r="F32" s="748">
        <f>'1st Interim-Unrestricted MYP'!F32+'1st Interim-Restricted MYP'!F32</f>
        <v>0</v>
      </c>
      <c r="G32" s="758">
        <f>'1st Interim-Unrestricted MYP'!G32+'1st Interim-Restricted MYP'!G32</f>
        <v>0</v>
      </c>
      <c r="H32" s="31" t="str">
        <f t="shared" si="0"/>
        <v xml:space="preserve"> </v>
      </c>
      <c r="I32" s="752">
        <f>'1st Interim-Unrestricted MYP'!I32+'1st Interim-Restricted MYP'!I32</f>
        <v>0</v>
      </c>
      <c r="J32" s="31" t="str">
        <f t="shared" si="1"/>
        <v xml:space="preserve"> </v>
      </c>
      <c r="K32" s="752">
        <f>'1st Interim-Unrestricted MYP'!K32+'1st Interim-Restricted MYP'!K32</f>
        <v>0</v>
      </c>
      <c r="L32" s="307" t="str">
        <f t="shared" si="2"/>
        <v xml:space="preserve"> </v>
      </c>
      <c r="M32" s="1196"/>
      <c r="N32" s="1180"/>
      <c r="O32" s="1181"/>
      <c r="P32" s="3"/>
      <c r="Q32" s="3"/>
      <c r="R32" s="3"/>
      <c r="S32" s="3"/>
      <c r="T32" s="3"/>
      <c r="U32" s="1"/>
      <c r="V32" s="1"/>
      <c r="W32" s="1"/>
      <c r="X32" s="1"/>
      <c r="Y32" s="1"/>
      <c r="Z32" s="1"/>
      <c r="AA32" s="1"/>
      <c r="AB32" s="1"/>
      <c r="AC32" s="1"/>
      <c r="AD32" s="1"/>
      <c r="AE32" s="1"/>
      <c r="AF32" s="1"/>
      <c r="AG32" s="1"/>
      <c r="AH32" s="1"/>
    </row>
    <row r="33" spans="1:34">
      <c r="A33" s="67"/>
      <c r="B33" s="145" t="s">
        <v>26</v>
      </c>
      <c r="C33" s="276"/>
      <c r="D33" s="275" t="s">
        <v>106</v>
      </c>
      <c r="E33" s="748">
        <f>'1st Interim-Unrestricted MYP'!E33+'1st Interim-Restricted MYP'!E33</f>
        <v>3760844</v>
      </c>
      <c r="F33" s="748">
        <f>'1st Interim-Unrestricted MYP'!F33+'1st Interim-Restricted MYP'!F33</f>
        <v>0</v>
      </c>
      <c r="G33" s="758">
        <f>'1st Interim-Unrestricted MYP'!G33+'1st Interim-Restricted MYP'!G33</f>
        <v>0</v>
      </c>
      <c r="H33" s="31" t="str">
        <f t="shared" si="0"/>
        <v xml:space="preserve"> </v>
      </c>
      <c r="I33" s="752">
        <f>'1st Interim-Unrestricted MYP'!I33+'1st Interim-Restricted MYP'!I33</f>
        <v>0</v>
      </c>
      <c r="J33" s="31" t="str">
        <f t="shared" si="1"/>
        <v xml:space="preserve"> </v>
      </c>
      <c r="K33" s="752">
        <f>'1st Interim-Unrestricted MYP'!K33+'1st Interim-Restricted MYP'!K33</f>
        <v>0</v>
      </c>
      <c r="L33" s="307" t="str">
        <f t="shared" si="2"/>
        <v xml:space="preserve"> </v>
      </c>
      <c r="M33" s="1196"/>
      <c r="N33" s="1180"/>
      <c r="O33" s="1181"/>
      <c r="P33" s="3"/>
      <c r="Q33" s="3"/>
      <c r="R33" s="3"/>
      <c r="S33" s="3"/>
      <c r="T33" s="3"/>
      <c r="U33" s="1"/>
      <c r="V33" s="1"/>
      <c r="W33" s="1"/>
      <c r="X33" s="1"/>
      <c r="Y33" s="1"/>
      <c r="Z33" s="1"/>
      <c r="AA33" s="1"/>
      <c r="AB33" s="1"/>
      <c r="AC33" s="1"/>
      <c r="AD33" s="1"/>
      <c r="AE33" s="1"/>
      <c r="AF33" s="1"/>
      <c r="AG33" s="1"/>
      <c r="AH33" s="1"/>
    </row>
    <row r="34" spans="1:34">
      <c r="A34" s="67"/>
      <c r="B34" s="274" t="s">
        <v>508</v>
      </c>
      <c r="C34" s="276"/>
      <c r="D34" s="275" t="s">
        <v>107</v>
      </c>
      <c r="E34" s="748">
        <f>'1st Interim-Unrestricted MYP'!E34+'1st Interim-Restricted MYP'!E34</f>
        <v>0</v>
      </c>
      <c r="F34" s="748">
        <f>'1st Interim-Unrestricted MYP'!F34+'1st Interim-Restricted MYP'!F34</f>
        <v>0</v>
      </c>
      <c r="G34" s="758">
        <f>'1st Interim-Unrestricted MYP'!G34+'1st Interim-Restricted MYP'!G34</f>
        <v>0</v>
      </c>
      <c r="H34" s="31" t="str">
        <f t="shared" si="0"/>
        <v xml:space="preserve"> </v>
      </c>
      <c r="I34" s="752">
        <f>'1st Interim-Unrestricted MYP'!I34+'1st Interim-Restricted MYP'!I34</f>
        <v>0</v>
      </c>
      <c r="J34" s="31" t="str">
        <f t="shared" si="1"/>
        <v xml:space="preserve"> </v>
      </c>
      <c r="K34" s="752">
        <f>'1st Interim-Unrestricted MYP'!K34+'1st Interim-Restricted MYP'!K34</f>
        <v>0</v>
      </c>
      <c r="L34" s="307" t="str">
        <f t="shared" si="2"/>
        <v xml:space="preserve"> </v>
      </c>
      <c r="M34" s="1196"/>
      <c r="N34" s="1180"/>
      <c r="O34" s="1181"/>
      <c r="P34" s="3"/>
      <c r="Q34" s="3"/>
      <c r="R34" s="3"/>
      <c r="S34" s="3"/>
      <c r="T34" s="3"/>
      <c r="U34" s="1"/>
      <c r="V34" s="1"/>
      <c r="W34" s="1"/>
      <c r="X34" s="1"/>
      <c r="Y34" s="1"/>
      <c r="Z34" s="1"/>
      <c r="AA34" s="1"/>
      <c r="AB34" s="1"/>
      <c r="AC34" s="1"/>
      <c r="AD34" s="1"/>
      <c r="AE34" s="1"/>
      <c r="AF34" s="1"/>
      <c r="AG34" s="1"/>
      <c r="AH34" s="1"/>
    </row>
    <row r="35" spans="1:34">
      <c r="A35" s="67"/>
      <c r="B35" s="274" t="s">
        <v>507</v>
      </c>
      <c r="C35" s="276"/>
      <c r="D35" s="275">
        <v>6900</v>
      </c>
      <c r="E35" s="748">
        <f>'1st Interim-Unrestricted MYP'!E35+'1st Interim-Restricted MYP'!E35</f>
        <v>0</v>
      </c>
      <c r="F35" s="748">
        <f>'1st Interim-Unrestricted MYP'!F35+'1st Interim-Restricted MYP'!F35</f>
        <v>0</v>
      </c>
      <c r="G35" s="758">
        <f>'1st Interim-Unrestricted MYP'!G35+'1st Interim-Restricted MYP'!G35</f>
        <v>0</v>
      </c>
      <c r="H35" s="31" t="str">
        <f t="shared" ref="H35" si="3">IF(E35&lt;1," ",IF(G35&lt;1," ",(G35-E35)/E35))</f>
        <v xml:space="preserve"> </v>
      </c>
      <c r="I35" s="752">
        <f>'1st Interim-Unrestricted MYP'!I35+'1st Interim-Restricted MYP'!I35</f>
        <v>0</v>
      </c>
      <c r="J35" s="31" t="str">
        <f t="shared" ref="J35" si="4">IF(G35&lt;1," ",IF(I35&lt;1," ",(I35-G35)/G35))</f>
        <v xml:space="preserve"> </v>
      </c>
      <c r="K35" s="752">
        <f>'1st Interim-Unrestricted MYP'!K35+'1st Interim-Restricted MYP'!K35</f>
        <v>0</v>
      </c>
      <c r="L35" s="307" t="str">
        <f t="shared" ref="L35" si="5">IF(I35&lt;1," ",IF(K35&lt;1," ",(K35-I35)/I35))</f>
        <v xml:space="preserve"> </v>
      </c>
      <c r="M35" s="1196"/>
      <c r="N35" s="1180"/>
      <c r="O35" s="1181"/>
      <c r="P35" s="3"/>
      <c r="Q35" s="3"/>
      <c r="R35" s="3"/>
      <c r="S35" s="3"/>
      <c r="T35" s="3"/>
      <c r="U35" s="1"/>
      <c r="V35" s="1"/>
      <c r="W35" s="1"/>
      <c r="X35" s="1"/>
      <c r="Y35" s="1"/>
      <c r="Z35" s="1"/>
      <c r="AA35" s="1"/>
      <c r="AB35" s="1"/>
      <c r="AC35" s="1"/>
      <c r="AD35" s="1"/>
      <c r="AE35" s="1"/>
      <c r="AF35" s="1"/>
      <c r="AG35" s="1"/>
      <c r="AH35" s="1"/>
    </row>
    <row r="36" spans="1:34">
      <c r="A36" s="67"/>
      <c r="B36" s="145" t="s">
        <v>27</v>
      </c>
      <c r="C36" s="276"/>
      <c r="D36" s="275" t="s">
        <v>108</v>
      </c>
      <c r="E36" s="748">
        <f>'1st Interim-Unrestricted MYP'!E36+'1st Interim-Restricted MYP'!E36</f>
        <v>0</v>
      </c>
      <c r="F36" s="748">
        <f>'1st Interim-Unrestricted MYP'!F36+'1st Interim-Restricted MYP'!F36</f>
        <v>0</v>
      </c>
      <c r="G36" s="758">
        <f>'1st Interim-Unrestricted MYP'!G36+'1st Interim-Restricted MYP'!G36</f>
        <v>0</v>
      </c>
      <c r="H36" s="31" t="str">
        <f t="shared" si="0"/>
        <v xml:space="preserve"> </v>
      </c>
      <c r="I36" s="752">
        <f>'1st Interim-Unrestricted MYP'!I36+'1st Interim-Restricted MYP'!I36</f>
        <v>0</v>
      </c>
      <c r="J36" s="31" t="str">
        <f t="shared" si="1"/>
        <v xml:space="preserve"> </v>
      </c>
      <c r="K36" s="752">
        <f>'1st Interim-Unrestricted MYP'!K36+'1st Interim-Restricted MYP'!K36</f>
        <v>0</v>
      </c>
      <c r="L36" s="307" t="str">
        <f t="shared" si="2"/>
        <v xml:space="preserve"> </v>
      </c>
      <c r="M36" s="1196"/>
      <c r="N36" s="1180"/>
      <c r="O36" s="1181"/>
      <c r="P36" s="3"/>
      <c r="Q36" s="3"/>
      <c r="R36" s="3"/>
      <c r="S36" s="3"/>
      <c r="T36" s="3"/>
      <c r="U36" s="1"/>
      <c r="V36" s="1"/>
      <c r="W36" s="1"/>
      <c r="X36" s="1"/>
      <c r="Y36" s="1"/>
      <c r="Z36" s="1"/>
      <c r="AA36" s="1"/>
      <c r="AB36" s="1"/>
      <c r="AC36" s="1"/>
      <c r="AD36" s="1"/>
      <c r="AE36" s="1"/>
      <c r="AF36" s="1"/>
      <c r="AG36" s="1"/>
      <c r="AH36" s="1"/>
    </row>
    <row r="37" spans="1:34" ht="15.75" thickBot="1">
      <c r="A37" s="67"/>
      <c r="B37" s="883" t="s">
        <v>146</v>
      </c>
      <c r="C37" s="916"/>
      <c r="D37" s="617" t="s">
        <v>111</v>
      </c>
      <c r="E37" s="879">
        <f>'1st Interim-Unrestricted MYP'!E37+'1st Interim-Restricted MYP'!E37</f>
        <v>0</v>
      </c>
      <c r="F37" s="879">
        <f>'1st Interim-Unrestricted MYP'!F37+'1st Interim-Restricted MYP'!F37</f>
        <v>0</v>
      </c>
      <c r="G37" s="926">
        <f>'1st Interim-Unrestricted MYP'!G37+'1st Interim-Restricted MYP'!G37</f>
        <v>0</v>
      </c>
      <c r="H37" s="94" t="str">
        <f t="shared" si="0"/>
        <v xml:space="preserve"> </v>
      </c>
      <c r="I37" s="799">
        <f>'1st Interim-Unrestricted MYP'!I37+'1st Interim-Restricted MYP'!I37</f>
        <v>0</v>
      </c>
      <c r="J37" s="94" t="str">
        <f t="shared" si="1"/>
        <v xml:space="preserve"> </v>
      </c>
      <c r="K37" s="799">
        <f>'1st Interim-Unrestricted MYP'!K37+'1st Interim-Restricted MYP'!K37</f>
        <v>0</v>
      </c>
      <c r="L37" s="308" t="str">
        <f t="shared" si="2"/>
        <v xml:space="preserve"> </v>
      </c>
      <c r="M37" s="1196"/>
      <c r="N37" s="1180"/>
      <c r="O37" s="1181"/>
      <c r="P37" s="3"/>
      <c r="Q37" s="3"/>
      <c r="R37" s="3"/>
      <c r="S37" s="3"/>
      <c r="T37" s="3"/>
      <c r="U37" s="1"/>
      <c r="V37" s="1"/>
      <c r="W37" s="1"/>
      <c r="X37" s="1"/>
      <c r="Y37" s="1"/>
      <c r="Z37" s="1"/>
      <c r="AA37" s="1"/>
      <c r="AB37" s="1"/>
      <c r="AC37" s="1"/>
      <c r="AD37" s="1"/>
      <c r="AE37" s="1"/>
      <c r="AF37" s="1"/>
      <c r="AG37" s="1"/>
      <c r="AH37" s="1"/>
    </row>
    <row r="38" spans="1:34" ht="16.149999999999999" thickTop="1" thickBot="1">
      <c r="A38" s="67"/>
      <c r="B38" s="896" t="s">
        <v>28</v>
      </c>
      <c r="C38" s="941"/>
      <c r="D38" s="942"/>
      <c r="E38" s="884">
        <f>ROUND(SUM(E29:E37),0)</f>
        <v>9435833</v>
      </c>
      <c r="F38" s="884">
        <f>ROUND(SUM(F29:F37),0)</f>
        <v>0</v>
      </c>
      <c r="G38" s="884">
        <f>ROUND(SUM(G29:G37),0)</f>
        <v>0</v>
      </c>
      <c r="H38" s="885" t="str">
        <f t="shared" si="0"/>
        <v xml:space="preserve"> </v>
      </c>
      <c r="I38" s="884">
        <f>ROUND(SUM(I29:I37),0)</f>
        <v>0</v>
      </c>
      <c r="J38" s="885" t="str">
        <f t="shared" si="1"/>
        <v xml:space="preserve"> </v>
      </c>
      <c r="K38" s="884">
        <f>ROUND(SUM(K29:K37),0)</f>
        <v>0</v>
      </c>
      <c r="L38" s="886" t="str">
        <f t="shared" si="2"/>
        <v xml:space="preserve"> </v>
      </c>
      <c r="M38" s="1196"/>
      <c r="N38" s="1180"/>
      <c r="O38" s="1181"/>
      <c r="P38" s="3"/>
      <c r="Q38" s="3"/>
      <c r="R38" s="3"/>
      <c r="S38" s="3"/>
      <c r="T38" s="3"/>
      <c r="U38" s="1"/>
      <c r="V38" s="1"/>
      <c r="W38" s="1"/>
      <c r="X38" s="1"/>
      <c r="Y38" s="1"/>
      <c r="Z38" s="1"/>
      <c r="AA38" s="1"/>
      <c r="AB38" s="1"/>
      <c r="AC38" s="1"/>
      <c r="AD38" s="1"/>
      <c r="AE38" s="1"/>
      <c r="AF38" s="1"/>
      <c r="AG38" s="1"/>
      <c r="AH38" s="1"/>
    </row>
    <row r="39" spans="1:34" ht="16.149999999999999" thickTop="1" thickBot="1">
      <c r="A39" s="67"/>
      <c r="B39" s="1"/>
      <c r="C39" s="1"/>
      <c r="D39" s="166"/>
      <c r="E39" s="273"/>
      <c r="F39" s="273"/>
      <c r="G39" s="1745"/>
      <c r="H39" s="1745"/>
      <c r="I39" s="1745"/>
      <c r="J39" s="1745"/>
      <c r="K39" s="1745"/>
      <c r="L39" s="1746"/>
      <c r="M39" s="1374"/>
      <c r="N39" s="1180"/>
      <c r="O39" s="1181"/>
      <c r="P39" s="3"/>
      <c r="Q39" s="3"/>
      <c r="R39" s="3"/>
      <c r="S39" s="3"/>
      <c r="T39" s="3"/>
      <c r="U39" s="1"/>
      <c r="V39" s="1"/>
      <c r="W39" s="1"/>
      <c r="X39" s="1"/>
      <c r="Y39" s="1"/>
      <c r="Z39" s="1"/>
      <c r="AA39" s="1"/>
      <c r="AB39" s="1"/>
      <c r="AC39" s="1"/>
      <c r="AD39" s="1"/>
      <c r="AE39" s="1"/>
      <c r="AF39" s="1"/>
      <c r="AG39" s="1"/>
      <c r="AH39" s="1"/>
    </row>
    <row r="40" spans="1:34" ht="16.149999999999999" thickTop="1" thickBot="1">
      <c r="A40" s="899" t="s">
        <v>205</v>
      </c>
      <c r="B40" s="900"/>
      <c r="C40" s="904"/>
      <c r="D40" s="905"/>
      <c r="E40" s="901">
        <f>ROUND(SUM(E26-E38),0)</f>
        <v>-306500</v>
      </c>
      <c r="F40" s="901">
        <f>ROUND(SUM(F26-F38),0)</f>
        <v>0</v>
      </c>
      <c r="G40" s="901" t="e">
        <f>ROUND(SUM(G26-G38),0)</f>
        <v>#VALUE!</v>
      </c>
      <c r="H40" s="902" t="str">
        <f>IF(E40&lt;1," ",IF(G40&lt;1," ",(G40-E40)/E40))</f>
        <v xml:space="preserve"> </v>
      </c>
      <c r="I40" s="901" t="e">
        <f>ROUND(SUM(I26-I38),0)</f>
        <v>#VALUE!</v>
      </c>
      <c r="J40" s="902" t="e">
        <f>IF(G40&lt;1," ",IF(I40&lt;1," ",(I40-G40)/G40))</f>
        <v>#VALUE!</v>
      </c>
      <c r="K40" s="901" t="e">
        <f>ROUND(SUM(K26-K38),0)</f>
        <v>#VALUE!</v>
      </c>
      <c r="L40" s="903" t="e">
        <f>IF(I40&lt;1," ",IF(K40&lt;1," ",(K40-I40)/I40))</f>
        <v>#VALUE!</v>
      </c>
      <c r="M40" s="1196"/>
      <c r="N40" s="1180"/>
      <c r="O40" s="1181"/>
      <c r="P40" s="3"/>
      <c r="Q40" s="3"/>
      <c r="R40" s="3"/>
      <c r="S40" s="3"/>
      <c r="T40" s="3"/>
      <c r="U40" s="1"/>
      <c r="V40" s="1"/>
      <c r="W40" s="1"/>
      <c r="X40" s="1"/>
      <c r="Y40" s="1"/>
      <c r="Z40" s="1"/>
      <c r="AA40" s="1"/>
      <c r="AB40" s="1"/>
      <c r="AC40" s="1"/>
      <c r="AD40" s="1"/>
      <c r="AE40" s="1"/>
      <c r="AF40" s="1"/>
      <c r="AG40" s="1"/>
      <c r="AH40" s="1"/>
    </row>
    <row r="41" spans="1:34" ht="15.75" thickTop="1">
      <c r="A41" s="67"/>
      <c r="B41" s="1"/>
      <c r="C41" s="1"/>
      <c r="D41" s="340"/>
      <c r="E41" s="82"/>
      <c r="F41" s="82"/>
      <c r="G41" s="1752"/>
      <c r="H41" s="1752"/>
      <c r="I41" s="1752"/>
      <c r="J41" s="1752"/>
      <c r="K41" s="1752"/>
      <c r="L41" s="1753"/>
      <c r="M41" s="1373"/>
      <c r="N41" s="1180"/>
      <c r="O41" s="1181"/>
      <c r="P41" s="3"/>
      <c r="Q41" s="3"/>
      <c r="R41" s="3"/>
      <c r="S41" s="3"/>
      <c r="T41" s="3"/>
      <c r="U41" s="1"/>
      <c r="V41" s="1"/>
      <c r="W41" s="1"/>
      <c r="X41" s="1"/>
      <c r="Y41" s="1"/>
      <c r="Z41" s="1"/>
      <c r="AA41" s="1"/>
      <c r="AB41" s="1"/>
      <c r="AC41" s="1"/>
      <c r="AD41" s="1"/>
      <c r="AE41" s="1"/>
      <c r="AF41" s="1"/>
      <c r="AG41" s="1"/>
      <c r="AH41" s="1"/>
    </row>
    <row r="42" spans="1:34">
      <c r="A42" s="302" t="s">
        <v>29</v>
      </c>
      <c r="B42" s="1"/>
      <c r="C42" s="153"/>
      <c r="D42" s="341"/>
      <c r="E42" s="81"/>
      <c r="F42" s="81"/>
      <c r="G42" s="1754"/>
      <c r="H42" s="1754"/>
      <c r="I42" s="1754"/>
      <c r="J42" s="1754"/>
      <c r="K42" s="1754"/>
      <c r="L42" s="1755"/>
      <c r="M42" s="1373"/>
      <c r="N42" s="1180"/>
      <c r="O42" s="1181"/>
      <c r="P42" s="3"/>
      <c r="Q42" s="3"/>
      <c r="R42" s="3"/>
      <c r="S42" s="3"/>
      <c r="T42" s="3"/>
      <c r="U42" s="1"/>
      <c r="V42" s="1"/>
      <c r="W42" s="1"/>
      <c r="X42" s="1"/>
      <c r="Y42" s="1"/>
      <c r="Z42" s="1"/>
      <c r="AA42" s="1"/>
      <c r="AB42" s="1"/>
      <c r="AC42" s="1"/>
      <c r="AD42" s="1"/>
      <c r="AE42" s="1"/>
      <c r="AF42" s="1"/>
      <c r="AG42" s="1"/>
      <c r="AH42" s="1"/>
    </row>
    <row r="43" spans="1:34">
      <c r="A43" s="67"/>
      <c r="B43" s="145" t="s">
        <v>124</v>
      </c>
      <c r="C43" s="276"/>
      <c r="D43" s="306">
        <v>8900</v>
      </c>
      <c r="E43" s="752">
        <f>'1st Interim-Unrestricted MYP'!E43+'1st Interim-Restricted MYP'!E43</f>
        <v>0</v>
      </c>
      <c r="F43" s="752">
        <f>'1st Interim-Unrestricted MYP'!F43+'1st Interim-Restricted MYP'!F43</f>
        <v>0</v>
      </c>
      <c r="G43" s="752">
        <f>'1st Interim-Unrestricted MYP'!G43+'1st Interim-Restricted MYP'!G43</f>
        <v>0</v>
      </c>
      <c r="H43" s="31" t="str">
        <f>IF(E43&lt;1," ",IF(G43&lt;1," ",(G43-E43)/E43))</f>
        <v xml:space="preserve"> </v>
      </c>
      <c r="I43" s="752">
        <f>'1st Interim-Unrestricted MYP'!I43+'1st Interim-Restricted MYP'!I43</f>
        <v>0</v>
      </c>
      <c r="J43" s="31" t="str">
        <f>IF(G43&lt;1," ",IF(I43&lt;1," ",(I43-G43)/G43))</f>
        <v xml:space="preserve"> </v>
      </c>
      <c r="K43" s="752">
        <f>'1st Interim-Unrestricted MYP'!K43+'1st Interim-Restricted MYP'!K43</f>
        <v>0</v>
      </c>
      <c r="L43" s="307" t="str">
        <f>IF(I43&lt;1," ",IF(K43&lt;1," ",(K43-I43)/I43))</f>
        <v xml:space="preserve"> </v>
      </c>
      <c r="M43" s="1196"/>
      <c r="N43" s="1180"/>
      <c r="O43" s="1181"/>
      <c r="P43" s="3"/>
      <c r="Q43" s="3"/>
      <c r="R43" s="3"/>
      <c r="S43" s="3"/>
      <c r="T43" s="3"/>
      <c r="U43" s="1"/>
      <c r="V43" s="1"/>
      <c r="W43" s="1"/>
      <c r="X43" s="1"/>
      <c r="Y43" s="1"/>
      <c r="Z43" s="1"/>
      <c r="AA43" s="1"/>
      <c r="AB43" s="1"/>
      <c r="AC43" s="1"/>
      <c r="AD43" s="1"/>
      <c r="AE43" s="1"/>
      <c r="AF43" s="1"/>
      <c r="AG43" s="1"/>
      <c r="AH43" s="1"/>
    </row>
    <row r="44" spans="1:34" ht="15.75" thickBot="1">
      <c r="A44" s="67"/>
      <c r="B44" s="883" t="s">
        <v>30</v>
      </c>
      <c r="C44" s="916"/>
      <c r="D44" s="912">
        <v>7600</v>
      </c>
      <c r="E44" s="799">
        <f>'1st Interim-Unrestricted MYP'!E44+'1st Interim-Restricted MYP'!E44</f>
        <v>0</v>
      </c>
      <c r="F44" s="799">
        <f>'1st Interim-Unrestricted MYP'!F44+'1st Interim-Restricted MYP'!F44</f>
        <v>0</v>
      </c>
      <c r="G44" s="799">
        <f>'1st Interim-Unrestricted MYP'!G44+'1st Interim-Restricted MYP'!G44</f>
        <v>0</v>
      </c>
      <c r="H44" s="94" t="str">
        <f>IF(E44&lt;1," ",IF(G44&lt;1," ",(G44-E44)/E44))</f>
        <v xml:space="preserve"> </v>
      </c>
      <c r="I44" s="799">
        <f>'1st Interim-Unrestricted MYP'!I44+'1st Interim-Restricted MYP'!I44</f>
        <v>0</v>
      </c>
      <c r="J44" s="94" t="str">
        <f>IF(G44&lt;1," ",IF(I44&lt;1," ",(I44-G44)/G44))</f>
        <v xml:space="preserve"> </v>
      </c>
      <c r="K44" s="799">
        <f>'1st Interim-Unrestricted MYP'!K44+'1st Interim-Restricted MYP'!K44</f>
        <v>0</v>
      </c>
      <c r="L44" s="308" t="str">
        <f>IF(I44&lt;1," ",IF(K44&lt;1," ",(K44-I44)/I44))</f>
        <v xml:space="preserve"> </v>
      </c>
      <c r="M44" s="1196"/>
      <c r="N44" s="1180"/>
      <c r="O44" s="1181"/>
      <c r="P44" s="3"/>
      <c r="Q44" s="3"/>
      <c r="R44" s="3"/>
      <c r="S44" s="3"/>
      <c r="T44" s="3"/>
      <c r="U44" s="1"/>
      <c r="V44" s="1"/>
      <c r="W44" s="1"/>
      <c r="X44" s="1"/>
      <c r="Y44" s="1"/>
      <c r="Z44" s="1"/>
      <c r="AA44" s="1"/>
      <c r="AB44" s="1"/>
      <c r="AC44" s="1"/>
      <c r="AD44" s="1"/>
      <c r="AE44" s="1"/>
      <c r="AF44" s="1"/>
      <c r="AG44" s="1"/>
      <c r="AH44" s="1"/>
    </row>
    <row r="45" spans="1:34" ht="16.149999999999999" thickTop="1" thickBot="1">
      <c r="A45" s="67"/>
      <c r="B45" s="896" t="s">
        <v>31</v>
      </c>
      <c r="C45" s="941"/>
      <c r="D45" s="942"/>
      <c r="E45" s="884">
        <f>'1st Interim-Unrestricted MYP'!E45+'1st Interim-Restricted MYP'!E45</f>
        <v>0</v>
      </c>
      <c r="F45" s="884">
        <f>F43-F44</f>
        <v>0</v>
      </c>
      <c r="G45" s="884">
        <f>G43-G44</f>
        <v>0</v>
      </c>
      <c r="H45" s="885" t="str">
        <f>IF(E45&lt;1," ",IF(G45&lt;1," ",(G45-E45)/E45))</f>
        <v xml:space="preserve"> </v>
      </c>
      <c r="I45" s="884">
        <f>I43-I44</f>
        <v>0</v>
      </c>
      <c r="J45" s="885" t="str">
        <f>IF(G45&lt;1," ",IF(I45&lt;1," ",(I45-G45)/G45))</f>
        <v xml:space="preserve"> </v>
      </c>
      <c r="K45" s="884">
        <f>K43-K44</f>
        <v>0</v>
      </c>
      <c r="L45" s="886" t="str">
        <f>IF(I45&lt;1," ",IF(K45&lt;1," ",(K45-I45)/I45))</f>
        <v xml:space="preserve"> </v>
      </c>
      <c r="M45" s="1196"/>
      <c r="N45" s="1180"/>
      <c r="O45" s="1181"/>
      <c r="P45" s="3"/>
      <c r="Q45" s="3"/>
      <c r="R45" s="3"/>
      <c r="S45" s="3"/>
      <c r="T45" s="3"/>
      <c r="U45" s="1"/>
      <c r="V45" s="1"/>
      <c r="W45" s="1"/>
      <c r="X45" s="1"/>
      <c r="Y45" s="1"/>
      <c r="Z45" s="1"/>
      <c r="AA45" s="1"/>
      <c r="AB45" s="1"/>
      <c r="AC45" s="1"/>
      <c r="AD45" s="1"/>
      <c r="AE45" s="1"/>
      <c r="AF45" s="1"/>
      <c r="AG45" s="1"/>
      <c r="AH45" s="1"/>
    </row>
    <row r="46" spans="1:34" ht="16.149999999999999" thickTop="1" thickBot="1">
      <c r="A46" s="67"/>
      <c r="B46" s="1"/>
      <c r="C46" s="1"/>
      <c r="D46" s="166"/>
      <c r="E46" s="265"/>
      <c r="F46" s="265"/>
      <c r="G46" s="265"/>
      <c r="H46" s="51"/>
      <c r="I46" s="265"/>
      <c r="J46" s="51"/>
      <c r="K46" s="265"/>
      <c r="L46" s="309"/>
      <c r="M46" s="1196"/>
      <c r="N46" s="1180"/>
      <c r="O46" s="1181"/>
      <c r="P46" s="3"/>
      <c r="Q46" s="3"/>
      <c r="R46" s="3"/>
      <c r="S46" s="3"/>
      <c r="T46" s="3"/>
      <c r="U46" s="1"/>
      <c r="V46" s="1"/>
      <c r="W46" s="1"/>
      <c r="X46" s="1"/>
      <c r="Y46" s="1"/>
      <c r="Z46" s="1"/>
      <c r="AA46" s="1"/>
      <c r="AB46" s="1"/>
      <c r="AC46" s="1"/>
      <c r="AD46" s="1"/>
      <c r="AE46" s="1"/>
      <c r="AF46" s="1"/>
      <c r="AG46" s="1"/>
      <c r="AH46" s="1"/>
    </row>
    <row r="47" spans="1:34" ht="16.149999999999999" thickTop="1" thickBot="1">
      <c r="A47" s="899" t="s">
        <v>32</v>
      </c>
      <c r="B47" s="900"/>
      <c r="C47" s="904"/>
      <c r="D47" s="905"/>
      <c r="E47" s="901">
        <f>ROUND(E40+E45,0)</f>
        <v>-306500</v>
      </c>
      <c r="F47" s="901">
        <f>ROUND(F40+F45,0)</f>
        <v>0</v>
      </c>
      <c r="G47" s="901" t="e">
        <f>ROUND(G40+G45,0)</f>
        <v>#VALUE!</v>
      </c>
      <c r="H47" s="902" t="str">
        <f>IF(E47&lt;1," ",IF(G47&lt;1," ",(G47-E47)/E47))</f>
        <v xml:space="preserve"> </v>
      </c>
      <c r="I47" s="901" t="e">
        <f>ROUND(I40+I45,0)</f>
        <v>#VALUE!</v>
      </c>
      <c r="J47" s="902" t="e">
        <f>IF(G47&lt;1," ",IF(I47&lt;1," ",(I47-G47)/G47))</f>
        <v>#VALUE!</v>
      </c>
      <c r="K47" s="901" t="e">
        <f>ROUND(K40+K45,0)</f>
        <v>#VALUE!</v>
      </c>
      <c r="L47" s="903" t="e">
        <f>IF(I47&lt;1," ",IF(K47&lt;1," ",(K47-I47)/I47))</f>
        <v>#VALUE!</v>
      </c>
      <c r="M47" s="1196"/>
      <c r="N47" s="1180"/>
      <c r="O47" s="1181"/>
      <c r="P47" s="3"/>
      <c r="Q47" s="3"/>
      <c r="R47" s="3"/>
      <c r="S47" s="3"/>
      <c r="T47" s="3"/>
      <c r="U47" s="1"/>
      <c r="V47" s="1"/>
      <c r="W47" s="1"/>
      <c r="X47" s="1"/>
      <c r="Y47" s="1"/>
      <c r="Z47" s="1"/>
      <c r="AA47" s="1"/>
      <c r="AB47" s="1"/>
      <c r="AC47" s="1"/>
      <c r="AD47" s="1"/>
      <c r="AE47" s="1"/>
      <c r="AF47" s="1"/>
      <c r="AG47" s="1"/>
      <c r="AH47" s="1"/>
    </row>
    <row r="48" spans="1:34" ht="15.75" thickTop="1">
      <c r="A48" s="302"/>
      <c r="B48" s="1"/>
      <c r="C48" s="1"/>
      <c r="D48" s="166"/>
      <c r="E48" s="265"/>
      <c r="F48" s="265"/>
      <c r="G48" s="1734"/>
      <c r="H48" s="1734"/>
      <c r="I48" s="1734"/>
      <c r="J48" s="1734"/>
      <c r="K48" s="1734"/>
      <c r="L48" s="1735"/>
      <c r="M48" s="1373"/>
      <c r="N48" s="1180"/>
      <c r="O48" s="1181"/>
      <c r="P48" s="3"/>
      <c r="Q48" s="3"/>
      <c r="R48" s="3"/>
      <c r="S48" s="3"/>
      <c r="T48" s="3"/>
      <c r="U48" s="1"/>
      <c r="V48" s="1"/>
      <c r="W48" s="1"/>
      <c r="X48" s="1"/>
      <c r="Y48" s="1"/>
      <c r="Z48" s="1"/>
      <c r="AA48" s="1"/>
      <c r="AB48" s="1"/>
      <c r="AC48" s="1"/>
      <c r="AD48" s="1"/>
      <c r="AE48" s="1"/>
      <c r="AF48" s="1"/>
      <c r="AG48" s="1"/>
      <c r="AH48" s="1"/>
    </row>
    <row r="49" spans="1:38">
      <c r="A49" s="302" t="s">
        <v>6</v>
      </c>
      <c r="B49" s="1"/>
      <c r="C49" s="153"/>
      <c r="D49" s="341"/>
      <c r="E49" s="265"/>
      <c r="F49" s="265"/>
      <c r="G49" s="1734"/>
      <c r="H49" s="1734"/>
      <c r="I49" s="1734"/>
      <c r="J49" s="1734"/>
      <c r="K49" s="1734"/>
      <c r="L49" s="1735"/>
      <c r="M49" s="1373"/>
      <c r="N49" s="1180"/>
      <c r="O49" s="1181"/>
      <c r="P49" s="3"/>
      <c r="Q49" s="3"/>
      <c r="R49" s="3"/>
      <c r="S49" s="3"/>
      <c r="T49" s="3"/>
      <c r="U49" s="1"/>
      <c r="V49" s="1"/>
      <c r="W49" s="1"/>
      <c r="X49" s="1"/>
      <c r="Y49" s="1"/>
      <c r="Z49" s="1"/>
      <c r="AA49" s="1"/>
      <c r="AB49" s="1"/>
      <c r="AC49" s="1"/>
      <c r="AD49" s="1"/>
      <c r="AE49" s="1"/>
      <c r="AF49" s="1"/>
      <c r="AG49" s="1"/>
      <c r="AH49" s="1"/>
    </row>
    <row r="50" spans="1:38">
      <c r="A50" s="67"/>
      <c r="B50" s="289" t="s">
        <v>159</v>
      </c>
      <c r="C50" s="290"/>
      <c r="D50" s="291">
        <v>9791</v>
      </c>
      <c r="E50" s="752">
        <f>'1st Interim-Unrestricted MYP'!E50+'1st Interim-Restricted MYP'!E50</f>
        <v>4559746.05</v>
      </c>
      <c r="F50" s="752">
        <f>'1st Interim-Unrestricted MYP'!F50+'1st Interim-Restricted MYP'!F50</f>
        <v>4559746.05</v>
      </c>
      <c r="G50" s="752">
        <f>'1st Interim-Unrestricted MYP'!G50+'1st Interim-Restricted MYP'!G50</f>
        <v>4559746.05</v>
      </c>
      <c r="H50" s="1187">
        <f>IF(E50&lt;1," ",IF(G50&lt;1," ",(G50-E50)/E50))</f>
        <v>0</v>
      </c>
      <c r="I50" s="1059"/>
      <c r="J50" s="1062" t="str">
        <f>IF(G50&lt;1," ",IF(I50&lt;1," ",(I50-G50)/G50))</f>
        <v xml:space="preserve"> </v>
      </c>
      <c r="K50" s="1060"/>
      <c r="L50" s="1063" t="str">
        <f>IF(I50&lt;1," ",IF(K50&lt;1," ",(K50-I50)/I50))</f>
        <v xml:space="preserve"> </v>
      </c>
      <c r="M50" s="1372"/>
      <c r="N50" s="1180"/>
      <c r="O50" s="1181"/>
      <c r="P50" s="3"/>
      <c r="Q50" s="3"/>
      <c r="R50" s="3"/>
      <c r="S50" s="3"/>
      <c r="T50" s="3"/>
      <c r="U50" s="1"/>
      <c r="V50" s="1"/>
      <c r="W50" s="1"/>
      <c r="X50" s="1"/>
      <c r="Y50" s="1"/>
      <c r="Z50" s="1"/>
      <c r="AA50" s="1"/>
      <c r="AB50" s="1"/>
      <c r="AC50" s="1"/>
      <c r="AD50" s="1"/>
      <c r="AE50" s="1"/>
      <c r="AF50" s="1"/>
      <c r="AG50" s="1"/>
      <c r="AH50" s="1"/>
    </row>
    <row r="51" spans="1:38">
      <c r="A51" s="67"/>
      <c r="B51" s="311" t="s">
        <v>133</v>
      </c>
      <c r="C51" s="312"/>
      <c r="D51" s="313">
        <v>9792</v>
      </c>
      <c r="E51" s="861"/>
      <c r="F51" s="752">
        <f>'1st Interim-Unrestricted MYP'!F51+'1st Interim-Restricted MYP'!F51</f>
        <v>0</v>
      </c>
      <c r="G51" s="752">
        <f>'1st Interim-Unrestricted MYP'!G51+'1st Interim-Restricted MYP'!G51</f>
        <v>0</v>
      </c>
      <c r="H51" s="612"/>
      <c r="I51" s="784"/>
      <c r="J51" s="585"/>
      <c r="K51" s="782"/>
      <c r="L51" s="587"/>
      <c r="M51" s="1372"/>
      <c r="N51" s="1180"/>
      <c r="O51" s="1181"/>
      <c r="P51" s="3"/>
      <c r="Q51" s="3"/>
      <c r="R51" s="3"/>
      <c r="S51" s="3"/>
      <c r="T51" s="3"/>
      <c r="U51" s="1"/>
      <c r="V51" s="1"/>
      <c r="W51" s="1"/>
      <c r="X51" s="1"/>
      <c r="Y51" s="1"/>
      <c r="Z51" s="1"/>
      <c r="AA51" s="1"/>
      <c r="AB51" s="1"/>
      <c r="AC51" s="1"/>
      <c r="AD51" s="1"/>
      <c r="AE51" s="1"/>
      <c r="AF51" s="1"/>
      <c r="AG51" s="1"/>
      <c r="AH51" s="1"/>
    </row>
    <row r="52" spans="1:38">
      <c r="A52" s="67"/>
      <c r="B52" s="311" t="str">
        <f>'Budget-Restricted MYP'!B52</f>
        <v xml:space="preserve">  Beg Fund Balance at Unaudited Actuals</v>
      </c>
      <c r="C52" s="312"/>
      <c r="D52" s="949"/>
      <c r="E52" s="861"/>
      <c r="F52" s="752">
        <f>'1st Interim-Unrestricted MYP'!F52+'1st Interim-Restricted MYP'!F52</f>
        <v>4559746.05</v>
      </c>
      <c r="G52" s="752">
        <f>'1st Interim-Unrestricted MYP'!G52+'1st Interim-Restricted MYP'!G52</f>
        <v>4559746.05</v>
      </c>
      <c r="H52" s="612"/>
      <c r="I52" s="784"/>
      <c r="J52" s="585"/>
      <c r="K52" s="782"/>
      <c r="L52" s="587"/>
      <c r="M52" s="1372"/>
      <c r="N52" s="1180"/>
      <c r="O52" s="1181"/>
      <c r="P52" s="3"/>
      <c r="Q52" s="3"/>
      <c r="R52" s="3"/>
      <c r="S52" s="3"/>
      <c r="T52" s="3"/>
      <c r="U52" s="1"/>
      <c r="V52" s="1"/>
      <c r="W52" s="1"/>
      <c r="X52" s="1"/>
      <c r="Y52" s="1"/>
      <c r="Z52" s="1"/>
      <c r="AA52" s="1"/>
      <c r="AB52" s="1"/>
      <c r="AC52" s="1"/>
      <c r="AD52" s="1"/>
      <c r="AE52" s="1"/>
      <c r="AF52" s="1"/>
      <c r="AG52" s="1"/>
      <c r="AH52" s="1"/>
    </row>
    <row r="53" spans="1:38">
      <c r="A53" s="67"/>
      <c r="B53" s="311" t="s">
        <v>299</v>
      </c>
      <c r="C53" s="312"/>
      <c r="D53" s="313">
        <v>9793</v>
      </c>
      <c r="E53" s="861"/>
      <c r="F53" s="752">
        <f>'1st Interim-Unrestricted MYP'!F53+'1st Interim-Restricted MYP'!F53</f>
        <v>0</v>
      </c>
      <c r="G53" s="752">
        <f>'1st Interim-Unrestricted MYP'!G53+'1st Interim-Restricted MYP'!G53</f>
        <v>0</v>
      </c>
      <c r="H53" s="612"/>
      <c r="I53" s="990"/>
      <c r="J53" s="585"/>
      <c r="K53" s="782"/>
      <c r="L53" s="587"/>
      <c r="M53" s="1372"/>
      <c r="N53" s="1180"/>
      <c r="O53" s="1181"/>
      <c r="P53" s="3"/>
      <c r="Q53" s="3"/>
      <c r="R53" s="3"/>
      <c r="S53" s="3"/>
      <c r="T53" s="3"/>
      <c r="U53" s="1"/>
      <c r="V53" s="1"/>
      <c r="W53" s="1"/>
      <c r="X53" s="1"/>
      <c r="Y53" s="1"/>
      <c r="Z53" s="1"/>
      <c r="AA53" s="1"/>
      <c r="AB53" s="1"/>
      <c r="AC53" s="1"/>
      <c r="AD53" s="1"/>
      <c r="AE53" s="1"/>
      <c r="AF53" s="1"/>
      <c r="AG53" s="1"/>
      <c r="AH53" s="1"/>
    </row>
    <row r="54" spans="1:38">
      <c r="A54" s="67"/>
      <c r="B54" s="311" t="s">
        <v>298</v>
      </c>
      <c r="C54" s="312"/>
      <c r="D54" s="313">
        <v>9795</v>
      </c>
      <c r="E54" s="752">
        <f>'1st Interim-Unrestricted MYP'!E54+'1st Interim-Restricted MYP'!E54</f>
        <v>0</v>
      </c>
      <c r="F54" s="752">
        <f>'1st Interim-Unrestricted MYP'!F54+'1st Interim-Restricted MYP'!F54</f>
        <v>0</v>
      </c>
      <c r="G54" s="752">
        <f>'1st Interim-Unrestricted MYP'!G54+'1st Interim-Restricted MYP'!G54</f>
        <v>0</v>
      </c>
      <c r="H54" s="612"/>
      <c r="I54" s="785"/>
      <c r="J54" s="586"/>
      <c r="K54" s="783"/>
      <c r="L54" s="588"/>
      <c r="M54" s="1372"/>
      <c r="N54" s="1180"/>
      <c r="O54" s="1181"/>
      <c r="P54" s="3"/>
      <c r="Q54" s="3"/>
      <c r="R54" s="3"/>
      <c r="S54" s="3"/>
      <c r="T54" s="3"/>
      <c r="U54" s="1"/>
      <c r="V54" s="1"/>
      <c r="W54" s="1"/>
      <c r="X54" s="1"/>
      <c r="Y54" s="1"/>
      <c r="Z54" s="1"/>
      <c r="AA54" s="1"/>
      <c r="AB54" s="1"/>
      <c r="AC54" s="1"/>
      <c r="AD54" s="1"/>
      <c r="AE54" s="1"/>
      <c r="AF54" s="1"/>
      <c r="AG54" s="1"/>
      <c r="AH54" s="1"/>
    </row>
    <row r="55" spans="1:38" ht="15.75" thickBot="1">
      <c r="A55" s="67"/>
      <c r="B55" s="894" t="str">
        <f>'Budget-Restricted MYP'!B55</f>
        <v xml:space="preserve">  Beginning Fund Balance as per Audit Report +/- Restatements</v>
      </c>
      <c r="C55" s="496"/>
      <c r="D55" s="895"/>
      <c r="E55" s="799">
        <f>'1st Interim-Unrestricted MYP'!E55+'1st Interim-Restricted MYP'!E55</f>
        <v>0</v>
      </c>
      <c r="F55" s="799">
        <f>'1st Interim-Unrestricted MYP'!F55+'1st Interim-Restricted MYP'!F55</f>
        <v>4559746.05</v>
      </c>
      <c r="G55" s="799">
        <f>'1st Interim-Unrestricted MYP'!G55+'1st Interim-Restricted MYP'!G55</f>
        <v>4559746.05</v>
      </c>
      <c r="H55" s="1188" t="str">
        <f>IF(E55&lt;1," ",IF(G55&lt;1," ",(G55-E55)/E55))</f>
        <v xml:space="preserve"> </v>
      </c>
      <c r="I55" s="1082" t="e">
        <f>'1st Interim-Unrestricted MYP'!I55+'1st Interim-Restricted MYP'!I55</f>
        <v>#VALUE!</v>
      </c>
      <c r="J55" s="1185" t="e">
        <f>IF(G55&lt;1," ",IF(I55&lt;1," ",(I55-G55)/G55))</f>
        <v>#VALUE!</v>
      </c>
      <c r="K55" s="1083" t="e">
        <f>'1st Interim-Unrestricted MYP'!K55+'1st Interim-Restricted MYP'!K55</f>
        <v>#VALUE!</v>
      </c>
      <c r="L55" s="1186" t="e">
        <f>IF(I55&lt;1," ",IF(K55&lt;1," ",(K55-I55)/I55))</f>
        <v>#VALUE!</v>
      </c>
      <c r="M55" s="1372"/>
      <c r="N55" s="1180"/>
      <c r="O55" s="1181"/>
      <c r="P55" s="3"/>
      <c r="Q55" s="3"/>
      <c r="R55" s="3"/>
      <c r="S55" s="3"/>
      <c r="T55" s="3"/>
      <c r="U55" s="1"/>
      <c r="V55" s="1"/>
      <c r="W55" s="1"/>
      <c r="X55" s="1"/>
      <c r="Y55" s="1"/>
      <c r="Z55" s="1"/>
      <c r="AA55" s="1"/>
      <c r="AB55" s="1"/>
      <c r="AC55" s="1"/>
      <c r="AD55" s="1"/>
      <c r="AE55" s="1"/>
      <c r="AF55" s="1"/>
      <c r="AG55" s="1"/>
      <c r="AH55" s="1"/>
      <c r="AI55" s="1"/>
      <c r="AJ55" s="1"/>
      <c r="AK55" s="1"/>
      <c r="AL55" s="1"/>
    </row>
    <row r="56" spans="1:38" ht="16.149999999999999" thickTop="1" thickBot="1">
      <c r="A56" s="67"/>
      <c r="B56" s="896" t="s">
        <v>33</v>
      </c>
      <c r="C56" s="897"/>
      <c r="D56" s="898">
        <v>9790</v>
      </c>
      <c r="E56" s="884">
        <f>'1st Interim-Unrestricted MYP'!E56+'1st Interim-Restricted MYP'!E56</f>
        <v>4253245.1947099995</v>
      </c>
      <c r="F56" s="884">
        <f>'1st Interim-Unrestricted MYP'!F56+'1st Interim-Restricted MYP'!F56</f>
        <v>4559746.05</v>
      </c>
      <c r="G56" s="884" t="e">
        <f>'1st Interim-Unrestricted MYP'!G56+'1st Interim-Restricted MYP'!G56</f>
        <v>#VALUE!</v>
      </c>
      <c r="H56" s="576" t="e">
        <f>IF(E56&lt;1," ",IF(G56&lt;1," ",(G56-E56)/E56))</f>
        <v>#VALUE!</v>
      </c>
      <c r="I56" s="884" t="e">
        <f>'1st Interim-Unrestricted MYP'!I56+'1st Interim-Restricted MYP'!I56</f>
        <v>#VALUE!</v>
      </c>
      <c r="J56" s="576" t="e">
        <f>IF(G56&lt;1," ",IF(I56&lt;1," ",(I56-G56)/G56))</f>
        <v>#VALUE!</v>
      </c>
      <c r="K56" s="884" t="e">
        <f>'1st Interim-Unrestricted MYP'!K56+'1st Interim-Restricted MYP'!K56</f>
        <v>#VALUE!</v>
      </c>
      <c r="L56" s="579" t="e">
        <f>IF(I56&lt;1," ",IF(K56&lt;1," ",(K56-I56)/I56))</f>
        <v>#VALUE!</v>
      </c>
      <c r="M56" s="1372"/>
      <c r="N56" s="1180"/>
      <c r="O56" s="1181"/>
      <c r="P56" s="3"/>
      <c r="Q56" s="3"/>
      <c r="R56" s="3"/>
      <c r="S56" s="3"/>
      <c r="T56" s="3"/>
      <c r="U56" s="1"/>
      <c r="V56" s="1"/>
      <c r="W56" s="1"/>
      <c r="X56" s="1"/>
      <c r="Y56" s="1"/>
      <c r="Z56" s="1"/>
      <c r="AA56" s="1"/>
      <c r="AB56" s="1"/>
      <c r="AC56" s="1"/>
      <c r="AD56" s="1"/>
      <c r="AE56" s="1"/>
      <c r="AF56" s="1"/>
      <c r="AG56" s="1"/>
      <c r="AH56" s="1"/>
    </row>
    <row r="57" spans="1:38" ht="15.75" thickTop="1">
      <c r="A57" s="67"/>
      <c r="B57" s="1"/>
      <c r="C57" s="1"/>
      <c r="D57" s="166"/>
      <c r="E57" s="167"/>
      <c r="F57" s="167"/>
      <c r="G57" s="167"/>
      <c r="H57" s="51"/>
      <c r="I57" s="167"/>
      <c r="J57" s="51"/>
      <c r="K57" s="167"/>
      <c r="L57" s="309"/>
      <c r="M57" s="1196"/>
      <c r="N57" s="1180"/>
      <c r="O57" s="1181"/>
      <c r="P57" s="3"/>
      <c r="Q57" s="3"/>
      <c r="R57" s="3"/>
      <c r="S57" s="3"/>
      <c r="T57" s="3"/>
      <c r="U57" s="1"/>
      <c r="V57" s="1"/>
      <c r="W57" s="1"/>
      <c r="X57" s="1"/>
      <c r="Y57" s="1"/>
      <c r="Z57" s="1"/>
      <c r="AA57" s="1"/>
      <c r="AB57" s="1"/>
      <c r="AC57" s="1"/>
      <c r="AD57" s="1"/>
      <c r="AE57" s="1"/>
      <c r="AF57" s="1"/>
      <c r="AG57" s="1"/>
      <c r="AH57" s="1"/>
    </row>
    <row r="58" spans="1:38">
      <c r="A58" s="320" t="s">
        <v>139</v>
      </c>
      <c r="B58"/>
      <c r="C58" s="97"/>
      <c r="D58" s="545" t="s">
        <v>2</v>
      </c>
      <c r="E58" s="452"/>
      <c r="F58" s="265"/>
      <c r="G58" s="265"/>
      <c r="H58" s="51"/>
      <c r="I58" s="265"/>
      <c r="J58" s="51"/>
      <c r="K58" s="265"/>
      <c r="L58" s="309"/>
      <c r="M58" s="1196"/>
      <c r="N58" s="1180"/>
      <c r="O58" s="1181"/>
      <c r="P58" s="3"/>
      <c r="Q58" s="3"/>
      <c r="R58" s="3"/>
      <c r="S58" s="3"/>
      <c r="T58" s="3"/>
      <c r="U58" s="1"/>
      <c r="V58" s="1"/>
      <c r="W58" s="1"/>
      <c r="X58" s="1"/>
      <c r="Y58" s="1"/>
      <c r="Z58" s="1"/>
      <c r="AA58" s="1"/>
      <c r="AB58" s="1"/>
      <c r="AC58" s="1"/>
      <c r="AD58" s="1"/>
      <c r="AE58" s="1"/>
      <c r="AF58" s="1"/>
      <c r="AG58" s="1"/>
      <c r="AH58" s="1"/>
    </row>
    <row r="59" spans="1:38">
      <c r="A59" s="67"/>
      <c r="B59" s="502" t="s">
        <v>7</v>
      </c>
      <c r="C59" s="503" t="s">
        <v>140</v>
      </c>
      <c r="D59" s="351"/>
      <c r="E59" s="352"/>
      <c r="F59" s="352"/>
      <c r="G59" s="1795"/>
      <c r="H59" s="1795"/>
      <c r="I59" s="1795"/>
      <c r="J59" s="1795"/>
      <c r="K59" s="1795"/>
      <c r="L59" s="1796"/>
      <c r="M59" s="1373"/>
      <c r="N59" s="1180"/>
      <c r="O59" s="1181"/>
      <c r="P59" s="3"/>
      <c r="Q59" s="3"/>
      <c r="R59" s="3"/>
      <c r="S59" s="3"/>
      <c r="T59" s="3"/>
      <c r="U59" s="1"/>
      <c r="V59" s="1"/>
      <c r="W59" s="1"/>
      <c r="X59" s="1"/>
      <c r="Y59" s="1"/>
      <c r="Z59" s="1"/>
      <c r="AA59" s="1"/>
      <c r="AB59" s="1"/>
      <c r="AC59" s="1"/>
      <c r="AD59" s="1"/>
      <c r="AE59" s="1"/>
      <c r="AF59" s="1"/>
      <c r="AG59" s="1"/>
      <c r="AH59" s="1"/>
    </row>
    <row r="60" spans="1:38">
      <c r="A60" s="67"/>
      <c r="B60" s="347"/>
      <c r="C60" s="345" t="s">
        <v>34</v>
      </c>
      <c r="D60" s="285">
        <v>9711</v>
      </c>
      <c r="E60" s="752">
        <f>'1st Interim-Unrestricted MYP'!E60+'1st Interim-Restricted MYP'!E60</f>
        <v>0</v>
      </c>
      <c r="F60" s="752">
        <f>'1st Interim-Unrestricted MYP'!F60+'1st Interim-Restricted MYP'!F60</f>
        <v>0</v>
      </c>
      <c r="G60" s="752">
        <f>'1st Interim-Unrestricted MYP'!G60+'1st Interim-Restricted MYP'!G60</f>
        <v>0</v>
      </c>
      <c r="H60" s="31" t="str">
        <f>IF(E60&lt;1," ",IF(G60&lt;1," ",(G60-E60)/E60))</f>
        <v xml:space="preserve"> </v>
      </c>
      <c r="I60" s="752">
        <f>'1st Interim-Unrestricted MYP'!I60+'1st Interim-Restricted MYP'!I60</f>
        <v>0</v>
      </c>
      <c r="J60" s="31" t="str">
        <f>IF(G60&lt;1," ",IF(I60&lt;1," ",(I60-G60)/G60))</f>
        <v xml:space="preserve"> </v>
      </c>
      <c r="K60" s="752">
        <f>'1st Interim-Unrestricted MYP'!K60+'1st Interim-Restricted MYP'!K60</f>
        <v>0</v>
      </c>
      <c r="L60" s="307" t="str">
        <f>IF(I60&lt;1," ",IF(K60&lt;1," ",(K60-I60)/I60))</f>
        <v xml:space="preserve"> </v>
      </c>
      <c r="M60" s="1196"/>
      <c r="N60" s="1180"/>
      <c r="O60" s="1181"/>
      <c r="P60" s="3"/>
      <c r="Q60" s="3"/>
      <c r="R60" s="3"/>
      <c r="S60" s="3"/>
      <c r="T60" s="3"/>
      <c r="U60" s="1"/>
      <c r="V60" s="1"/>
      <c r="W60" s="1"/>
      <c r="X60" s="1"/>
      <c r="Y60" s="1"/>
      <c r="Z60" s="1"/>
      <c r="AA60" s="1"/>
      <c r="AB60" s="1"/>
      <c r="AC60" s="1"/>
      <c r="AD60" s="1"/>
      <c r="AE60" s="1"/>
      <c r="AF60" s="1"/>
      <c r="AG60" s="1"/>
      <c r="AH60" s="1"/>
    </row>
    <row r="61" spans="1:38">
      <c r="A61" s="67"/>
      <c r="B61" s="344"/>
      <c r="C61" s="345" t="s">
        <v>10</v>
      </c>
      <c r="D61" s="285">
        <v>9712</v>
      </c>
      <c r="E61" s="752">
        <f>'1st Interim-Unrestricted MYP'!E61+'1st Interim-Restricted MYP'!E61</f>
        <v>0</v>
      </c>
      <c r="F61" s="752">
        <f>'1st Interim-Unrestricted MYP'!F61+'1st Interim-Restricted MYP'!F61</f>
        <v>0</v>
      </c>
      <c r="G61" s="752">
        <f>'1st Interim-Unrestricted MYP'!G61+'1st Interim-Restricted MYP'!G61</f>
        <v>0</v>
      </c>
      <c r="H61" s="31" t="str">
        <f>IF(E61&lt;1," ",IF(G61&lt;1," ",(G61-E61)/E61))</f>
        <v xml:space="preserve"> </v>
      </c>
      <c r="I61" s="752">
        <f>'1st Interim-Unrestricted MYP'!I61+'1st Interim-Restricted MYP'!I61</f>
        <v>0</v>
      </c>
      <c r="J61" s="31" t="str">
        <f>IF(G61&lt;1," ",IF(I61&lt;1," ",(I61-G61)/G61))</f>
        <v xml:space="preserve"> </v>
      </c>
      <c r="K61" s="752">
        <f>'1st Interim-Unrestricted MYP'!K61+'1st Interim-Restricted MYP'!K61</f>
        <v>0</v>
      </c>
      <c r="L61" s="307" t="str">
        <f>IF(I61&lt;1," ",IF(K61&lt;1," ",(K61-I61)/I61))</f>
        <v xml:space="preserve"> </v>
      </c>
      <c r="M61" s="1196"/>
      <c r="N61" s="1180"/>
      <c r="O61" s="1181"/>
      <c r="P61" s="3"/>
      <c r="Q61" s="3"/>
      <c r="R61" s="3"/>
      <c r="S61" s="3"/>
      <c r="T61" s="3"/>
      <c r="U61" s="1"/>
      <c r="V61" s="1"/>
      <c r="W61" s="1"/>
      <c r="X61" s="1"/>
      <c r="Y61" s="1"/>
      <c r="Z61" s="1"/>
      <c r="AA61" s="1"/>
      <c r="AB61" s="1"/>
      <c r="AC61" s="1"/>
      <c r="AD61" s="1"/>
      <c r="AE61" s="1"/>
      <c r="AF61" s="1"/>
      <c r="AG61" s="1"/>
      <c r="AH61" s="1"/>
    </row>
    <row r="62" spans="1:38">
      <c r="A62" s="67"/>
      <c r="B62" s="344"/>
      <c r="C62" s="345" t="s">
        <v>11</v>
      </c>
      <c r="D62" s="285">
        <v>9713</v>
      </c>
      <c r="E62" s="752">
        <f>'1st Interim-Unrestricted MYP'!E62+'1st Interim-Restricted MYP'!E62</f>
        <v>0</v>
      </c>
      <c r="F62" s="752">
        <f>'1st Interim-Unrestricted MYP'!F62+'1st Interim-Restricted MYP'!F62</f>
        <v>0</v>
      </c>
      <c r="G62" s="752">
        <f>'1st Interim-Unrestricted MYP'!G62+'1st Interim-Restricted MYP'!G62</f>
        <v>0</v>
      </c>
      <c r="H62" s="31" t="str">
        <f>IF(E62&lt;1," ",IF(G62&lt;1," ",(G62-E62)/E62))</f>
        <v xml:space="preserve"> </v>
      </c>
      <c r="I62" s="752">
        <f>'1st Interim-Unrestricted MYP'!I62+'1st Interim-Restricted MYP'!I62</f>
        <v>0</v>
      </c>
      <c r="J62" s="31" t="str">
        <f>IF(G62&lt;1," ",IF(I62&lt;1," ",(I62-G62)/G62))</f>
        <v xml:space="preserve"> </v>
      </c>
      <c r="K62" s="752">
        <f>'1st Interim-Unrestricted MYP'!K62+'1st Interim-Restricted MYP'!K62</f>
        <v>0</v>
      </c>
      <c r="L62" s="307" t="str">
        <f>IF(I62&lt;1," ",IF(K62&lt;1," ",(K62-I62)/I62))</f>
        <v xml:space="preserve"> </v>
      </c>
      <c r="M62" s="1196"/>
      <c r="N62" s="1180"/>
      <c r="O62" s="1181"/>
      <c r="P62" s="3"/>
      <c r="Q62" s="3"/>
      <c r="R62" s="3"/>
      <c r="S62" s="3"/>
      <c r="T62" s="3"/>
      <c r="U62" s="1"/>
      <c r="V62" s="1"/>
      <c r="W62" s="1"/>
      <c r="X62" s="1"/>
      <c r="Y62" s="1"/>
      <c r="Z62" s="1"/>
      <c r="AA62" s="1"/>
      <c r="AB62" s="1"/>
      <c r="AC62" s="1"/>
      <c r="AD62" s="1"/>
      <c r="AE62" s="1"/>
      <c r="AF62" s="1"/>
      <c r="AG62" s="1"/>
      <c r="AH62" s="1"/>
    </row>
    <row r="63" spans="1:38">
      <c r="A63" s="67"/>
      <c r="B63" s="344"/>
      <c r="C63" s="345" t="s">
        <v>141</v>
      </c>
      <c r="D63" s="285">
        <v>9719</v>
      </c>
      <c r="E63" s="752">
        <f>'1st Interim-Unrestricted MYP'!E63+'1st Interim-Restricted MYP'!E63</f>
        <v>0</v>
      </c>
      <c r="F63" s="752">
        <f>'1st Interim-Unrestricted MYP'!F63+'1st Interim-Restricted MYP'!F63</f>
        <v>0</v>
      </c>
      <c r="G63" s="752">
        <f>'1st Interim-Unrestricted MYP'!G63+'1st Interim-Restricted MYP'!G63</f>
        <v>0</v>
      </c>
      <c r="H63" s="31" t="str">
        <f>IF(E63&lt;1," ",IF(G63&lt;1," ",(G63-E63)/E63))</f>
        <v xml:space="preserve"> </v>
      </c>
      <c r="I63" s="752">
        <f>'1st Interim-Unrestricted MYP'!I63+'1st Interim-Restricted MYP'!I63</f>
        <v>0</v>
      </c>
      <c r="J63" s="31" t="str">
        <f>IF(G63&lt;1," ",IF(I63&lt;1," ",(I63-G63)/G63))</f>
        <v xml:space="preserve"> </v>
      </c>
      <c r="K63" s="752">
        <f>'1st Interim-Unrestricted MYP'!K63+'1st Interim-Restricted MYP'!K63</f>
        <v>0</v>
      </c>
      <c r="L63" s="307" t="str">
        <f>IF(I63&lt;1," ",IF(K63&lt;1," ",(K63-I63)/I63))</f>
        <v xml:space="preserve"> </v>
      </c>
      <c r="M63" s="1196"/>
      <c r="N63" s="1180"/>
      <c r="O63" s="1181"/>
      <c r="P63" s="3"/>
      <c r="Q63" s="3"/>
      <c r="R63" s="3"/>
      <c r="S63" s="3"/>
      <c r="T63" s="3"/>
      <c r="U63" s="1"/>
      <c r="V63" s="1"/>
      <c r="W63" s="1"/>
      <c r="X63" s="1"/>
      <c r="Y63" s="1"/>
      <c r="Z63" s="1"/>
      <c r="AA63" s="1"/>
      <c r="AB63" s="1"/>
      <c r="AC63" s="1"/>
      <c r="AD63" s="1"/>
      <c r="AE63" s="1"/>
      <c r="AF63" s="1"/>
      <c r="AG63" s="1"/>
      <c r="AH63" s="1"/>
    </row>
    <row r="64" spans="1:38">
      <c r="A64" s="67"/>
      <c r="B64" s="344" t="s">
        <v>8</v>
      </c>
      <c r="C64" s="346" t="s">
        <v>142</v>
      </c>
      <c r="D64" s="285">
        <v>9740</v>
      </c>
      <c r="E64" s="752">
        <f>'1st Interim-Unrestricted MYP'!E64+'1st Interim-Restricted MYP'!E64</f>
        <v>2403949</v>
      </c>
      <c r="F64" s="752">
        <f>'1st Interim-Unrestricted MYP'!F64+'1st Interim-Restricted MYP'!F64</f>
        <v>2078650</v>
      </c>
      <c r="G64" s="752" t="e">
        <f>'1st Interim-Unrestricted MYP'!G64+'1st Interim-Restricted MYP'!G64</f>
        <v>#VALUE!</v>
      </c>
      <c r="H64" s="31" t="e">
        <f>IF(E64&lt;1," ",IF(G64&lt;1," ",(G64-E64)/E64))</f>
        <v>#VALUE!</v>
      </c>
      <c r="I64" s="752" t="e">
        <f>'1st Interim-Unrestricted MYP'!I64+'1st Interim-Restricted MYP'!I64</f>
        <v>#VALUE!</v>
      </c>
      <c r="J64" s="31" t="e">
        <f>IF(G64&lt;1," ",IF(I64&lt;1," ",(I64-G64)/G64))</f>
        <v>#VALUE!</v>
      </c>
      <c r="K64" s="752" t="e">
        <f>'1st Interim-Unrestricted MYP'!K64+'1st Interim-Restricted MYP'!K64</f>
        <v>#VALUE!</v>
      </c>
      <c r="L64" s="307" t="e">
        <f>IF(I64&lt;1," ",IF(K64&lt;1," ",(K64-I64)/I64))</f>
        <v>#VALUE!</v>
      </c>
      <c r="M64" s="1196"/>
      <c r="N64" s="1180"/>
      <c r="O64" s="1181"/>
      <c r="P64" s="3"/>
      <c r="Q64" s="3"/>
      <c r="R64" s="3"/>
      <c r="S64" s="3"/>
      <c r="T64" s="3"/>
      <c r="U64" s="1"/>
      <c r="V64" s="1"/>
      <c r="W64" s="1"/>
      <c r="X64" s="1"/>
      <c r="Y64" s="1"/>
      <c r="Z64" s="1"/>
      <c r="AA64" s="1"/>
      <c r="AB64" s="1"/>
      <c r="AC64" s="1"/>
      <c r="AD64" s="1"/>
      <c r="AE64" s="1"/>
      <c r="AF64" s="1"/>
      <c r="AG64" s="1"/>
      <c r="AH64" s="1"/>
    </row>
    <row r="65" spans="1:34">
      <c r="A65" s="67"/>
      <c r="B65" s="344" t="s">
        <v>9</v>
      </c>
      <c r="C65" s="350" t="s">
        <v>344</v>
      </c>
      <c r="D65" s="972"/>
      <c r="E65" s="759"/>
      <c r="F65" s="816"/>
      <c r="G65" s="816"/>
      <c r="H65" s="79"/>
      <c r="I65" s="816"/>
      <c r="J65" s="624"/>
      <c r="K65" s="863"/>
      <c r="L65" s="849"/>
      <c r="M65" s="966"/>
      <c r="N65" s="1180"/>
      <c r="O65" s="1181"/>
      <c r="P65" s="3"/>
      <c r="Q65" s="3"/>
      <c r="R65" s="3"/>
      <c r="S65" s="3"/>
      <c r="T65" s="3"/>
      <c r="U65" s="1"/>
      <c r="V65" s="1"/>
      <c r="W65" s="1"/>
      <c r="X65" s="1"/>
      <c r="Y65" s="1"/>
      <c r="Z65" s="1"/>
      <c r="AA65" s="1"/>
      <c r="AB65" s="1"/>
      <c r="AC65" s="1"/>
      <c r="AD65" s="1"/>
      <c r="AE65" s="1"/>
      <c r="AF65" s="1"/>
      <c r="AG65" s="1"/>
      <c r="AH65" s="1"/>
    </row>
    <row r="66" spans="1:34">
      <c r="A66" s="67"/>
      <c r="B66" s="344"/>
      <c r="C66" s="345" t="s">
        <v>143</v>
      </c>
      <c r="D66" s="286">
        <v>9750</v>
      </c>
      <c r="E66" s="752">
        <f>'1st Interim-Unrestricted MYP'!E66+'1st Interim-Restricted MYP'!E66</f>
        <v>0</v>
      </c>
      <c r="F66" s="752">
        <f>'1st Interim-Unrestricted MYP'!F66+'1st Interim-Restricted MYP'!F66</f>
        <v>0</v>
      </c>
      <c r="G66" s="752">
        <f>'1st Interim-Unrestricted MYP'!G66+'1st Interim-Restricted MYP'!G66</f>
        <v>0</v>
      </c>
      <c r="H66" s="49" t="str">
        <f>IF(E66&lt;1," ",IF(G66&lt;1," ",(G66-E66)/E66))</f>
        <v xml:space="preserve"> </v>
      </c>
      <c r="I66" s="752">
        <f>'1st Interim-Unrestricted MYP'!I66+'1st Interim-Restricted MYP'!I66</f>
        <v>0</v>
      </c>
      <c r="J66" s="49" t="str">
        <f>IF(G66&lt;1," ",IF(I66&lt;1," ",(I66-G66)/G66))</f>
        <v xml:space="preserve"> </v>
      </c>
      <c r="K66" s="752">
        <f>'1st Interim-Unrestricted MYP'!K66+'1st Interim-Restricted MYP'!K66</f>
        <v>0</v>
      </c>
      <c r="L66" s="307" t="str">
        <f>IF(I66&lt;1," ",IF(K66&lt;1," ",(K66-I66)/I66))</f>
        <v xml:space="preserve"> </v>
      </c>
      <c r="M66" s="1196"/>
      <c r="N66" s="1180"/>
      <c r="O66" s="1181"/>
      <c r="P66" s="3"/>
      <c r="Q66" s="3"/>
      <c r="R66" s="3"/>
      <c r="S66" s="3"/>
      <c r="T66" s="3"/>
      <c r="U66" s="1"/>
      <c r="V66" s="1"/>
      <c r="W66" s="1"/>
      <c r="X66" s="1"/>
      <c r="Y66" s="1"/>
      <c r="Z66" s="1"/>
      <c r="AA66" s="1"/>
      <c r="AB66" s="1"/>
      <c r="AC66" s="1"/>
      <c r="AD66" s="1"/>
      <c r="AE66" s="1"/>
      <c r="AF66" s="1"/>
      <c r="AG66" s="1"/>
      <c r="AH66" s="1"/>
    </row>
    <row r="67" spans="1:34">
      <c r="A67" s="67"/>
      <c r="B67" s="344"/>
      <c r="C67" s="345" t="s">
        <v>144</v>
      </c>
      <c r="D67" s="286">
        <v>9760</v>
      </c>
      <c r="E67" s="752">
        <f>'1st Interim-Unrestricted MYP'!E67+'1st Interim-Restricted MYP'!E67</f>
        <v>0</v>
      </c>
      <c r="F67" s="752">
        <f>'1st Interim-Unrestricted MYP'!F67+'1st Interim-Restricted MYP'!F67</f>
        <v>0</v>
      </c>
      <c r="G67" s="752">
        <f>'1st Interim-Unrestricted MYP'!G67+'1st Interim-Restricted MYP'!G67</f>
        <v>0</v>
      </c>
      <c r="H67" s="49" t="str">
        <f>IF(E67&lt;1," ",IF(G67&lt;1," ",(G67-E67)/E67))</f>
        <v xml:space="preserve"> </v>
      </c>
      <c r="I67" s="752">
        <f>'1st Interim-Unrestricted MYP'!I67+'1st Interim-Restricted MYP'!I67</f>
        <v>0</v>
      </c>
      <c r="J67" s="49" t="str">
        <f>IF(G67&lt;1," ",IF(I67&lt;1," ",(I67-G67)/G67))</f>
        <v xml:space="preserve"> </v>
      </c>
      <c r="K67" s="752">
        <f>'1st Interim-Unrestricted MYP'!K67+'1st Interim-Restricted MYP'!K67</f>
        <v>0</v>
      </c>
      <c r="L67" s="307" t="str">
        <f>IF(I67&lt;1," ",IF(K67&lt;1," ",(K67-I67)/I67))</f>
        <v xml:space="preserve"> </v>
      </c>
      <c r="M67" s="1196"/>
      <c r="N67" s="1180"/>
      <c r="O67" s="1181"/>
      <c r="P67" s="3"/>
      <c r="Q67" s="3"/>
      <c r="R67" s="3"/>
      <c r="S67" s="3"/>
      <c r="T67" s="3"/>
      <c r="U67" s="1"/>
      <c r="V67" s="1"/>
      <c r="W67" s="1"/>
      <c r="X67" s="1"/>
      <c r="Y67" s="1"/>
      <c r="Z67" s="1"/>
      <c r="AA67" s="1"/>
      <c r="AB67" s="1"/>
      <c r="AC67" s="1"/>
      <c r="AD67" s="1"/>
      <c r="AE67" s="1"/>
      <c r="AF67" s="1"/>
      <c r="AG67" s="1"/>
      <c r="AH67" s="1"/>
    </row>
    <row r="68" spans="1:34">
      <c r="A68" s="67"/>
      <c r="B68" s="344" t="s">
        <v>38</v>
      </c>
      <c r="C68" s="346" t="s">
        <v>145</v>
      </c>
      <c r="D68" s="285">
        <v>9780</v>
      </c>
      <c r="E68" s="752">
        <f>'1st Interim-Unrestricted MYP'!E68+'1st Interim-Restricted MYP'!E68</f>
        <v>0</v>
      </c>
      <c r="F68" s="752">
        <f>'1st Interim-Unrestricted MYP'!F68+'1st Interim-Restricted MYP'!F68</f>
        <v>0</v>
      </c>
      <c r="G68" s="752">
        <f>'1st Interim-Unrestricted MYP'!G68+'1st Interim-Restricted MYP'!G68</f>
        <v>0</v>
      </c>
      <c r="H68" s="49" t="str">
        <f>IF(E68&lt;1," ",IF(G68&lt;1," ",(G68-E68)/E68))</f>
        <v xml:space="preserve"> </v>
      </c>
      <c r="I68" s="752">
        <f>'1st Interim-Unrestricted MYP'!I68+'1st Interim-Restricted MYP'!I68</f>
        <v>0</v>
      </c>
      <c r="J68" s="49" t="str">
        <f>IF(G68&lt;1," ",IF(I68&lt;1," ",(I68-G68)/G68))</f>
        <v xml:space="preserve"> </v>
      </c>
      <c r="K68" s="752">
        <f>'1st Interim-Unrestricted MYP'!K68+'1st Interim-Restricted MYP'!K68</f>
        <v>0</v>
      </c>
      <c r="L68" s="307" t="str">
        <f>IF(I68&lt;1," ",IF(K68&lt;1," ",(K68-I68)/I68))</f>
        <v xml:space="preserve"> </v>
      </c>
      <c r="M68" s="1196"/>
      <c r="N68" s="1180"/>
      <c r="O68" s="1181"/>
      <c r="P68" s="3"/>
      <c r="Q68" s="3"/>
      <c r="R68" s="3"/>
      <c r="S68" s="3"/>
      <c r="T68" s="3"/>
      <c r="U68" s="1"/>
      <c r="V68" s="1"/>
      <c r="W68" s="1"/>
      <c r="X68" s="1"/>
      <c r="Y68" s="1"/>
      <c r="Z68" s="1"/>
      <c r="AA68" s="1"/>
      <c r="AB68" s="1"/>
      <c r="AC68" s="1"/>
      <c r="AD68" s="1"/>
      <c r="AE68" s="1"/>
      <c r="AF68" s="1"/>
      <c r="AG68" s="1"/>
      <c r="AH68" s="1"/>
    </row>
    <row r="69" spans="1:34" customFormat="1" ht="15">
      <c r="A69" s="67"/>
      <c r="B69" s="344" t="s">
        <v>40</v>
      </c>
      <c r="C69" s="350" t="s">
        <v>347</v>
      </c>
      <c r="D69" s="592"/>
      <c r="E69" s="759"/>
      <c r="F69" s="816"/>
      <c r="G69" s="816"/>
      <c r="H69" s="79"/>
      <c r="I69" s="816"/>
      <c r="J69" s="624"/>
      <c r="K69" s="863"/>
      <c r="L69" s="849"/>
      <c r="M69" s="966"/>
      <c r="N69" s="1177"/>
      <c r="O69" s="1177"/>
      <c r="P69" s="1177"/>
      <c r="Q69" s="1177"/>
      <c r="R69" s="1177"/>
      <c r="S69" s="1177"/>
      <c r="T69" s="1177"/>
    </row>
    <row r="70" spans="1:34">
      <c r="A70" s="67"/>
      <c r="B70" s="344"/>
      <c r="C70" s="345" t="s">
        <v>345</v>
      </c>
      <c r="D70" s="286">
        <v>9789</v>
      </c>
      <c r="E70" s="752">
        <f>'1st Interim-Unrestricted MYP'!E70+'1st Interim-Restricted MYP'!E70</f>
        <v>456269.25</v>
      </c>
      <c r="F70" s="752">
        <f>'1st Interim-Unrestricted MYP'!F70+'1st Interim-Restricted MYP'!F70</f>
        <v>0</v>
      </c>
      <c r="G70" s="752">
        <f>'1st Interim-Unrestricted MYP'!G70+'1st Interim-Restricted MYP'!G70</f>
        <v>0</v>
      </c>
      <c r="H70" s="49" t="str">
        <f>IF(E70&lt;1," ",IF(G70&lt;1," ",(G70-E70)/E70))</f>
        <v xml:space="preserve"> </v>
      </c>
      <c r="I70" s="752">
        <f>'1st Interim-Unrestricted MYP'!I70+'1st Interim-Restricted MYP'!I70</f>
        <v>0</v>
      </c>
      <c r="J70" s="49" t="str">
        <f>IF(G70&lt;1," ",IF(I70&lt;1," ",(I70-G70)/G70))</f>
        <v xml:space="preserve"> </v>
      </c>
      <c r="K70" s="752">
        <f>'1st Interim-Unrestricted MYP'!K70+'1st Interim-Restricted MYP'!K70</f>
        <v>0</v>
      </c>
      <c r="L70" s="307" t="str">
        <f>IF(I70&lt;1," ",IF(K70&lt;1," ",(K70-I70)/I70))</f>
        <v xml:space="preserve"> </v>
      </c>
      <c r="M70" s="1196"/>
      <c r="N70" s="1813" t="s">
        <v>408</v>
      </c>
      <c r="O70" s="1813"/>
      <c r="P70" s="1813"/>
      <c r="Q70" s="1813"/>
      <c r="R70" s="1813" t="s">
        <v>409</v>
      </c>
      <c r="S70" s="1813"/>
      <c r="T70" s="1813"/>
      <c r="U70" s="1"/>
      <c r="V70" s="1"/>
      <c r="W70" s="1"/>
      <c r="X70" s="1"/>
      <c r="Y70" s="1"/>
      <c r="Z70" s="1"/>
      <c r="AA70" s="1"/>
      <c r="AB70" s="1"/>
      <c r="AC70" s="1"/>
      <c r="AD70" s="1"/>
      <c r="AE70" s="1"/>
      <c r="AF70" s="1"/>
      <c r="AG70" s="1"/>
      <c r="AH70" s="1"/>
    </row>
    <row r="71" spans="1:34" ht="15.75" thickBot="1">
      <c r="A71" s="67"/>
      <c r="B71" s="883"/>
      <c r="C71" s="889" t="s">
        <v>346</v>
      </c>
      <c r="D71" s="617">
        <v>9790</v>
      </c>
      <c r="E71" s="752">
        <f>'1st Interim-Unrestricted MYP'!E71+'1st Interim-Restricted MYP'!E71</f>
        <v>1393026.9447099995</v>
      </c>
      <c r="F71" s="752">
        <f>'1st Interim-Unrestricted MYP'!F71+'1st Interim-Restricted MYP'!F71</f>
        <v>2481096.0499999998</v>
      </c>
      <c r="G71" s="752" t="e">
        <f>'1st Interim-Unrestricted MYP'!G71+'1st Interim-Restricted MYP'!G71</f>
        <v>#VALUE!</v>
      </c>
      <c r="H71" s="49" t="e">
        <f>IF(E71&lt;1," ",IF(G71&lt;1," ",(G71-E71)/E71))</f>
        <v>#VALUE!</v>
      </c>
      <c r="I71" s="752" t="e">
        <f>'1st Interim-Unrestricted MYP'!I71+'1st Interim-Restricted MYP'!I71</f>
        <v>#VALUE!</v>
      </c>
      <c r="J71" s="49" t="e">
        <f>IF(G71&lt;1," ",IF(I71&lt;1," ",(I71-G71)/G71))</f>
        <v>#VALUE!</v>
      </c>
      <c r="K71" s="752" t="e">
        <f>'1st Interim-Unrestricted MYP'!K71+'1st Interim-Restricted MYP'!K71</f>
        <v>#VALUE!</v>
      </c>
      <c r="L71" s="307" t="e">
        <f>IF(I71&lt;1," ",IF(K71&lt;1," ",(K71-I71)/I71))</f>
        <v>#VALUE!</v>
      </c>
      <c r="M71" s="1196"/>
      <c r="N71" s="1307">
        <v>0.05</v>
      </c>
      <c r="O71" s="134" t="s">
        <v>406</v>
      </c>
      <c r="P71" s="1308">
        <v>71000</v>
      </c>
      <c r="Q71" s="134" t="s">
        <v>407</v>
      </c>
      <c r="R71" s="1309">
        <v>0</v>
      </c>
      <c r="S71" s="200" t="s">
        <v>410</v>
      </c>
      <c r="T71" s="1309">
        <v>300</v>
      </c>
      <c r="U71" s="1"/>
      <c r="V71" s="1"/>
      <c r="W71" s="1"/>
      <c r="X71" s="1"/>
      <c r="Y71" s="1"/>
      <c r="Z71" s="1"/>
      <c r="AA71" s="1"/>
      <c r="AB71" s="1"/>
      <c r="AC71" s="1"/>
      <c r="AD71" s="1"/>
      <c r="AE71" s="1"/>
      <c r="AF71" s="1"/>
      <c r="AG71" s="1"/>
      <c r="AH71" s="1"/>
    </row>
    <row r="72" spans="1:34" ht="16.149999999999999" thickTop="1" thickBot="1">
      <c r="A72" s="236"/>
      <c r="B72" s="1814" t="s">
        <v>315</v>
      </c>
      <c r="C72" s="1815"/>
      <c r="D72" s="1815"/>
      <c r="E72" s="928">
        <f>(E70+E71)/(+E38+E44)</f>
        <v>0.1959865329017586</v>
      </c>
      <c r="F72" s="928" t="e">
        <f>(F70+F71)/(+F38+F44)</f>
        <v>#DIV/0!</v>
      </c>
      <c r="G72" s="928" t="e">
        <f>(G70+G71)/(+G38+G44)</f>
        <v>#VALUE!</v>
      </c>
      <c r="H72" s="892"/>
      <c r="I72" s="928" t="e">
        <f>(I70+I71)/(+I38+I44)</f>
        <v>#VALUE!</v>
      </c>
      <c r="J72" s="892"/>
      <c r="K72" s="928" t="e">
        <f>(K70+K71)/(+K38+K44)</f>
        <v>#VALUE!</v>
      </c>
      <c r="L72" s="893"/>
      <c r="M72" s="1196"/>
      <c r="N72" s="1307">
        <v>0.04</v>
      </c>
      <c r="O72" s="134" t="s">
        <v>406</v>
      </c>
      <c r="P72" s="1308">
        <v>71000</v>
      </c>
      <c r="Q72" s="134" t="s">
        <v>407</v>
      </c>
      <c r="R72" s="1309">
        <v>301</v>
      </c>
      <c r="S72" s="200" t="s">
        <v>410</v>
      </c>
      <c r="T72" s="1309">
        <v>1000</v>
      </c>
      <c r="U72" s="1"/>
      <c r="V72" s="1"/>
      <c r="W72" s="1"/>
      <c r="X72" s="1"/>
      <c r="Y72" s="1"/>
      <c r="Z72" s="1"/>
      <c r="AA72" s="1"/>
      <c r="AB72" s="1"/>
      <c r="AC72" s="1"/>
      <c r="AD72" s="1"/>
      <c r="AE72" s="1"/>
      <c r="AF72" s="1"/>
      <c r="AG72" s="1"/>
      <c r="AH72" s="1"/>
    </row>
    <row r="73" spans="1:34">
      <c r="N73" s="1307">
        <v>0.03</v>
      </c>
      <c r="O73"/>
      <c r="P73"/>
      <c r="Q73"/>
      <c r="R73" s="1309">
        <v>1001</v>
      </c>
      <c r="S73" s="200" t="s">
        <v>410</v>
      </c>
      <c r="T73" s="1309">
        <v>30000</v>
      </c>
    </row>
    <row r="74" spans="1:34">
      <c r="A74" s="1"/>
      <c r="B74" s="134" t="s">
        <v>459</v>
      </c>
      <c r="C74" s="132"/>
      <c r="E74" s="1199">
        <f>'Budget-Summary MYP'!F74</f>
        <v>0.04</v>
      </c>
      <c r="F74" s="1199" t="e">
        <f>IF('1st Interim-ADA'!O76&lt;300.99,0.05,(IF(AND('1st Interim-ADA'!O76 &gt;=301,'1st Interim-ADA'!O76&lt;=1000.99),0.04,IF(AND('1st Interim-ADA'!O76 &gt;=1001,'1st Interim-ADA'!O76&lt;=30000.99),0.03,0.02))))</f>
        <v>#VALUE!</v>
      </c>
      <c r="G74" s="1199" t="e">
        <f>IF('1st Interim-ADA'!O76&lt;300.99,0.05,(IF(AND('1st Interim-ADA'!O76 &gt;=301,'1st Interim-ADA'!O76&lt;=1000.99),0.04,IF(AND('1st Interim-ADA'!O76 &gt;=1001,'1st Interim-ADA'!O76&lt;=30000.99),0.03,0.02))))</f>
        <v>#VALUE!</v>
      </c>
      <c r="I74" s="1199" t="e">
        <f>IF('1st Interim-ADA'!R76&lt;300.99,0.05,(IF(AND('1st Interim-ADA'!R76 &gt;=301,'1st Interim-ADA'!R76&lt;=1000.99),0.04,IF(AND('1st Interim-ADA'!R76 &gt;=1001,'1st Interim-ADA'!R76&lt;=30000.99),0.03,0.02))))</f>
        <v>#VALUE!</v>
      </c>
      <c r="K74" s="1199" t="e">
        <f>IF('1st Interim-ADA'!U76&lt;300.99,0.05,(IF(AND('1st Interim-ADA'!U76 &gt;=301,'1st Interim-ADA'!U76&lt;=1000.99),0.04,IF(AND('1st Interim-ADA'!U76 &gt;=1001,'1st Interim-ADA'!U76&lt;=30000.99),0.03,0.02))))</f>
        <v>#VALUE!</v>
      </c>
      <c r="N74" s="1307">
        <v>0.02</v>
      </c>
      <c r="O74"/>
      <c r="P74"/>
      <c r="Q74"/>
      <c r="R74" s="1309">
        <v>30001</v>
      </c>
      <c r="S74" s="200" t="s">
        <v>410</v>
      </c>
      <c r="T74" s="1309">
        <v>400000</v>
      </c>
    </row>
    <row r="75" spans="1:34">
      <c r="A75"/>
      <c r="B75" s="134" t="s">
        <v>458</v>
      </c>
      <c r="C75" s="132"/>
      <c r="E75" s="1233" t="str">
        <f>IF('Budget-Summary MYP'!F75="","",'Budget-Summary MYP'!F75)</f>
        <v/>
      </c>
      <c r="F75" s="1375"/>
      <c r="G75" s="1375"/>
      <c r="I75" s="1375"/>
      <c r="K75" s="1375"/>
      <c r="N75" s="1307">
        <v>0.01</v>
      </c>
      <c r="O75"/>
      <c r="P75"/>
      <c r="Q75"/>
      <c r="R75" s="1309">
        <v>400001</v>
      </c>
      <c r="S75" s="200" t="s">
        <v>411</v>
      </c>
      <c r="T75" s="1310"/>
    </row>
    <row r="76" spans="1:34">
      <c r="A76"/>
      <c r="B76" s="132" t="s">
        <v>412</v>
      </c>
      <c r="C76" s="132"/>
      <c r="E76" s="1200" t="str">
        <f>T('Budget-Summary MYP'!F76)</f>
        <v>Met</v>
      </c>
      <c r="F76" s="1200" t="e">
        <f>IF(F75="",IF(F72&gt;=F74,"Met","Not Met"),IF(F72&gt;=F75,"Met","Not Met"))</f>
        <v>#DIV/0!</v>
      </c>
      <c r="G76" s="1200" t="e">
        <f>IF(G75="",IF(G72&gt;=G74,"Met","Not Met"),IF(G72&gt;=G75,"Met","Not Met"))</f>
        <v>#VALUE!</v>
      </c>
      <c r="I76" s="1200" t="e">
        <f>IF(I75="",IF(I72&gt;=I74,"Met","Not Met"),IF(I72&gt;=I75,"Met","Not Met"))</f>
        <v>#VALUE!</v>
      </c>
      <c r="K76" s="1200" t="e">
        <f>IF(K75="",IF(K72&gt;=K74,"Met","Not Met"),IF(K72&gt;=K75,"Met","Not Met"))</f>
        <v>#VALUE!</v>
      </c>
      <c r="N76" s="1307"/>
      <c r="O76"/>
      <c r="P76"/>
      <c r="Q76"/>
      <c r="R76" s="1309"/>
      <c r="S76" s="200"/>
      <c r="T76" s="1310"/>
    </row>
    <row r="77" spans="1:34" ht="15.75" thickBot="1">
      <c r="A77"/>
      <c r="B77" s="132"/>
      <c r="C77" s="132"/>
      <c r="E77" s="1200"/>
      <c r="F77" s="1200"/>
      <c r="G77" s="1200"/>
      <c r="I77" s="1200"/>
      <c r="K77" s="1200"/>
      <c r="N77" s="1307"/>
      <c r="O77"/>
      <c r="P77"/>
      <c r="Q77"/>
      <c r="R77" s="1309"/>
      <c r="S77" s="200"/>
      <c r="T77" s="1310"/>
    </row>
    <row r="78" spans="1:34" ht="15.75" thickBot="1">
      <c r="A78"/>
      <c r="B78" s="1810" t="s">
        <v>482</v>
      </c>
      <c r="C78" s="1811"/>
      <c r="D78" s="1811"/>
      <c r="E78" s="1811"/>
      <c r="F78" s="1811"/>
      <c r="G78" s="1811"/>
      <c r="H78" s="1811"/>
      <c r="I78" s="1811"/>
      <c r="J78" s="1811"/>
      <c r="K78" s="1811"/>
      <c r="L78" s="1812"/>
      <c r="M78" s="1307"/>
      <c r="N78"/>
      <c r="O78"/>
      <c r="P78"/>
      <c r="Q78" s="1309"/>
      <c r="R78" s="200"/>
      <c r="S78" s="1310"/>
    </row>
    <row r="79" spans="1:34" ht="42" customHeight="1">
      <c r="A79"/>
      <c r="B79" s="1873"/>
      <c r="C79" s="1874"/>
      <c r="D79" s="1874"/>
      <c r="E79" s="1874"/>
      <c r="F79" s="1874"/>
      <c r="G79" s="1874"/>
      <c r="H79" s="1874"/>
      <c r="I79" s="1874"/>
      <c r="J79" s="1874"/>
      <c r="K79" s="1874"/>
      <c r="L79" s="1875"/>
      <c r="M79" s="1531"/>
      <c r="N79"/>
      <c r="O79"/>
      <c r="P79"/>
      <c r="Q79" s="1309"/>
      <c r="R79" s="200"/>
      <c r="S79" s="1310"/>
    </row>
    <row r="80" spans="1:34" ht="9.75" customHeight="1">
      <c r="A80"/>
      <c r="B80"/>
      <c r="C80"/>
      <c r="E80"/>
      <c r="N80" s="1307"/>
      <c r="O80" s="134"/>
      <c r="P80" s="1308"/>
      <c r="Q80" s="134"/>
      <c r="R80" s="1309"/>
      <c r="S80" s="200"/>
      <c r="T80" s="1309"/>
    </row>
    <row r="81" spans="1:20">
      <c r="A81"/>
      <c r="B81" s="134" t="s">
        <v>415</v>
      </c>
      <c r="C81"/>
      <c r="E81" s="1231">
        <f>'Budget-Summary MYP'!F81</f>
        <v>8.4000000000000005E-2</v>
      </c>
      <c r="F81" s="1231" t="e">
        <f>ROUND(-MIN('1st Interim-Unrestricted MYP'!F47/('1st Interim-Unrestricted MYP'!F38+'1st Interim-Unrestricted MYP'!E44),0),3)</f>
        <v>#DIV/0!</v>
      </c>
      <c r="G81" s="1231" t="e">
        <f>ROUND(-MIN('1st Interim-Unrestricted MYP'!G47/('1st Interim-Unrestricted MYP'!G38+'1st Interim-Unrestricted MYP'!F44),0),3)</f>
        <v>#VALUE!</v>
      </c>
      <c r="I81" s="1231" t="e">
        <f>ROUND(-MIN('1st Interim-Unrestricted MYP'!I47/('1st Interim-Unrestricted MYP'!I38+'1st Interim-Unrestricted MYP'!I44),0),3)</f>
        <v>#VALUE!</v>
      </c>
      <c r="K81" s="1231" t="e">
        <f>ROUND(-MIN('1st Interim-Unrestricted MYP'!K47/('1st Interim-Unrestricted MYP'!K38+'1st Interim-Unrestricted MYP'!K44),0),3)</f>
        <v>#VALUE!</v>
      </c>
      <c r="N81"/>
      <c r="O81" s="134"/>
      <c r="P81" s="1308"/>
      <c r="Q81" s="134"/>
      <c r="R81" s="1309"/>
      <c r="S81" s="200"/>
      <c r="T81" s="1309"/>
    </row>
    <row r="82" spans="1:20">
      <c r="A82"/>
      <c r="B82" s="132" t="s">
        <v>416</v>
      </c>
      <c r="C82"/>
      <c r="E82" s="1232">
        <f>'Budget-Summary MYP'!F82</f>
        <v>6.5000000000000002E-2</v>
      </c>
      <c r="F82" s="1232" t="e">
        <f>ROUND(F72/3,3)</f>
        <v>#DIV/0!</v>
      </c>
      <c r="G82" s="1232" t="e">
        <f>ROUND(G72/3,3)</f>
        <v>#VALUE!</v>
      </c>
      <c r="I82" s="1232" t="e">
        <f>ROUND(I72/3,3)</f>
        <v>#VALUE!</v>
      </c>
      <c r="K82" s="1232" t="e">
        <f>ROUND(K72/3,3)</f>
        <v>#VALUE!</v>
      </c>
      <c r="N82" s="1311" t="s">
        <v>413</v>
      </c>
      <c r="O82" s="134"/>
      <c r="P82" s="1308"/>
      <c r="Q82" s="134"/>
      <c r="R82" s="1309"/>
      <c r="S82" s="200"/>
      <c r="T82" s="1309"/>
    </row>
    <row r="83" spans="1:20" ht="15.75" customHeight="1">
      <c r="A83"/>
      <c r="B83" s="132" t="s">
        <v>417</v>
      </c>
      <c r="C83"/>
      <c r="E83" s="1200" t="str">
        <f>T('Budget-Summary MYP'!F83)</f>
        <v>Not Met</v>
      </c>
      <c r="F83" s="1200" t="e">
        <f>IF(F81&lt;=F82,"Met","Not Met")</f>
        <v>#DIV/0!</v>
      </c>
      <c r="G83" s="1200" t="e">
        <f>IF(G81&lt;=G82,"Met","Not Met")</f>
        <v>#VALUE!</v>
      </c>
      <c r="I83" s="1200" t="e">
        <f>IF(I81&lt;=I82,"Met","Not Met")</f>
        <v>#VALUE!</v>
      </c>
      <c r="K83" s="1200" t="e">
        <f>IF(K81&lt;=K82,"Met","Not Met")</f>
        <v>#VALUE!</v>
      </c>
      <c r="N83" s="1871" t="s">
        <v>414</v>
      </c>
      <c r="O83" s="1872"/>
      <c r="P83" s="1872"/>
      <c r="Q83" s="1872"/>
      <c r="R83" s="1872"/>
      <c r="S83" s="1872"/>
      <c r="T83" s="1872"/>
    </row>
    <row r="84" spans="1:20" ht="8.25" customHeight="1" thickBot="1">
      <c r="A84"/>
      <c r="B84"/>
      <c r="C84"/>
      <c r="F84" s="134"/>
      <c r="G84" s="134"/>
      <c r="H84" s="134"/>
      <c r="I84" s="134"/>
      <c r="J84" s="134"/>
      <c r="K84" s="134"/>
      <c r="L84" s="134"/>
      <c r="M84" s="134"/>
      <c r="N84" s="1872"/>
      <c r="O84" s="1872"/>
      <c r="P84" s="1872"/>
      <c r="Q84" s="1872"/>
      <c r="R84" s="1872"/>
      <c r="S84" s="1872"/>
      <c r="T84" s="1872"/>
    </row>
    <row r="85" spans="1:20" ht="15.75" thickBot="1">
      <c r="B85" s="1810" t="s">
        <v>484</v>
      </c>
      <c r="C85" s="1811"/>
      <c r="D85" s="1811"/>
      <c r="E85" s="1811"/>
      <c r="F85" s="1811"/>
      <c r="G85" s="1811"/>
      <c r="H85" s="1811"/>
      <c r="I85" s="1811"/>
      <c r="J85" s="1811"/>
      <c r="K85" s="1811"/>
      <c r="L85" s="1812"/>
      <c r="N85" s="1872"/>
      <c r="O85" s="1872"/>
      <c r="P85" s="1872"/>
      <c r="Q85" s="1872"/>
      <c r="R85" s="1872"/>
      <c r="S85" s="1872"/>
      <c r="T85" s="1872"/>
    </row>
    <row r="86" spans="1:20" ht="47.25" customHeight="1">
      <c r="B86" s="1804"/>
      <c r="C86" s="1805"/>
      <c r="D86" s="1805"/>
      <c r="E86" s="1805"/>
      <c r="F86" s="1805"/>
      <c r="G86" s="1805"/>
      <c r="H86" s="1805"/>
      <c r="I86" s="1805"/>
      <c r="J86" s="1805"/>
      <c r="K86" s="1805"/>
      <c r="L86" s="1806"/>
      <c r="N86" s="1872"/>
      <c r="O86" s="1872"/>
      <c r="P86" s="1872"/>
      <c r="Q86" s="1872"/>
      <c r="R86" s="1872"/>
      <c r="S86" s="1872"/>
      <c r="T86" s="1872"/>
    </row>
    <row r="87" spans="1:20">
      <c r="E87" s="1532"/>
      <c r="F87" s="1532"/>
      <c r="G87" s="1532"/>
      <c r="H87" s="1532"/>
      <c r="I87" s="1532"/>
      <c r="J87" s="1532"/>
      <c r="K87" s="1532"/>
      <c r="L87" s="1532"/>
      <c r="M87" s="1180"/>
      <c r="N87" s="1872"/>
      <c r="O87" s="1872"/>
      <c r="P87" s="1872"/>
      <c r="Q87" s="1872"/>
      <c r="R87" s="1872"/>
      <c r="S87" s="1872"/>
      <c r="T87" s="1872"/>
    </row>
    <row r="88" spans="1:20" ht="78.75" customHeight="1">
      <c r="E88" s="1180"/>
      <c r="F88" s="1180"/>
      <c r="G88" s="1180"/>
      <c r="H88" s="1180"/>
      <c r="I88" s="1180"/>
      <c r="J88" s="1180"/>
      <c r="K88" s="1180"/>
      <c r="L88" s="1180"/>
      <c r="M88" s="1180"/>
    </row>
  </sheetData>
  <sheetProtection algorithmName="SHA-512" hashValue="2VlV6FUd0QsMNx9cU8amkr2PZ5cF3pWFkPXJIQ9NQ45ZvvE3utW8UnvkoNa97/UlKJEtyKatoOcmILf/lIl36g==" saltValue="Var+OG0qfoqTyYdlwBY/lQ==" spinCount="100000" sheet="1" objects="1" scenarios="1"/>
  <mergeCells count="23">
    <mergeCell ref="N70:Q70"/>
    <mergeCell ref="R70:T70"/>
    <mergeCell ref="N83:T87"/>
    <mergeCell ref="A28:C28"/>
    <mergeCell ref="A8:C8"/>
    <mergeCell ref="G11:L11"/>
    <mergeCell ref="G12:L12"/>
    <mergeCell ref="G27:L27"/>
    <mergeCell ref="G28:L28"/>
    <mergeCell ref="B72:D72"/>
    <mergeCell ref="G42:L42"/>
    <mergeCell ref="B78:L78"/>
    <mergeCell ref="B79:L79"/>
    <mergeCell ref="B85:L85"/>
    <mergeCell ref="B86:L86"/>
    <mergeCell ref="G48:L48"/>
    <mergeCell ref="G49:L49"/>
    <mergeCell ref="G59:L59"/>
    <mergeCell ref="A1:C1"/>
    <mergeCell ref="A2:C2"/>
    <mergeCell ref="A3:C3"/>
    <mergeCell ref="G39:L39"/>
    <mergeCell ref="G41:L41"/>
  </mergeCells>
  <phoneticPr fontId="5" type="noConversion"/>
  <conditionalFormatting sqref="A1:A3">
    <cfRule type="containsText" dxfId="145" priority="21" stopIfTrue="1" operator="containsText" text="Enter">
      <formula>NOT(ISERROR(SEARCH("Enter",A1)))</formula>
    </cfRule>
  </conditionalFormatting>
  <conditionalFormatting sqref="B74 I74 K74">
    <cfRule type="expression" dxfId="144" priority="20" stopIfTrue="1">
      <formula>$E$75=""</formula>
    </cfRule>
  </conditionalFormatting>
  <conditionalFormatting sqref="B75">
    <cfRule type="expression" dxfId="143" priority="19" stopIfTrue="1">
      <formula>$E$75&lt;&gt;0</formula>
    </cfRule>
  </conditionalFormatting>
  <conditionalFormatting sqref="B79">
    <cfRule type="containsText" dxfId="142" priority="1" stopIfTrue="1" operator="containsText" text="Not Met">
      <formula>NOT(ISERROR(SEARCH("Not Met",B79)))</formula>
    </cfRule>
    <cfRule type="containsText" dxfId="141" priority="2" stopIfTrue="1" operator="containsText" text="Met">
      <formula>NOT(ISERROR(SEARCH("Met",B79)))</formula>
    </cfRule>
  </conditionalFormatting>
  <conditionalFormatting sqref="E74:G74">
    <cfRule type="expression" dxfId="140" priority="3" stopIfTrue="1">
      <formula>$E$75=""</formula>
    </cfRule>
  </conditionalFormatting>
  <conditionalFormatting sqref="E76:G77 I76:I77 K76:K77">
    <cfRule type="containsText" dxfId="139" priority="6" stopIfTrue="1" operator="containsText" text="Not Met">
      <formula>NOT(ISERROR(SEARCH("Not Met",E76)))</formula>
    </cfRule>
    <cfRule type="containsText" dxfId="138" priority="7" stopIfTrue="1" operator="containsText" text="Met">
      <formula>NOT(ISERROR(SEARCH("Met",E76)))</formula>
    </cfRule>
  </conditionalFormatting>
  <conditionalFormatting sqref="E83:G83 I83 K83">
    <cfRule type="containsText" dxfId="137" priority="4" stopIfTrue="1" operator="containsText" text="Not Met">
      <formula>NOT(ISERROR(SEARCH("Not Met",E83)))</formula>
    </cfRule>
    <cfRule type="containsText" dxfId="136" priority="5" stopIfTrue="1" operator="containsText" text="Met">
      <formula>NOT(ISERROR(SEARCH("Met",E83)))</formula>
    </cfRule>
  </conditionalFormatting>
  <printOptions horizontalCentered="1"/>
  <pageMargins left="0.25" right="0.25" top="0.5" bottom="0.25" header="0.5" footer="0.5"/>
  <pageSetup scale="65" fitToHeight="0" orientation="landscape" horizontalDpi="1200" verticalDpi="1200" r:id="rId1"/>
  <headerFooter alignWithMargins="0">
    <oddFooter>Page &amp;P of &amp;N</oddFooter>
  </headerFooter>
  <rowBreaks count="1" manualBreakCount="1">
    <brk id="4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4"/>
    <pageSetUpPr fitToPage="1"/>
  </sheetPr>
  <dimension ref="A1:L34"/>
  <sheetViews>
    <sheetView showGridLines="0" zoomScaleNormal="100" workbookViewId="0">
      <selection activeCell="A10" sqref="A10"/>
    </sheetView>
  </sheetViews>
  <sheetFormatPr defaultRowHeight="12.75"/>
  <cols>
    <col min="1" max="1" width="3.6640625" customWidth="1"/>
    <col min="2" max="2" width="25.6640625" customWidth="1"/>
    <col min="4" max="4" width="16.6640625" customWidth="1"/>
    <col min="5" max="10" width="14.6640625" customWidth="1"/>
    <col min="11" max="11" width="11.86328125" customWidth="1"/>
    <col min="12" max="12" width="83.46484375" style="1177" customWidth="1"/>
  </cols>
  <sheetData>
    <row r="1" spans="1:11" ht="17.649999999999999">
      <c r="A1" s="135" t="s">
        <v>116</v>
      </c>
      <c r="B1" s="135"/>
      <c r="H1" s="134"/>
      <c r="I1" s="134"/>
    </row>
    <row r="2" spans="1:11" ht="13.15">
      <c r="A2" s="168" t="str">
        <f>'1st Interim-ADA'!J4</f>
        <v>Fiscal Year 2024-25 First Interim Report</v>
      </c>
    </row>
    <row r="3" spans="1:11" ht="13.5" customHeight="1">
      <c r="A3" s="1664" t="str">
        <f>IF('INTERIM-CERTIFICATION'!$M$1="","CHARTER NAME: Enter Charter Name on INTERIM-CERTIFICATION Worksheet",(CONCATENATE("CHARTER NAME: ",'INTERIM-CERTIFICATION'!$M$1)))</f>
        <v>CHARTER NAME: Encor Jr./Sr. High School for the Performing and Visual Arts</v>
      </c>
      <c r="B3" s="1664"/>
      <c r="C3" s="1664"/>
      <c r="D3" s="1664"/>
      <c r="E3" s="1664"/>
      <c r="F3" s="1664"/>
      <c r="G3" s="169"/>
      <c r="H3" s="169"/>
      <c r="I3" s="169"/>
    </row>
    <row r="4" spans="1:11">
      <c r="A4" s="1562" t="str">
        <f>Instructions!H1</f>
        <v>Form Revised (revision date here if revised)</v>
      </c>
    </row>
    <row r="5" spans="1:11" ht="12.75" customHeight="1">
      <c r="A5" s="1828" t="s">
        <v>322</v>
      </c>
      <c r="B5" s="1828"/>
      <c r="C5" s="1828"/>
      <c r="D5" s="1828"/>
      <c r="E5" s="1828"/>
      <c r="F5" s="1828"/>
      <c r="G5" s="1828"/>
      <c r="H5" s="1828"/>
      <c r="I5" s="365"/>
      <c r="J5" s="365"/>
      <c r="K5" s="365"/>
    </row>
    <row r="6" spans="1:11">
      <c r="A6" s="1828"/>
      <c r="B6" s="1828"/>
      <c r="C6" s="1828"/>
      <c r="D6" s="1828"/>
      <c r="E6" s="1828"/>
      <c r="F6" s="1828"/>
      <c r="G6" s="1828"/>
      <c r="H6" s="1828"/>
      <c r="I6" s="365"/>
      <c r="J6" s="365"/>
      <c r="K6" s="365"/>
    </row>
    <row r="7" spans="1:11">
      <c r="A7" s="1828"/>
      <c r="B7" s="1828"/>
      <c r="C7" s="1828"/>
      <c r="D7" s="1828"/>
      <c r="E7" s="1828"/>
      <c r="F7" s="1828"/>
      <c r="G7" s="1828"/>
      <c r="H7" s="1828"/>
    </row>
    <row r="8" spans="1:11" ht="12.75" customHeight="1">
      <c r="A8" s="1829" t="s">
        <v>323</v>
      </c>
      <c r="B8" s="1829"/>
      <c r="C8" s="1829"/>
      <c r="D8" s="1829"/>
      <c r="E8" s="1829"/>
      <c r="F8" s="1829"/>
      <c r="G8" s="1829"/>
      <c r="H8" s="1829"/>
    </row>
    <row r="10" spans="1:11" ht="19.5" customHeight="1" thickBot="1">
      <c r="A10" s="1250"/>
      <c r="B10" s="132" t="s">
        <v>245</v>
      </c>
    </row>
    <row r="11" spans="1:11" ht="19.5" customHeight="1" thickBot="1">
      <c r="A11" s="200"/>
      <c r="B11" s="132"/>
    </row>
    <row r="12" spans="1:11" ht="13.15" thickTop="1">
      <c r="A12" s="1312"/>
      <c r="B12" s="1313"/>
      <c r="C12" s="1314"/>
      <c r="D12" s="1315" t="s">
        <v>238</v>
      </c>
      <c r="E12" s="1822" t="str">
        <f>'1st Interim-Assumptions'!G6</f>
        <v>2024-25</v>
      </c>
      <c r="F12" s="1823"/>
      <c r="G12" s="1824" t="str">
        <f>'1st Interim-Assumptions'!H6</f>
        <v>2025-26</v>
      </c>
      <c r="H12" s="1825"/>
      <c r="I12" s="1824" t="str">
        <f>'1st Interim-Assumptions'!J6</f>
        <v>2026-27</v>
      </c>
      <c r="J12" s="1825"/>
      <c r="K12" s="1316" t="s">
        <v>117</v>
      </c>
    </row>
    <row r="13" spans="1:11">
      <c r="A13" s="1317"/>
      <c r="C13" s="1318" t="s">
        <v>120</v>
      </c>
      <c r="D13" s="1319" t="str">
        <f>'Budget-DEBT'!D13</f>
        <v>2024</v>
      </c>
      <c r="E13" s="1826" t="s">
        <v>118</v>
      </c>
      <c r="F13" s="1827"/>
      <c r="G13" s="1826" t="s">
        <v>118</v>
      </c>
      <c r="H13" s="1827"/>
      <c r="I13" s="1826" t="s">
        <v>118</v>
      </c>
      <c r="J13" s="1827"/>
      <c r="K13" s="1320" t="s">
        <v>234</v>
      </c>
    </row>
    <row r="14" spans="1:11" ht="13.15" thickBot="1">
      <c r="A14" s="1317" t="s">
        <v>119</v>
      </c>
      <c r="C14" s="1321" t="s">
        <v>240</v>
      </c>
      <c r="D14" s="1322" t="s">
        <v>237</v>
      </c>
      <c r="E14" s="1323" t="s">
        <v>235</v>
      </c>
      <c r="F14" s="1324" t="s">
        <v>236</v>
      </c>
      <c r="G14" s="1323" t="s">
        <v>235</v>
      </c>
      <c r="H14" s="1324" t="s">
        <v>236</v>
      </c>
      <c r="I14" s="1323" t="s">
        <v>235</v>
      </c>
      <c r="J14" s="1324" t="s">
        <v>236</v>
      </c>
      <c r="K14" s="1325"/>
    </row>
    <row r="15" spans="1:11" ht="18" customHeight="1" thickBot="1">
      <c r="A15" s="170" t="s">
        <v>128</v>
      </c>
      <c r="B15" s="171"/>
      <c r="C15" s="198"/>
      <c r="D15" s="29"/>
      <c r="E15" s="206"/>
      <c r="F15" s="208"/>
      <c r="G15" s="206"/>
      <c r="H15" s="208"/>
      <c r="I15" s="206"/>
      <c r="J15" s="208"/>
      <c r="K15" s="209"/>
    </row>
    <row r="16" spans="1:11" ht="18" customHeight="1" thickBot="1">
      <c r="A16" s="170" t="s">
        <v>129</v>
      </c>
      <c r="B16" s="171"/>
      <c r="C16" s="198"/>
      <c r="D16" s="29"/>
      <c r="E16" s="206"/>
      <c r="F16" s="208"/>
      <c r="G16" s="206"/>
      <c r="H16" s="208"/>
      <c r="I16" s="206"/>
      <c r="J16" s="208"/>
      <c r="K16" s="209"/>
    </row>
    <row r="17" spans="1:12" ht="18" customHeight="1" thickBot="1">
      <c r="A17" s="170" t="s">
        <v>131</v>
      </c>
      <c r="B17" s="171"/>
      <c r="C17" s="198"/>
      <c r="D17" s="29"/>
      <c r="E17" s="206"/>
      <c r="F17" s="208"/>
      <c r="G17" s="206"/>
      <c r="H17" s="208"/>
      <c r="I17" s="206"/>
      <c r="J17" s="208"/>
      <c r="K17" s="209"/>
    </row>
    <row r="18" spans="1:12" ht="18" customHeight="1" thickBot="1">
      <c r="A18" s="170" t="s">
        <v>130</v>
      </c>
      <c r="B18" s="171"/>
      <c r="C18" s="198"/>
      <c r="D18" s="190"/>
      <c r="E18" s="207"/>
      <c r="F18" s="208"/>
      <c r="G18" s="207"/>
      <c r="H18" s="208"/>
      <c r="I18" s="207"/>
      <c r="J18" s="208"/>
      <c r="K18" s="209"/>
    </row>
    <row r="19" spans="1:12" ht="18" customHeight="1" thickBot="1">
      <c r="A19" s="170" t="s">
        <v>123</v>
      </c>
      <c r="B19" s="171"/>
      <c r="C19" s="198"/>
      <c r="D19" s="29"/>
      <c r="E19" s="206"/>
      <c r="F19" s="208"/>
      <c r="G19" s="206"/>
      <c r="H19" s="208"/>
      <c r="I19" s="206"/>
      <c r="J19" s="208"/>
      <c r="K19" s="209"/>
    </row>
    <row r="20" spans="1:12" ht="18" customHeight="1" thickBot="1">
      <c r="A20" s="170" t="s">
        <v>127</v>
      </c>
      <c r="B20" s="171"/>
      <c r="C20" s="198"/>
      <c r="D20" s="29"/>
      <c r="E20" s="206"/>
      <c r="F20" s="208"/>
      <c r="G20" s="206"/>
      <c r="H20" s="208"/>
      <c r="I20" s="206"/>
      <c r="J20" s="208"/>
      <c r="K20" s="209"/>
    </row>
    <row r="21" spans="1:12" ht="18" customHeight="1" thickBot="1">
      <c r="A21" s="172" t="s">
        <v>460</v>
      </c>
      <c r="B21" s="171"/>
      <c r="C21" s="198"/>
      <c r="D21" s="29"/>
      <c r="E21" s="206"/>
      <c r="F21" s="208"/>
      <c r="G21" s="206"/>
      <c r="H21" s="208"/>
      <c r="I21" s="206"/>
      <c r="J21" s="208"/>
      <c r="K21" s="209"/>
    </row>
    <row r="22" spans="1:12" ht="18" customHeight="1" thickBot="1">
      <c r="A22" s="172" t="s">
        <v>460</v>
      </c>
      <c r="B22" s="172"/>
      <c r="C22" s="198"/>
      <c r="D22" s="29"/>
      <c r="E22" s="206"/>
      <c r="F22" s="208"/>
      <c r="G22" s="206"/>
      <c r="H22" s="208"/>
      <c r="I22" s="206"/>
      <c r="J22" s="208"/>
      <c r="K22" s="209"/>
    </row>
    <row r="23" spans="1:12" ht="18" customHeight="1" thickBot="1">
      <c r="A23" s="172" t="s">
        <v>460</v>
      </c>
      <c r="B23" s="171"/>
      <c r="C23" s="198"/>
      <c r="D23" s="29"/>
      <c r="E23" s="206"/>
      <c r="F23" s="208"/>
      <c r="G23" s="206"/>
      <c r="H23" s="208"/>
      <c r="I23" s="206"/>
      <c r="J23" s="208"/>
      <c r="K23" s="209"/>
    </row>
    <row r="24" spans="1:12" ht="18" customHeight="1" thickBot="1">
      <c r="A24" s="172" t="s">
        <v>461</v>
      </c>
      <c r="B24" s="171"/>
      <c r="C24" s="198"/>
      <c r="D24" s="29"/>
      <c r="E24" s="206"/>
      <c r="F24" s="208"/>
      <c r="G24" s="206"/>
      <c r="H24" s="208"/>
      <c r="I24" s="206"/>
      <c r="J24" s="208"/>
      <c r="K24" s="209"/>
    </row>
    <row r="25" spans="1:12" ht="18" customHeight="1" thickBot="1">
      <c r="A25" s="172" t="s">
        <v>158</v>
      </c>
      <c r="B25" s="171"/>
      <c r="C25" s="198"/>
      <c r="D25" s="1336"/>
      <c r="E25" s="1337"/>
      <c r="F25" s="1338"/>
      <c r="G25" s="1337"/>
      <c r="H25" s="1338"/>
      <c r="I25" s="1337"/>
      <c r="J25" s="1338"/>
      <c r="K25" s="209"/>
    </row>
    <row r="26" spans="1:12" s="132" customFormat="1" ht="18" customHeight="1" thickBot="1">
      <c r="A26" s="1333"/>
      <c r="B26" s="1334" t="s">
        <v>0</v>
      </c>
      <c r="C26" s="1335"/>
      <c r="D26" s="1339">
        <f>SUM(D15:D25)</f>
        <v>0</v>
      </c>
      <c r="E26" s="1340">
        <f t="shared" ref="E26:J26" si="0">SUM(E15:E25)</f>
        <v>0</v>
      </c>
      <c r="F26" s="1341">
        <f t="shared" si="0"/>
        <v>0</v>
      </c>
      <c r="G26" s="1340">
        <f t="shared" si="0"/>
        <v>0</v>
      </c>
      <c r="H26" s="1341">
        <f t="shared" si="0"/>
        <v>0</v>
      </c>
      <c r="I26" s="1340">
        <f t="shared" si="0"/>
        <v>0</v>
      </c>
      <c r="J26" s="1341">
        <f t="shared" si="0"/>
        <v>0</v>
      </c>
      <c r="K26" s="1342"/>
      <c r="L26" s="1198"/>
    </row>
    <row r="27" spans="1:12" ht="9.75" customHeight="1">
      <c r="A27" s="1317"/>
      <c r="C27" s="173"/>
      <c r="D27" s="173"/>
      <c r="E27" s="173"/>
      <c r="F27" s="173"/>
      <c r="G27" s="173"/>
      <c r="H27" s="173"/>
      <c r="I27" s="173"/>
      <c r="J27" s="173"/>
      <c r="K27" s="1326"/>
    </row>
    <row r="28" spans="1:12" ht="18" customHeight="1" thickBot="1">
      <c r="A28" s="1327" t="s">
        <v>121</v>
      </c>
      <c r="B28" s="174"/>
      <c r="C28" s="1328"/>
      <c r="D28" s="1328"/>
      <c r="E28" s="1328"/>
      <c r="F28" s="1328"/>
      <c r="G28" s="1328"/>
      <c r="H28" s="1328"/>
      <c r="I28" s="1328"/>
      <c r="J28" s="1328"/>
      <c r="K28" s="1329"/>
    </row>
    <row r="29" spans="1:12" ht="18" customHeight="1" thickBot="1">
      <c r="A29" s="1816"/>
      <c r="B29" s="1817"/>
      <c r="C29" s="1817"/>
      <c r="D29" s="1817"/>
      <c r="E29" s="1817"/>
      <c r="F29" s="1817"/>
      <c r="G29" s="1817"/>
      <c r="H29" s="1817"/>
      <c r="I29" s="1817"/>
      <c r="J29" s="1817"/>
      <c r="K29" s="1818"/>
    </row>
    <row r="30" spans="1:12" ht="18" customHeight="1" thickBot="1">
      <c r="A30" s="1816"/>
      <c r="B30" s="1830"/>
      <c r="C30" s="1830"/>
      <c r="D30" s="1830"/>
      <c r="E30" s="1830"/>
      <c r="F30" s="1830"/>
      <c r="G30" s="1830"/>
      <c r="H30" s="1830"/>
      <c r="I30" s="1830"/>
      <c r="J30" s="1830"/>
      <c r="K30" s="1831"/>
    </row>
    <row r="31" spans="1:12" ht="18" customHeight="1" thickBot="1">
      <c r="A31" s="1816"/>
      <c r="B31" s="1817"/>
      <c r="C31" s="1817"/>
      <c r="D31" s="1817"/>
      <c r="E31" s="1817"/>
      <c r="F31" s="1817"/>
      <c r="G31" s="1817"/>
      <c r="H31" s="1817"/>
      <c r="I31" s="1817"/>
      <c r="J31" s="1817"/>
      <c r="K31" s="1818"/>
    </row>
    <row r="32" spans="1:12" ht="18" customHeight="1">
      <c r="A32" s="1330" t="s">
        <v>122</v>
      </c>
      <c r="B32" s="1331"/>
      <c r="C32" s="1331"/>
      <c r="D32" s="1331"/>
      <c r="E32" s="1331"/>
      <c r="F32" s="1331"/>
      <c r="G32" s="1331"/>
      <c r="H32" s="1331"/>
      <c r="I32" s="1331"/>
      <c r="J32" s="1331"/>
      <c r="K32" s="1332"/>
    </row>
    <row r="33" spans="1:11" ht="81" customHeight="1" thickBot="1">
      <c r="A33" s="1819"/>
      <c r="B33" s="1820"/>
      <c r="C33" s="1820"/>
      <c r="D33" s="1820"/>
      <c r="E33" s="1820"/>
      <c r="F33" s="1820"/>
      <c r="G33" s="1820"/>
      <c r="H33" s="1820"/>
      <c r="I33" s="1820"/>
      <c r="J33" s="1820"/>
      <c r="K33" s="1821"/>
    </row>
    <row r="34" spans="1:11" ht="13.15" thickTop="1"/>
  </sheetData>
  <sheetProtection password="D94D" sheet="1"/>
  <mergeCells count="13">
    <mergeCell ref="A3:F3"/>
    <mergeCell ref="A8:H8"/>
    <mergeCell ref="A5:H7"/>
    <mergeCell ref="A33:K33"/>
    <mergeCell ref="A29:K29"/>
    <mergeCell ref="A30:K30"/>
    <mergeCell ref="A31:K31"/>
    <mergeCell ref="E12:F12"/>
    <mergeCell ref="G12:H12"/>
    <mergeCell ref="I12:J12"/>
    <mergeCell ref="E13:F13"/>
    <mergeCell ref="G13:H13"/>
    <mergeCell ref="I13:J13"/>
  </mergeCells>
  <phoneticPr fontId="5" type="noConversion"/>
  <conditionalFormatting sqref="A3">
    <cfRule type="containsText" dxfId="135"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4"/>
    <pageSetUpPr autoPageBreaks="0" fitToPage="1"/>
  </sheetPr>
  <dimension ref="A1:AH76"/>
  <sheetViews>
    <sheetView showGridLines="0" view="pageBreakPreview" zoomScaleNormal="70" zoomScaleSheetLayoutView="100" workbookViewId="0">
      <pane xSplit="4" ySplit="7" topLeftCell="T58" activePane="bottomRight" state="frozen"/>
      <selection pane="topRight" activeCell="E1" sqref="E1"/>
      <selection pane="bottomLeft" activeCell="A8" sqref="A8"/>
      <selection pane="bottomRight" activeCell="E44" sqref="E44:E51"/>
    </sheetView>
  </sheetViews>
  <sheetFormatPr defaultRowHeight="12.75"/>
  <cols>
    <col min="1" max="1" width="2.53125" customWidth="1"/>
    <col min="2" max="2" width="45.86328125" customWidth="1"/>
    <col min="3" max="3" width="14.6640625" customWidth="1"/>
    <col min="4" max="4" width="12.86328125" customWidth="1"/>
    <col min="5" max="5" width="13.46484375" customWidth="1"/>
    <col min="6" max="6" width="9" bestFit="1" customWidth="1"/>
    <col min="7" max="7" width="13.46484375" customWidth="1"/>
    <col min="8" max="8" width="8.6640625" customWidth="1"/>
    <col min="9" max="9" width="13.46484375" customWidth="1"/>
    <col min="10" max="10" width="8.6640625" customWidth="1"/>
    <col min="11" max="11" width="13.33203125" customWidth="1"/>
    <col min="12" max="12" width="8.6640625" customWidth="1"/>
    <col min="13" max="13" width="13.46484375" customWidth="1"/>
    <col min="14" max="14" width="8.6640625" customWidth="1"/>
    <col min="15" max="15" width="13.46484375" customWidth="1"/>
    <col min="16" max="16" width="8.6640625" customWidth="1"/>
    <col min="17" max="17" width="13.46484375" customWidth="1"/>
    <col min="18" max="18" width="8.6640625" customWidth="1"/>
    <col min="19" max="19" width="13.46484375" customWidth="1"/>
    <col min="20" max="20" width="9.1328125" customWidth="1"/>
    <col min="21" max="21" width="13.46484375" customWidth="1"/>
    <col min="22" max="22" width="9.1328125" customWidth="1"/>
    <col min="23" max="23" width="13.46484375" customWidth="1"/>
    <col min="24" max="24" width="9.1328125" customWidth="1"/>
    <col min="25" max="25" width="13.46484375" customWidth="1"/>
    <col min="26" max="26" width="9.1328125" customWidth="1"/>
    <col min="27" max="27" width="13.6640625" customWidth="1"/>
    <col min="28" max="28" width="9.1328125" customWidth="1"/>
    <col min="29" max="29" width="15.86328125" style="173" customWidth="1"/>
    <col min="30" max="30" width="17.1328125" style="173" customWidth="1"/>
    <col min="31" max="32" width="13.6640625" style="173" customWidth="1"/>
    <col min="33" max="33" width="70.53125" hidden="1" customWidth="1"/>
    <col min="34" max="34" width="45.53125" customWidth="1"/>
  </cols>
  <sheetData>
    <row r="1" spans="1:33" ht="15.4" thickBot="1">
      <c r="A1" s="175"/>
      <c r="B1" s="175"/>
      <c r="C1" s="175"/>
      <c r="D1" s="175"/>
      <c r="E1" s="176"/>
      <c r="F1" s="1841" t="str">
        <f>IF('INTERIM-CERTIFICATION'!$M$1="","CHARTER NAME: Enter Charter Name on INTERIM-CERTIFICATION Worksheet",(CONCATENATE("CHARTER NAME: ",'INTERIM-CERTIFICATION'!$M$1)))</f>
        <v>CHARTER NAME: Encor Jr./Sr. High School for the Performing and Visual Arts</v>
      </c>
      <c r="G1" s="1841" t="str">
        <f>IF('INTERIM-CERTIFICATION'!$H$1="","CHARTER NAME: Enter Charter Name on INTERIM-CERTIFICATION Worksheet",(CONCATENATE("CHARTER NAME: ",'INTERIM-CERTIFICATION'!$H$1)))</f>
        <v>CHARTER NAME: Enter Charter Name on INTERIM-CERTIFICATION Worksheet</v>
      </c>
      <c r="H1" s="1841"/>
      <c r="I1" s="1841"/>
      <c r="J1" s="1841"/>
      <c r="K1" s="1841"/>
      <c r="L1" s="1841"/>
      <c r="M1" s="178"/>
      <c r="N1" s="177"/>
      <c r="O1" s="178"/>
      <c r="P1" s="177"/>
      <c r="Q1" s="178"/>
      <c r="R1" s="177"/>
      <c r="S1" s="178"/>
      <c r="T1" s="1841" t="str">
        <f>IF('INTERIM-CERTIFICATION'!$M$1="","CHARTER NAME: Enter Charter Name on INTERIM-CERTIFICATION Worksheet",(CONCATENATE("CHARTER NAME: ",'INTERIM-CERTIFICATION'!$M$1)))</f>
        <v>CHARTER NAME: Encor Jr./Sr. High School for the Performing and Visual Arts</v>
      </c>
      <c r="U1" s="1841" t="str">
        <f>IF('INTERIM-CERTIFICATION'!$H$1="","CHARTER NAME: Enter Charter Name on INTERIM-CERTIFICATION Worksheet",(CONCATENATE("CHARTER NAME: ",'INTERIM-CERTIFICATION'!$H$1)))</f>
        <v>CHARTER NAME: Enter Charter Name on INTERIM-CERTIFICATION Worksheet</v>
      </c>
      <c r="V1" s="1841"/>
      <c r="W1" s="1841"/>
      <c r="X1" s="1841"/>
      <c r="Y1" s="1841"/>
      <c r="Z1" s="1841"/>
      <c r="AA1" s="178"/>
      <c r="AB1" s="177"/>
      <c r="AD1" s="1006"/>
      <c r="AE1" s="1006"/>
      <c r="AF1" s="1006"/>
      <c r="AG1" s="1177"/>
    </row>
    <row r="2" spans="1:33" ht="15">
      <c r="B2" s="182" t="s">
        <v>114</v>
      </c>
      <c r="C2" s="95"/>
      <c r="D2" s="183"/>
      <c r="G2" s="1876" t="str">
        <f>""&amp;'Budget-ADA'!K7&amp;"  First Interim Cash Flow"</f>
        <v>2024-25  First Interim Cash Flow</v>
      </c>
      <c r="H2" s="1876"/>
      <c r="I2" s="1876"/>
      <c r="J2" s="1876"/>
      <c r="K2" s="1876"/>
      <c r="M2" s="178"/>
      <c r="O2" s="178"/>
      <c r="Q2" s="178"/>
      <c r="S2" s="178"/>
      <c r="U2" s="177"/>
      <c r="W2" s="214" t="str">
        <f>+G2</f>
        <v>2024-25  First Interim Cash Flow</v>
      </c>
      <c r="Y2" s="177"/>
      <c r="AA2" s="178"/>
      <c r="AC2" s="1006"/>
      <c r="AD2" s="1006"/>
      <c r="AE2" s="1006"/>
      <c r="AF2" s="1006"/>
      <c r="AG2" s="1177"/>
    </row>
    <row r="3" spans="1:33" ht="15.4" thickBot="1">
      <c r="A3" s="1557" t="str">
        <f>Instructions!H1</f>
        <v>Form Revised (revision date here if revised)</v>
      </c>
      <c r="B3" s="181"/>
      <c r="C3" s="23"/>
      <c r="D3" s="23"/>
      <c r="E3" s="26"/>
      <c r="F3" s="25"/>
      <c r="G3" s="27"/>
      <c r="H3" s="25"/>
      <c r="I3" s="27"/>
      <c r="J3" s="25"/>
      <c r="K3" s="27"/>
      <c r="L3" s="25"/>
      <c r="M3" s="27"/>
      <c r="N3" s="25"/>
      <c r="O3" s="27"/>
      <c r="P3" s="25"/>
      <c r="Q3" s="27"/>
      <c r="R3" s="25"/>
      <c r="S3" s="27"/>
      <c r="T3" s="25"/>
      <c r="U3" s="27"/>
      <c r="V3" s="25"/>
      <c r="W3" s="27"/>
      <c r="X3" s="25"/>
      <c r="Y3" s="27"/>
      <c r="Z3" s="25"/>
      <c r="AA3" s="27"/>
      <c r="AB3" s="25"/>
      <c r="AC3" s="1006"/>
      <c r="AD3" s="1006"/>
      <c r="AE3" s="1006"/>
      <c r="AF3" s="1006"/>
      <c r="AG3" s="1177"/>
    </row>
    <row r="4" spans="1:33" ht="15">
      <c r="A4" s="399"/>
      <c r="B4" s="71"/>
      <c r="C4" s="71"/>
      <c r="D4" s="71"/>
      <c r="E4" s="616" t="s">
        <v>79</v>
      </c>
      <c r="F4" s="400" t="s">
        <v>80</v>
      </c>
      <c r="G4" s="533" t="s">
        <v>81</v>
      </c>
      <c r="H4" s="400" t="s">
        <v>80</v>
      </c>
      <c r="I4" s="533" t="s">
        <v>83</v>
      </c>
      <c r="J4" s="400" t="s">
        <v>80</v>
      </c>
      <c r="K4" s="533" t="s">
        <v>84</v>
      </c>
      <c r="L4" s="534" t="s">
        <v>80</v>
      </c>
      <c r="M4" s="533" t="s">
        <v>85</v>
      </c>
      <c r="N4" s="400" t="s">
        <v>80</v>
      </c>
      <c r="O4" s="533" t="s">
        <v>86</v>
      </c>
      <c r="P4" s="400" t="s">
        <v>80</v>
      </c>
      <c r="Q4" s="533" t="s">
        <v>87</v>
      </c>
      <c r="R4" s="400" t="s">
        <v>80</v>
      </c>
      <c r="S4" s="533" t="s">
        <v>88</v>
      </c>
      <c r="T4" s="400" t="s">
        <v>80</v>
      </c>
      <c r="U4" s="533" t="s">
        <v>89</v>
      </c>
      <c r="V4" s="400" t="s">
        <v>80</v>
      </c>
      <c r="W4" s="533" t="s">
        <v>90</v>
      </c>
      <c r="X4" s="400" t="s">
        <v>80</v>
      </c>
      <c r="Y4" s="533" t="s">
        <v>91</v>
      </c>
      <c r="Z4" s="400" t="s">
        <v>80</v>
      </c>
      <c r="AA4" s="533" t="s">
        <v>92</v>
      </c>
      <c r="AB4" s="400" t="s">
        <v>80</v>
      </c>
      <c r="AC4" s="1007" t="s">
        <v>93</v>
      </c>
      <c r="AD4" s="1015"/>
      <c r="AE4" s="1015" t="s">
        <v>19</v>
      </c>
      <c r="AF4" s="1015"/>
      <c r="AG4" s="1177"/>
    </row>
    <row r="5" spans="1:33" ht="15.4" thickBot="1">
      <c r="A5" s="185"/>
      <c r="B5" s="23"/>
      <c r="C5" s="23"/>
      <c r="D5" s="23"/>
      <c r="E5" s="216" t="s">
        <v>61</v>
      </c>
      <c r="F5" s="1027" t="s">
        <v>94</v>
      </c>
      <c r="G5" s="186" t="s">
        <v>61</v>
      </c>
      <c r="H5" s="1027" t="s">
        <v>94</v>
      </c>
      <c r="I5" s="186" t="s">
        <v>61</v>
      </c>
      <c r="J5" s="1027" t="s">
        <v>94</v>
      </c>
      <c r="K5" s="186" t="s">
        <v>61</v>
      </c>
      <c r="L5" s="63" t="s">
        <v>94</v>
      </c>
      <c r="M5" s="186" t="s">
        <v>93</v>
      </c>
      <c r="N5" s="1027" t="s">
        <v>94</v>
      </c>
      <c r="O5" s="186" t="s">
        <v>93</v>
      </c>
      <c r="P5" s="60" t="s">
        <v>94</v>
      </c>
      <c r="Q5" s="186" t="s">
        <v>93</v>
      </c>
      <c r="R5" s="1027" t="s">
        <v>94</v>
      </c>
      <c r="S5" s="186" t="s">
        <v>93</v>
      </c>
      <c r="T5" s="60" t="s">
        <v>94</v>
      </c>
      <c r="U5" s="186" t="s">
        <v>93</v>
      </c>
      <c r="V5" s="60" t="s">
        <v>94</v>
      </c>
      <c r="W5" s="186" t="s">
        <v>93</v>
      </c>
      <c r="X5" s="60" t="s">
        <v>94</v>
      </c>
      <c r="Y5" s="186" t="s">
        <v>93</v>
      </c>
      <c r="Z5" s="60" t="s">
        <v>94</v>
      </c>
      <c r="AA5" s="186" t="s">
        <v>93</v>
      </c>
      <c r="AB5" s="60" t="s">
        <v>94</v>
      </c>
      <c r="AC5" s="1008" t="s">
        <v>95</v>
      </c>
      <c r="AD5" s="1016" t="s">
        <v>0</v>
      </c>
      <c r="AE5" s="1016" t="s">
        <v>16</v>
      </c>
      <c r="AF5" s="1016" t="s">
        <v>96</v>
      </c>
      <c r="AG5" s="1177"/>
    </row>
    <row r="6" spans="1:33" ht="15.75" thickTop="1" thickBot="1">
      <c r="A6" s="188" t="s">
        <v>97</v>
      </c>
      <c r="B6" s="179"/>
      <c r="D6" s="409" t="s">
        <v>115</v>
      </c>
      <c r="E6" s="1034"/>
      <c r="F6" s="61"/>
      <c r="G6" s="189">
        <f>E66</f>
        <v>0</v>
      </c>
      <c r="H6" s="61"/>
      <c r="I6" s="189">
        <f>G66</f>
        <v>0</v>
      </c>
      <c r="J6" s="61"/>
      <c r="K6" s="189">
        <f>I66</f>
        <v>0</v>
      </c>
      <c r="L6" s="536"/>
      <c r="M6" s="508">
        <f>K66</f>
        <v>0</v>
      </c>
      <c r="N6" s="1028"/>
      <c r="O6" s="508">
        <f>M66</f>
        <v>0</v>
      </c>
      <c r="P6" s="61"/>
      <c r="Q6" s="508">
        <f>O66</f>
        <v>0</v>
      </c>
      <c r="R6" s="61"/>
      <c r="S6" s="508">
        <f>Q66</f>
        <v>0</v>
      </c>
      <c r="T6" s="61"/>
      <c r="U6" s="189">
        <f>S66</f>
        <v>0</v>
      </c>
      <c r="V6" s="61"/>
      <c r="W6" s="189">
        <f>U66</f>
        <v>0</v>
      </c>
      <c r="X6" s="61"/>
      <c r="Y6" s="189">
        <f>W66</f>
        <v>0</v>
      </c>
      <c r="Z6" s="61"/>
      <c r="AA6" s="189">
        <f>Y66</f>
        <v>0</v>
      </c>
      <c r="AB6" s="61"/>
      <c r="AC6" s="387">
        <f>+AA66</f>
        <v>0</v>
      </c>
      <c r="AD6" s="57"/>
      <c r="AE6" s="57"/>
      <c r="AF6" s="57"/>
      <c r="AG6" s="1177"/>
    </row>
    <row r="7" spans="1:33" ht="15.75" thickTop="1" thickBot="1">
      <c r="A7" s="401"/>
      <c r="B7" s="366"/>
      <c r="C7" s="64"/>
      <c r="D7" s="1046"/>
      <c r="E7" s="1877" t="s">
        <v>360</v>
      </c>
      <c r="F7" s="1877"/>
      <c r="G7" s="1877"/>
      <c r="H7" s="1877"/>
      <c r="I7" s="1877"/>
      <c r="J7" s="1877"/>
      <c r="K7" s="1877"/>
      <c r="L7" s="1878"/>
      <c r="M7" s="65"/>
      <c r="N7" s="62"/>
      <c r="O7" s="65"/>
      <c r="P7" s="62"/>
      <c r="Q7" s="65"/>
      <c r="R7" s="62"/>
      <c r="S7" s="65"/>
      <c r="T7" s="62"/>
      <c r="U7" s="65"/>
      <c r="V7" s="62"/>
      <c r="W7" s="65"/>
      <c r="X7" s="62"/>
      <c r="Y7" s="65"/>
      <c r="Z7" s="62"/>
      <c r="AA7" s="65"/>
      <c r="AB7" s="62"/>
      <c r="AC7" s="1009"/>
      <c r="AD7" s="1009"/>
      <c r="AE7" s="1009"/>
      <c r="AF7" s="1021"/>
      <c r="AG7" s="1177"/>
    </row>
    <row r="8" spans="1:33" ht="15">
      <c r="A8" s="66" t="s">
        <v>98</v>
      </c>
      <c r="B8" s="515"/>
      <c r="C8" s="371"/>
      <c r="D8" s="1047"/>
      <c r="E8" s="516"/>
      <c r="F8" s="164"/>
      <c r="G8" s="373"/>
      <c r="H8" s="164"/>
      <c r="I8" s="373"/>
      <c r="J8" s="164"/>
      <c r="K8" s="373"/>
      <c r="L8" s="1042"/>
      <c r="M8" s="373"/>
      <c r="N8" s="164"/>
      <c r="O8" s="373"/>
      <c r="P8" s="164"/>
      <c r="Q8" s="373"/>
      <c r="R8" s="164"/>
      <c r="S8" s="373"/>
      <c r="T8" s="164"/>
      <c r="U8" s="373"/>
      <c r="V8" s="164"/>
      <c r="W8" s="373"/>
      <c r="X8" s="164"/>
      <c r="Y8" s="373"/>
      <c r="Z8" s="164"/>
      <c r="AA8" s="373"/>
      <c r="AB8" s="164"/>
      <c r="AC8" s="1010"/>
      <c r="AD8" s="1010"/>
      <c r="AE8" s="1010"/>
      <c r="AF8" s="1018"/>
      <c r="AG8" s="1177"/>
    </row>
    <row r="9" spans="1:33" ht="15">
      <c r="A9" s="402" t="s">
        <v>303</v>
      </c>
      <c r="B9" s="145"/>
      <c r="C9" s="139"/>
      <c r="D9" s="1044"/>
      <c r="E9" s="768"/>
      <c r="F9" s="384"/>
      <c r="G9" s="504"/>
      <c r="H9" s="384"/>
      <c r="I9" s="504"/>
      <c r="J9" s="384"/>
      <c r="K9" s="504"/>
      <c r="L9" s="509"/>
      <c r="M9" s="504"/>
      <c r="N9" s="384"/>
      <c r="O9" s="504"/>
      <c r="P9" s="384"/>
      <c r="Q9" s="504"/>
      <c r="R9" s="384"/>
      <c r="S9" s="504"/>
      <c r="T9" s="384"/>
      <c r="U9" s="504"/>
      <c r="V9" s="384"/>
      <c r="W9" s="504"/>
      <c r="X9" s="384"/>
      <c r="Y9" s="504"/>
      <c r="Z9" s="384"/>
      <c r="AA9" s="504"/>
      <c r="AB9" s="384"/>
      <c r="AC9" s="1011"/>
      <c r="AD9" s="1014"/>
      <c r="AE9" s="1014"/>
      <c r="AF9" s="385"/>
      <c r="AG9" s="1177"/>
    </row>
    <row r="10" spans="1:33" ht="15">
      <c r="A10" s="403"/>
      <c r="B10" s="139" t="s">
        <v>152</v>
      </c>
      <c r="C10" s="275">
        <v>8011</v>
      </c>
      <c r="D10" s="1044"/>
      <c r="E10" s="376"/>
      <c r="F10" s="524" t="str">
        <f>IF($AE10&lt;1," ",IF(E10&lt;1," ",(E10)/$AE10))</f>
        <v xml:space="preserve"> </v>
      </c>
      <c r="G10" s="388"/>
      <c r="H10" s="524" t="str">
        <f>IF($AE10&lt;1," ",IF(G10&lt;1," ",(G10)/$AE10))</f>
        <v xml:space="preserve"> </v>
      </c>
      <c r="I10" s="388"/>
      <c r="J10" s="524" t="str">
        <f>IF($AE10&lt;1," ",IF(I10&lt;1," ",(I10)/$AE10))</f>
        <v xml:space="preserve"> </v>
      </c>
      <c r="K10" s="388"/>
      <c r="L10" s="338" t="str">
        <f>IF($AE10&lt;1," ",IF(K10&lt;1," ",(K10)/$AE10))</f>
        <v xml:space="preserve"> </v>
      </c>
      <c r="M10" s="376"/>
      <c r="N10" s="337" t="str">
        <f>IF($AE10&lt;1," ",IF(M10&lt;1," ",(M10)/$AE10))</f>
        <v xml:space="preserve"> </v>
      </c>
      <c r="O10" s="388"/>
      <c r="P10" s="337" t="str">
        <f>IF($AE10&lt;1," ",IF(O10&lt;1," ",(O10)/$AE10))</f>
        <v xml:space="preserve"> </v>
      </c>
      <c r="Q10" s="388"/>
      <c r="R10" s="524" t="str">
        <f>IF($AE10&lt;1," ",IF(Q10&lt;1," ",(Q10)/$AE10))</f>
        <v xml:space="preserve"> </v>
      </c>
      <c r="S10" s="388"/>
      <c r="T10" s="337" t="str">
        <f>IF($AE10&lt;1," ",IF(S10&lt;1," ",(S10)/$AE10))</f>
        <v xml:space="preserve"> </v>
      </c>
      <c r="U10" s="388"/>
      <c r="V10" s="337" t="str">
        <f>IF($AE10&lt;1," ",IF(U10&lt;1," ",(U10)/$AE10))</f>
        <v xml:space="preserve"> </v>
      </c>
      <c r="W10" s="388"/>
      <c r="X10" s="337" t="str">
        <f>IF($AE10&lt;1," ",IF(W10&lt;1," ",(W10)/$AE10))</f>
        <v xml:space="preserve"> </v>
      </c>
      <c r="Y10" s="388"/>
      <c r="Z10" s="337" t="str">
        <f>IF($AE10&lt;1," ",IF(Y10&lt;1," ",(Y10)/$AE10))</f>
        <v xml:space="preserve"> </v>
      </c>
      <c r="AA10" s="388"/>
      <c r="AB10" s="337" t="str">
        <f>IF($AE10&lt;1," ",IF(AA10&lt;1," ",(AA10)/$AE10))</f>
        <v xml:space="preserve"> </v>
      </c>
      <c r="AC10" s="1534">
        <f>AE10-(E10+G10+I10+K10+M10+O10+Q10+S10+U10+W10+Y10+AA10)</f>
        <v>0</v>
      </c>
      <c r="AD10" s="377">
        <f>+E10+G10+I10+K10+M10+O10+Q10+S10+U10+W10+Y10+AA10+AC10</f>
        <v>0</v>
      </c>
      <c r="AE10" s="377">
        <f>'1st Interim-Summary MYP'!G13</f>
        <v>0</v>
      </c>
      <c r="AF10" s="377">
        <f>+AE10-AD10</f>
        <v>0</v>
      </c>
      <c r="AG10" s="1177"/>
    </row>
    <row r="11" spans="1:33" ht="15">
      <c r="A11" s="403"/>
      <c r="B11" s="139" t="s">
        <v>153</v>
      </c>
      <c r="C11" s="275">
        <v>8012</v>
      </c>
      <c r="D11" s="1044"/>
      <c r="E11" s="376"/>
      <c r="F11" s="524" t="str">
        <f>IF($AE11&lt;1," ",IF(E11&lt;1," ",(E11)/$AE11))</f>
        <v xml:space="preserve"> </v>
      </c>
      <c r="G11" s="388"/>
      <c r="H11" s="524" t="str">
        <f>IF($AE11&lt;1," ",IF(G11&lt;1," ",(G11)/$AE11))</f>
        <v xml:space="preserve"> </v>
      </c>
      <c r="I11" s="388"/>
      <c r="J11" s="524" t="str">
        <f>IF($AE11&lt;1," ",IF(I11&lt;1," ",(I11)/$AE11))</f>
        <v xml:space="preserve"> </v>
      </c>
      <c r="K11" s="388"/>
      <c r="L11" s="338" t="str">
        <f>IF($AE11&lt;1," ",IF(K11&lt;1," ",(K11)/$AE11))</f>
        <v xml:space="preserve"> </v>
      </c>
      <c r="M11" s="376"/>
      <c r="N11" s="337" t="str">
        <f>IF($AE11&lt;1," ",IF(M11&lt;1," ",(M11)/$AE11))</f>
        <v xml:space="preserve"> </v>
      </c>
      <c r="O11" s="388"/>
      <c r="P11" s="337" t="str">
        <f>IF($AE11&lt;1," ",IF(O11&lt;1," ",(O11)/$AE11))</f>
        <v xml:space="preserve"> </v>
      </c>
      <c r="Q11" s="388"/>
      <c r="R11" s="524" t="str">
        <f>IF($AE11&lt;1," ",IF(Q11&lt;1," ",(Q11)/$AE11))</f>
        <v xml:space="preserve"> </v>
      </c>
      <c r="S11" s="388"/>
      <c r="T11" s="337" t="str">
        <f>IF($AE11&lt;1," ",IF(S11&lt;1," ",(S11)/$AE11))</f>
        <v xml:space="preserve"> </v>
      </c>
      <c r="U11" s="388"/>
      <c r="V11" s="337" t="str">
        <f>IF($AE11&lt;1," ",IF(U11&lt;1," ",(U11)/$AE11))</f>
        <v xml:space="preserve"> </v>
      </c>
      <c r="W11" s="388"/>
      <c r="X11" s="337" t="str">
        <f>IF($AE11&lt;1," ",IF(W11&lt;1," ",(W11)/$AE11))</f>
        <v xml:space="preserve"> </v>
      </c>
      <c r="Y11" s="388"/>
      <c r="Z11" s="337" t="str">
        <f>IF($AE11&lt;1," ",IF(Y11&lt;1," ",(Y11)/$AE11))</f>
        <v xml:space="preserve"> </v>
      </c>
      <c r="AA11" s="388"/>
      <c r="AB11" s="337" t="str">
        <f>IF($AE11&lt;1," ",IF(AA11&lt;1," ",(AA11)/$AE11))</f>
        <v xml:space="preserve"> </v>
      </c>
      <c r="AC11" s="1534">
        <f t="shared" ref="AC11:AC22" si="0">AE11-(E11+G11+I11+K11+M11+O11+Q11+S11+U11+W11+Y11+AA11)</f>
        <v>0</v>
      </c>
      <c r="AD11" s="377">
        <f>+E11+G11+I11+K11+M11+O11+Q11+S11+U11+W11+Y11+AA11+AC11</f>
        <v>0</v>
      </c>
      <c r="AE11" s="377">
        <f>'1st Interim-Summary MYP'!G14</f>
        <v>0</v>
      </c>
      <c r="AF11" s="377">
        <f>+AE11-AD11</f>
        <v>0</v>
      </c>
      <c r="AG11" s="1177"/>
    </row>
    <row r="12" spans="1:33" ht="15">
      <c r="A12" s="403"/>
      <c r="B12" s="139" t="s">
        <v>301</v>
      </c>
      <c r="C12" s="275">
        <v>8019</v>
      </c>
      <c r="D12" s="1048"/>
      <c r="E12" s="376"/>
      <c r="F12" s="524" t="str">
        <f>IF($AE12&lt;1," ",IF(E12&lt;1," ",(E12)/$AE12))</f>
        <v xml:space="preserve"> </v>
      </c>
      <c r="G12" s="388"/>
      <c r="H12" s="524" t="str">
        <f>IF($AE12&lt;1," ",IF(G12&lt;1," ",(G12)/$AE12))</f>
        <v xml:space="preserve"> </v>
      </c>
      <c r="I12" s="388"/>
      <c r="J12" s="524" t="str">
        <f>IF($AE12&lt;1," ",IF(I12&lt;1," ",(I12)/$AE12))</f>
        <v xml:space="preserve"> </v>
      </c>
      <c r="K12" s="388"/>
      <c r="L12" s="338" t="str">
        <f>IF($AE12&lt;1," ",IF(K12&lt;1," ",(K12)/$AE12))</f>
        <v xml:space="preserve"> </v>
      </c>
      <c r="M12" s="376"/>
      <c r="N12" s="337" t="str">
        <f>IF($AE12&lt;1," ",IF(M12&lt;1," ",(M12)/$AE12))</f>
        <v xml:space="preserve"> </v>
      </c>
      <c r="O12" s="388"/>
      <c r="P12" s="337" t="str">
        <f>IF($AE12&lt;1," ",IF(O12&lt;1," ",(O12)/$AE12))</f>
        <v xml:space="preserve"> </v>
      </c>
      <c r="Q12" s="388"/>
      <c r="R12" s="524" t="str">
        <f>IF($AE12&lt;1," ",IF(Q12&lt;1," ",(Q12)/$AE12))</f>
        <v xml:space="preserve"> </v>
      </c>
      <c r="S12" s="388"/>
      <c r="T12" s="337" t="str">
        <f>IF($AE12&lt;1," ",IF(S12&lt;1," ",(S12)/$AE12))</f>
        <v xml:space="preserve"> </v>
      </c>
      <c r="U12" s="388"/>
      <c r="V12" s="337" t="str">
        <f>IF($AE12&lt;1," ",IF(U12&lt;1," ",(U12)/$AE12))</f>
        <v xml:space="preserve"> </v>
      </c>
      <c r="W12" s="388"/>
      <c r="X12" s="337" t="str">
        <f>IF($AE12&lt;1," ",IF(W12&lt;1," ",(W12)/$AE12))</f>
        <v xml:space="preserve"> </v>
      </c>
      <c r="Y12" s="388"/>
      <c r="Z12" s="337" t="str">
        <f>IF($AE12&lt;1," ",IF(Y12&lt;1," ",(Y12)/$AE12))</f>
        <v xml:space="preserve"> </v>
      </c>
      <c r="AA12" s="388"/>
      <c r="AB12" s="337" t="str">
        <f>IF($AE12&lt;1," ",IF(AA12&lt;1," ",(AA12)/$AE12))</f>
        <v xml:space="preserve"> </v>
      </c>
      <c r="AC12" s="1534">
        <f t="shared" si="0"/>
        <v>0</v>
      </c>
      <c r="AD12" s="377">
        <f>+E12+G12+I12+K12+M12+O12+Q12+S12+U12+W12+Y12+AA12+AC12</f>
        <v>0</v>
      </c>
      <c r="AE12" s="378">
        <f>'1st Interim-Summary MYP'!G15</f>
        <v>0</v>
      </c>
      <c r="AF12" s="377">
        <f>+AE12-AD12</f>
        <v>0</v>
      </c>
      <c r="AG12" s="1177"/>
    </row>
    <row r="13" spans="1:33" ht="15">
      <c r="A13" s="403"/>
      <c r="B13" s="139" t="s">
        <v>302</v>
      </c>
      <c r="C13" s="275">
        <v>8096</v>
      </c>
      <c r="D13" s="1048"/>
      <c r="E13" s="376"/>
      <c r="F13" s="524" t="str">
        <f>IF($AE13&lt;1," ",IF(E13&lt;1," ",(E13)/$AE13))</f>
        <v xml:space="preserve"> </v>
      </c>
      <c r="G13" s="388"/>
      <c r="H13" s="524" t="str">
        <f>IF($AE13&lt;1," ",IF(G13&lt;1," ",(G13)/$AE13))</f>
        <v xml:space="preserve"> </v>
      </c>
      <c r="I13" s="388"/>
      <c r="J13" s="524" t="str">
        <f>IF($AE13&lt;1," ",IF(I13&lt;1," ",(I13)/$AE13))</f>
        <v xml:space="preserve"> </v>
      </c>
      <c r="K13" s="388"/>
      <c r="L13" s="338" t="str">
        <f>IF($AE13&lt;1," ",IF(K13&lt;1," ",(K13)/$AE13))</f>
        <v xml:space="preserve"> </v>
      </c>
      <c r="M13" s="376"/>
      <c r="N13" s="337" t="str">
        <f>IF($AE13&lt;1," ",IF(M13&lt;1," ",(M13)/$AE13))</f>
        <v xml:space="preserve"> </v>
      </c>
      <c r="O13" s="388"/>
      <c r="P13" s="337" t="str">
        <f>IF($AE13&lt;1," ",IF(O13&lt;1," ",(O13)/$AE13))</f>
        <v xml:space="preserve"> </v>
      </c>
      <c r="Q13" s="388"/>
      <c r="R13" s="524" t="str">
        <f>IF($AE13&lt;1," ",IF(Q13&lt;1," ",(Q13)/$AE13))</f>
        <v xml:space="preserve"> </v>
      </c>
      <c r="S13" s="388"/>
      <c r="T13" s="337" t="str">
        <f>IF($AE13&lt;1," ",IF(S13&lt;1," ",(S13)/$AE13))</f>
        <v xml:space="preserve"> </v>
      </c>
      <c r="U13" s="388"/>
      <c r="V13" s="337" t="str">
        <f>IF($AE13&lt;1," ",IF(U13&lt;1," ",(U13)/$AE13))</f>
        <v xml:space="preserve"> </v>
      </c>
      <c r="W13" s="388"/>
      <c r="X13" s="337" t="str">
        <f>IF($AE13&lt;1," ",IF(W13&lt;1," ",(W13)/$AE13))</f>
        <v xml:space="preserve"> </v>
      </c>
      <c r="Y13" s="388"/>
      <c r="Z13" s="337" t="str">
        <f>IF($AE13&lt;1," ",IF(Y13&lt;1," ",(Y13)/$AE13))</f>
        <v xml:space="preserve"> </v>
      </c>
      <c r="AA13" s="388"/>
      <c r="AB13" s="337" t="str">
        <f>IF($AE13&lt;1," ",IF(AA13&lt;1," ",(AA13)/$AE13))</f>
        <v xml:space="preserve"> </v>
      </c>
      <c r="AC13" s="1534">
        <f t="shared" si="0"/>
        <v>0</v>
      </c>
      <c r="AD13" s="377">
        <f>+E13+G13+I13+K13+M13+O13+Q13+S13+U13+W13+Y13+AA13+AC13</f>
        <v>0</v>
      </c>
      <c r="AE13" s="377">
        <f>'1st Interim-Summary MYP'!G16</f>
        <v>0</v>
      </c>
      <c r="AF13" s="377">
        <f>+AE13-AD13</f>
        <v>0</v>
      </c>
      <c r="AG13" s="1177"/>
    </row>
    <row r="14" spans="1:33" ht="15">
      <c r="A14" s="402" t="s">
        <v>304</v>
      </c>
      <c r="B14" s="145"/>
      <c r="C14" s="275" t="s">
        <v>99</v>
      </c>
      <c r="D14" s="1044"/>
      <c r="E14" s="376"/>
      <c r="F14" s="524" t="str">
        <f>IF($AE14&lt;1," ",IF(E14&lt;1," ",(E14)/$AE14))</f>
        <v xml:space="preserve"> </v>
      </c>
      <c r="G14" s="388"/>
      <c r="H14" s="524" t="str">
        <f>IF($AE14&lt;1," ",IF(G14&lt;1," ",(G14)/$AE14))</f>
        <v xml:space="preserve"> </v>
      </c>
      <c r="I14" s="388"/>
      <c r="J14" s="524" t="str">
        <f>IF($AE14&lt;1," ",IF(I14&lt;1," ",(I14)/$AE14))</f>
        <v xml:space="preserve"> </v>
      </c>
      <c r="K14" s="388"/>
      <c r="L14" s="338" t="str">
        <f>IF($AE14&lt;1," ",IF(K14&lt;1," ",(K14)/$AE14))</f>
        <v xml:space="preserve"> </v>
      </c>
      <c r="M14" s="376"/>
      <c r="N14" s="337" t="str">
        <f>IF($AE14&lt;1," ",IF(M14&lt;1," ",(M14)/$AE14))</f>
        <v xml:space="preserve"> </v>
      </c>
      <c r="O14" s="388"/>
      <c r="P14" s="337" t="str">
        <f>IF($AE14&lt;1," ",IF(O14&lt;1," ",(O14)/$AE14))</f>
        <v xml:space="preserve"> </v>
      </c>
      <c r="Q14" s="388"/>
      <c r="R14" s="524" t="str">
        <f>IF($AE14&lt;1," ",IF(Q14&lt;1," ",(Q14)/$AE14))</f>
        <v xml:space="preserve"> </v>
      </c>
      <c r="S14" s="388"/>
      <c r="T14" s="337" t="str">
        <f>IF($AE14&lt;1," ",IF(S14&lt;1," ",(S14)/$AE14))</f>
        <v xml:space="preserve"> </v>
      </c>
      <c r="U14" s="388"/>
      <c r="V14" s="337" t="str">
        <f>IF($AE14&lt;1," ",IF(U14&lt;1," ",(U14)/$AE14))</f>
        <v xml:space="preserve"> </v>
      </c>
      <c r="W14" s="388"/>
      <c r="X14" s="337" t="str">
        <f>IF($AE14&lt;1," ",IF(W14&lt;1," ",(W14)/$AE14))</f>
        <v xml:space="preserve"> </v>
      </c>
      <c r="Y14" s="388"/>
      <c r="Z14" s="337" t="str">
        <f>IF($AE14&lt;1," ",IF(Y14&lt;1," ",(Y14)/$AE14))</f>
        <v xml:space="preserve"> </v>
      </c>
      <c r="AA14" s="388"/>
      <c r="AB14" s="337" t="str">
        <f>IF($AE14&lt;1," ",IF(AA14&lt;1," ",(AA14)/$AE14))</f>
        <v xml:space="preserve"> </v>
      </c>
      <c r="AC14" s="1534">
        <f t="shared" si="0"/>
        <v>0</v>
      </c>
      <c r="AD14" s="377">
        <f>+E14+G14+I14+K14+M14+O14+Q14+S14+U14+W14+Y14+AA14+AC14</f>
        <v>0</v>
      </c>
      <c r="AE14" s="377">
        <f>'1st Interim-Summary MYP'!G17</f>
        <v>0</v>
      </c>
      <c r="AF14" s="377">
        <f t="shared" ref="AF14:AF22" si="1">+AE14-AD14</f>
        <v>0</v>
      </c>
      <c r="AG14" s="1177"/>
    </row>
    <row r="15" spans="1:33" ht="15">
      <c r="A15" s="403" t="s">
        <v>305</v>
      </c>
      <c r="B15" s="139"/>
      <c r="C15" s="139"/>
      <c r="D15" s="1044"/>
      <c r="E15" s="505"/>
      <c r="F15" s="524"/>
      <c r="G15" s="389"/>
      <c r="H15" s="524"/>
      <c r="I15" s="389"/>
      <c r="J15" s="524"/>
      <c r="K15" s="389"/>
      <c r="L15" s="338"/>
      <c r="M15" s="505"/>
      <c r="N15" s="337"/>
      <c r="O15" s="389"/>
      <c r="P15" s="337"/>
      <c r="Q15" s="389"/>
      <c r="R15" s="524"/>
      <c r="S15" s="389"/>
      <c r="T15" s="337"/>
      <c r="U15" s="389"/>
      <c r="V15" s="337"/>
      <c r="W15" s="389"/>
      <c r="X15" s="337"/>
      <c r="Y15" s="389"/>
      <c r="Z15" s="337"/>
      <c r="AA15" s="389"/>
      <c r="AB15" s="337"/>
      <c r="AC15" s="1535"/>
      <c r="AD15" s="377"/>
      <c r="AE15" s="377"/>
      <c r="AF15" s="377"/>
      <c r="AG15" s="1177"/>
    </row>
    <row r="16" spans="1:33" ht="15">
      <c r="A16" s="403"/>
      <c r="B16" s="139" t="s">
        <v>306</v>
      </c>
      <c r="C16" s="275">
        <v>8560</v>
      </c>
      <c r="D16" s="1044"/>
      <c r="E16" s="376"/>
      <c r="F16" s="524" t="e">
        <f>IF($AE16&lt;1," ",IF(E16&lt;1," ",(E16)/$AE16))</f>
        <v>#VALUE!</v>
      </c>
      <c r="G16" s="388"/>
      <c r="H16" s="524" t="e">
        <f>IF($AE16&lt;1," ",IF(G16&lt;1," ",(G16)/$AE16))</f>
        <v>#VALUE!</v>
      </c>
      <c r="I16" s="388"/>
      <c r="J16" s="524" t="e">
        <f>IF($AE16&lt;1," ",IF(I16&lt;1," ",(I16)/$AE16))</f>
        <v>#VALUE!</v>
      </c>
      <c r="K16" s="388"/>
      <c r="L16" s="338" t="e">
        <f>IF($AE16&lt;1," ",IF(K16&lt;1," ",(K16)/$AE16))</f>
        <v>#VALUE!</v>
      </c>
      <c r="M16" s="376"/>
      <c r="N16" s="337" t="e">
        <f>IF($AE16&lt;1," ",IF(M16&lt;1," ",(M16)/$AE16))</f>
        <v>#VALUE!</v>
      </c>
      <c r="O16" s="388"/>
      <c r="P16" s="337" t="e">
        <f>IF($AE16&lt;1," ",IF(O16&lt;1," ",(O16)/$AE16))</f>
        <v>#VALUE!</v>
      </c>
      <c r="Q16" s="388"/>
      <c r="R16" s="524" t="e">
        <f>IF($AE16&lt;1," ",IF(Q16&lt;1," ",(Q16)/$AE16))</f>
        <v>#VALUE!</v>
      </c>
      <c r="S16" s="388"/>
      <c r="T16" s="337" t="e">
        <f>IF($AE16&lt;1," ",IF(S16&lt;1," ",(S16)/$AE16))</f>
        <v>#VALUE!</v>
      </c>
      <c r="U16" s="388"/>
      <c r="V16" s="337" t="e">
        <f>IF($AE16&lt;1," ",IF(U16&lt;1," ",(U16)/$AE16))</f>
        <v>#VALUE!</v>
      </c>
      <c r="W16" s="388"/>
      <c r="X16" s="337" t="e">
        <f>IF($AE16&lt;1," ",IF(W16&lt;1," ",(W16)/$AE16))</f>
        <v>#VALUE!</v>
      </c>
      <c r="Y16" s="388"/>
      <c r="Z16" s="337" t="e">
        <f>IF($AE16&lt;1," ",IF(Y16&lt;1," ",(Y16)/$AE16))</f>
        <v>#VALUE!</v>
      </c>
      <c r="AA16" s="388"/>
      <c r="AB16" s="337" t="e">
        <f>IF($AE16&lt;1," ",IF(AA16&lt;1," ",(AA16)/$AE16))</f>
        <v>#VALUE!</v>
      </c>
      <c r="AC16" s="1534" t="e">
        <f t="shared" si="0"/>
        <v>#VALUE!</v>
      </c>
      <c r="AD16" s="377" t="e">
        <f>+E16+G16+I16+K16+M16+O16+Q16+S16+U16+W16+Y16+AA16+AC16</f>
        <v>#VALUE!</v>
      </c>
      <c r="AE16" s="377" t="e">
        <f>'1st Interim-Summary MYP'!G19</f>
        <v>#VALUE!</v>
      </c>
      <c r="AF16" s="377" t="e">
        <f t="shared" si="1"/>
        <v>#VALUE!</v>
      </c>
      <c r="AG16" s="1177"/>
    </row>
    <row r="17" spans="1:33" ht="15">
      <c r="A17" s="403"/>
      <c r="B17" s="139" t="s">
        <v>307</v>
      </c>
      <c r="C17" s="275">
        <v>8560</v>
      </c>
      <c r="D17" s="1044"/>
      <c r="E17" s="376"/>
      <c r="F17" s="524" t="e">
        <f>IF($AE17&lt;1," ",IF(E17&lt;1," ",(E17)/$AE17))</f>
        <v>#VALUE!</v>
      </c>
      <c r="G17" s="388"/>
      <c r="H17" s="524" t="e">
        <f>IF($AE17&lt;1," ",IF(G17&lt;1," ",(G17)/$AE17))</f>
        <v>#VALUE!</v>
      </c>
      <c r="I17" s="388"/>
      <c r="J17" s="524" t="e">
        <f>IF($AE17&lt;1," ",IF(I17&lt;1," ",(I17)/$AE17))</f>
        <v>#VALUE!</v>
      </c>
      <c r="K17" s="388"/>
      <c r="L17" s="338" t="e">
        <f>IF($AE17&lt;1," ",IF(K17&lt;1," ",(K17)/$AE17))</f>
        <v>#VALUE!</v>
      </c>
      <c r="M17" s="376"/>
      <c r="N17" s="337" t="e">
        <f>IF($AE17&lt;1," ",IF(M17&lt;1," ",(M17)/$AE17))</f>
        <v>#VALUE!</v>
      </c>
      <c r="O17" s="388"/>
      <c r="P17" s="337" t="e">
        <f>IF($AE17&lt;1," ",IF(O17&lt;1," ",(O17)/$AE17))</f>
        <v>#VALUE!</v>
      </c>
      <c r="Q17" s="388"/>
      <c r="R17" s="524" t="e">
        <f>IF($AE17&lt;1," ",IF(Q17&lt;1," ",(Q17)/$AE17))</f>
        <v>#VALUE!</v>
      </c>
      <c r="S17" s="388"/>
      <c r="T17" s="337" t="e">
        <f>IF($AE17&lt;1," ",IF(S17&lt;1," ",(S17)/$AE17))</f>
        <v>#VALUE!</v>
      </c>
      <c r="U17" s="388"/>
      <c r="V17" s="337" t="e">
        <f>IF($AE17&lt;1," ",IF(U17&lt;1," ",(U17)/$AE17))</f>
        <v>#VALUE!</v>
      </c>
      <c r="W17" s="388"/>
      <c r="X17" s="337" t="e">
        <f>IF($AE17&lt;1," ",IF(W17&lt;1," ",(W17)/$AE17))</f>
        <v>#VALUE!</v>
      </c>
      <c r="Y17" s="388"/>
      <c r="Z17" s="337" t="e">
        <f>IF($AE17&lt;1," ",IF(Y17&lt;1," ",(Y17)/$AE17))</f>
        <v>#VALUE!</v>
      </c>
      <c r="AA17" s="388"/>
      <c r="AB17" s="337" t="e">
        <f>IF($AE17&lt;1," ",IF(AA17&lt;1," ",(AA17)/$AE17))</f>
        <v>#VALUE!</v>
      </c>
      <c r="AC17" s="1534" t="e">
        <f t="shared" si="0"/>
        <v>#VALUE!</v>
      </c>
      <c r="AD17" s="377" t="e">
        <f>+E17+G17+I17+K17+M17+O17+Q17+S17+U17+W17+Y17+AA17+AC17</f>
        <v>#VALUE!</v>
      </c>
      <c r="AE17" s="377" t="e">
        <f>'1st Interim-Summary MYP'!G20</f>
        <v>#VALUE!</v>
      </c>
      <c r="AF17" s="377" t="e">
        <f>+AE17-AD17</f>
        <v>#VALUE!</v>
      </c>
      <c r="AG17" s="1177"/>
    </row>
    <row r="18" spans="1:33" ht="15">
      <c r="A18" s="403"/>
      <c r="B18" s="139" t="s">
        <v>308</v>
      </c>
      <c r="C18" s="275" t="s">
        <v>100</v>
      </c>
      <c r="D18" s="1044"/>
      <c r="E18" s="376"/>
      <c r="F18" s="524" t="str">
        <f>IF($AE18&lt;1," ",IF(E18&lt;1," ",(E18)/$AE18))</f>
        <v xml:space="preserve"> </v>
      </c>
      <c r="G18" s="388"/>
      <c r="H18" s="524" t="str">
        <f>IF($AE18&lt;1," ",IF(G18&lt;1," ",(G18)/$AE18))</f>
        <v xml:space="preserve"> </v>
      </c>
      <c r="I18" s="388"/>
      <c r="J18" s="524" t="str">
        <f>IF($AE18&lt;1," ",IF(I18&lt;1," ",(I18)/$AE18))</f>
        <v xml:space="preserve"> </v>
      </c>
      <c r="K18" s="388"/>
      <c r="L18" s="338" t="str">
        <f>IF($AE18&lt;1," ",IF(K18&lt;1," ",(K18)/$AE18))</f>
        <v xml:space="preserve"> </v>
      </c>
      <c r="M18" s="376"/>
      <c r="N18" s="337" t="str">
        <f>IF($AE18&lt;1," ",IF(M18&lt;1," ",(M18)/$AE18))</f>
        <v xml:space="preserve"> </v>
      </c>
      <c r="O18" s="388"/>
      <c r="P18" s="337" t="str">
        <f>IF($AE18&lt;1," ",IF(O18&lt;1," ",(O18)/$AE18))</f>
        <v xml:space="preserve"> </v>
      </c>
      <c r="Q18" s="388"/>
      <c r="R18" s="524" t="str">
        <f>IF($AE18&lt;1," ",IF(Q18&lt;1," ",(Q18)/$AE18))</f>
        <v xml:space="preserve"> </v>
      </c>
      <c r="S18" s="388"/>
      <c r="T18" s="337" t="str">
        <f>IF($AE18&lt;1," ",IF(S18&lt;1," ",(S18)/$AE18))</f>
        <v xml:space="preserve"> </v>
      </c>
      <c r="U18" s="388"/>
      <c r="V18" s="337" t="str">
        <f>IF($AE18&lt;1," ",IF(U18&lt;1," ",(U18)/$AE18))</f>
        <v xml:space="preserve"> </v>
      </c>
      <c r="W18" s="388"/>
      <c r="X18" s="337" t="str">
        <f>IF($AE18&lt;1," ",IF(W18&lt;1," ",(W18)/$AE18))</f>
        <v xml:space="preserve"> </v>
      </c>
      <c r="Y18" s="388"/>
      <c r="Z18" s="337" t="str">
        <f>IF($AE18&lt;1," ",IF(Y18&lt;1," ",(Y18)/$AE18))</f>
        <v xml:space="preserve"> </v>
      </c>
      <c r="AA18" s="388"/>
      <c r="AB18" s="337" t="str">
        <f>IF($AE18&lt;1," ",IF(AA18&lt;1," ",(AA18)/$AE18))</f>
        <v xml:space="preserve"> </v>
      </c>
      <c r="AC18" s="1534">
        <f t="shared" si="0"/>
        <v>0</v>
      </c>
      <c r="AD18" s="377">
        <f>+E18+G18+I18+K18+M18+O18+Q18+S18+U18+W18+Y18+AA18+AC18</f>
        <v>0</v>
      </c>
      <c r="AE18" s="377">
        <f>'1st Interim-Summary MYP'!G21</f>
        <v>0</v>
      </c>
      <c r="AF18" s="377">
        <f t="shared" si="1"/>
        <v>0</v>
      </c>
      <c r="AG18" s="1177"/>
    </row>
    <row r="19" spans="1:33" ht="15">
      <c r="A19" s="403" t="s">
        <v>309</v>
      </c>
      <c r="B19" s="139"/>
      <c r="C19" s="139"/>
      <c r="D19" s="1044"/>
      <c r="E19" s="505"/>
      <c r="F19" s="524"/>
      <c r="G19" s="389"/>
      <c r="H19" s="524"/>
      <c r="I19" s="389"/>
      <c r="J19" s="524"/>
      <c r="K19" s="389"/>
      <c r="L19" s="338"/>
      <c r="M19" s="505"/>
      <c r="N19" s="337"/>
      <c r="O19" s="389"/>
      <c r="P19" s="337"/>
      <c r="Q19" s="389"/>
      <c r="R19" s="524"/>
      <c r="S19" s="389"/>
      <c r="T19" s="337"/>
      <c r="U19" s="389"/>
      <c r="V19" s="337"/>
      <c r="W19" s="389"/>
      <c r="X19" s="337"/>
      <c r="Y19" s="389"/>
      <c r="Z19" s="337"/>
      <c r="AA19" s="389"/>
      <c r="AB19" s="337"/>
      <c r="AC19" s="1535"/>
      <c r="AD19" s="377"/>
      <c r="AE19" s="377"/>
      <c r="AF19" s="377"/>
      <c r="AG19" s="1177"/>
    </row>
    <row r="20" spans="1:33" ht="15">
      <c r="A20" s="403"/>
      <c r="B20" s="139" t="s">
        <v>236</v>
      </c>
      <c r="C20" s="275">
        <v>8660</v>
      </c>
      <c r="D20" s="1044"/>
      <c r="E20" s="376"/>
      <c r="F20" s="524" t="str">
        <f>IF($AE20&lt;1," ",IF(E20&lt;1," ",(E20)/$AE20))</f>
        <v xml:space="preserve"> </v>
      </c>
      <c r="G20" s="388"/>
      <c r="H20" s="524" t="str">
        <f>IF($AE20&lt;1," ",IF(G20&lt;1," ",(G20)/$AE20))</f>
        <v xml:space="preserve"> </v>
      </c>
      <c r="I20" s="388"/>
      <c r="J20" s="524" t="str">
        <f>IF($AE20&lt;1," ",IF(I20&lt;1," ",(I20)/$AE20))</f>
        <v xml:space="preserve"> </v>
      </c>
      <c r="K20" s="388"/>
      <c r="L20" s="338" t="str">
        <f>IF($AE20&lt;1," ",IF(K20&lt;1," ",(K20)/$AE20))</f>
        <v xml:space="preserve"> </v>
      </c>
      <c r="M20" s="376"/>
      <c r="N20" s="337" t="str">
        <f>IF($AE20&lt;1," ",IF(M20&lt;1," ",(M20)/$AE20))</f>
        <v xml:space="preserve"> </v>
      </c>
      <c r="O20" s="388"/>
      <c r="P20" s="337" t="str">
        <f>IF($AE20&lt;1," ",IF(O20&lt;1," ",(O20)/$AE20))</f>
        <v xml:space="preserve"> </v>
      </c>
      <c r="Q20" s="388"/>
      <c r="R20" s="524" t="str">
        <f>IF($AE20&lt;1," ",IF(Q20&lt;1," ",(Q20)/$AE20))</f>
        <v xml:space="preserve"> </v>
      </c>
      <c r="S20" s="388"/>
      <c r="T20" s="337" t="str">
        <f>IF($AE20&lt;1," ",IF(S20&lt;1," ",(S20)/$AE20))</f>
        <v xml:space="preserve"> </v>
      </c>
      <c r="U20" s="388"/>
      <c r="V20" s="337" t="str">
        <f>IF($AE20&lt;1," ",IF(U20&lt;1," ",(U20)/$AE20))</f>
        <v xml:space="preserve"> </v>
      </c>
      <c r="W20" s="388"/>
      <c r="X20" s="337" t="str">
        <f>IF($AE20&lt;1," ",IF(W20&lt;1," ",(W20)/$AE20))</f>
        <v xml:space="preserve"> </v>
      </c>
      <c r="Y20" s="388"/>
      <c r="Z20" s="337" t="str">
        <f>IF($AE20&lt;1," ",IF(Y20&lt;1," ",(Y20)/$AE20))</f>
        <v xml:space="preserve"> </v>
      </c>
      <c r="AA20" s="388"/>
      <c r="AB20" s="337" t="str">
        <f>IF($AE20&lt;1," ",IF(AA20&lt;1," ",(AA20)/$AE20))</f>
        <v xml:space="preserve"> </v>
      </c>
      <c r="AC20" s="1534">
        <f t="shared" si="0"/>
        <v>0</v>
      </c>
      <c r="AD20" s="377">
        <f>+E20+G20+I20+K20+M20+O20+Q20+S20+U20+W20+Y20+AA20+AC20</f>
        <v>0</v>
      </c>
      <c r="AE20" s="377">
        <f>'1st Interim-Summary MYP'!G23</f>
        <v>0</v>
      </c>
      <c r="AF20" s="377">
        <f t="shared" si="1"/>
        <v>0</v>
      </c>
      <c r="AG20" s="1177"/>
    </row>
    <row r="21" spans="1:33" ht="15">
      <c r="A21" s="403"/>
      <c r="B21" s="139" t="s">
        <v>310</v>
      </c>
      <c r="C21" s="275">
        <v>8792</v>
      </c>
      <c r="D21" s="1044"/>
      <c r="E21" s="376"/>
      <c r="F21" s="524" t="str">
        <f>IF($AE21&lt;1," ",IF(E21&lt;1," ",(E21)/$AE21))</f>
        <v xml:space="preserve"> </v>
      </c>
      <c r="G21" s="388"/>
      <c r="H21" s="524" t="str">
        <f>IF($AE21&lt;1," ",IF(G21&lt;1," ",(G21)/$AE21))</f>
        <v xml:space="preserve"> </v>
      </c>
      <c r="I21" s="388"/>
      <c r="J21" s="524" t="str">
        <f>IF($AE21&lt;1," ",IF(I21&lt;1," ",(I21)/$AE21))</f>
        <v xml:space="preserve"> </v>
      </c>
      <c r="K21" s="388"/>
      <c r="L21" s="338" t="str">
        <f>IF($AE21&lt;1," ",IF(K21&lt;1," ",(K21)/$AE21))</f>
        <v xml:space="preserve"> </v>
      </c>
      <c r="M21" s="376"/>
      <c r="N21" s="337" t="str">
        <f>IF($AE21&lt;1," ",IF(M21&lt;1," ",(M21)/$AE21))</f>
        <v xml:space="preserve"> </v>
      </c>
      <c r="O21" s="388"/>
      <c r="P21" s="337" t="str">
        <f>IF($AE21&lt;1," ",IF(O21&lt;1," ",(O21)/$AE21))</f>
        <v xml:space="preserve"> </v>
      </c>
      <c r="Q21" s="388"/>
      <c r="R21" s="524" t="str">
        <f>IF($AE21&lt;1," ",IF(Q21&lt;1," ",(Q21)/$AE21))</f>
        <v xml:space="preserve"> </v>
      </c>
      <c r="S21" s="388"/>
      <c r="T21" s="337" t="str">
        <f>IF($AE21&lt;1," ",IF(S21&lt;1," ",(S21)/$AE21))</f>
        <v xml:space="preserve"> </v>
      </c>
      <c r="U21" s="388"/>
      <c r="V21" s="337" t="str">
        <f>IF($AE21&lt;1," ",IF(U21&lt;1," ",(U21)/$AE21))</f>
        <v xml:space="preserve"> </v>
      </c>
      <c r="W21" s="388"/>
      <c r="X21" s="337" t="str">
        <f>IF($AE21&lt;1," ",IF(W21&lt;1," ",(W21)/$AE21))</f>
        <v xml:space="preserve"> </v>
      </c>
      <c r="Y21" s="388"/>
      <c r="Z21" s="337" t="str">
        <f>IF($AE21&lt;1," ",IF(Y21&lt;1," ",(Y21)/$AE21))</f>
        <v xml:space="preserve"> </v>
      </c>
      <c r="AA21" s="388"/>
      <c r="AB21" s="337" t="str">
        <f>IF($AE21&lt;1," ",IF(AA21&lt;1," ",(AA21)/$AE21))</f>
        <v xml:space="preserve"> </v>
      </c>
      <c r="AC21" s="1534">
        <f t="shared" si="0"/>
        <v>0</v>
      </c>
      <c r="AD21" s="377">
        <f>+E21+G21+I21+K21+M21+O21+Q21+S21+U21+W21+Y21+AA21+AC21</f>
        <v>0</v>
      </c>
      <c r="AE21" s="377">
        <f>'1st Interim-Summary MYP'!G24</f>
        <v>0</v>
      </c>
      <c r="AF21" s="377">
        <f t="shared" si="1"/>
        <v>0</v>
      </c>
      <c r="AG21" s="1177"/>
    </row>
    <row r="22" spans="1:33" ht="15">
      <c r="A22" s="403"/>
      <c r="B22" s="139" t="s">
        <v>311</v>
      </c>
      <c r="C22" s="275" t="s">
        <v>101</v>
      </c>
      <c r="D22" s="1044"/>
      <c r="E22" s="376"/>
      <c r="F22" s="524" t="str">
        <f>IF($AE22&lt;1," ",IF(E22&lt;1," ",(E22)/$AE22))</f>
        <v xml:space="preserve"> </v>
      </c>
      <c r="G22" s="388"/>
      <c r="H22" s="524" t="str">
        <f>IF($AE22&lt;1," ",IF(G22&lt;1," ",(G22)/$AE22))</f>
        <v xml:space="preserve"> </v>
      </c>
      <c r="I22" s="388"/>
      <c r="J22" s="524" t="str">
        <f>IF($AE22&lt;1," ",IF(I22&lt;1," ",(I22)/$AE22))</f>
        <v xml:space="preserve"> </v>
      </c>
      <c r="K22" s="388"/>
      <c r="L22" s="338" t="str">
        <f>IF($AE22&lt;1," ",IF(K22&lt;1," ",(K22)/$AE22))</f>
        <v xml:space="preserve"> </v>
      </c>
      <c r="M22" s="376"/>
      <c r="N22" s="337" t="str">
        <f>IF($AE22&lt;1," ",IF(M22&lt;1," ",(M22)/$AE22))</f>
        <v xml:space="preserve"> </v>
      </c>
      <c r="O22" s="388"/>
      <c r="P22" s="337" t="str">
        <f>IF($AE22&lt;1," ",IF(O22&lt;1," ",(O22)/$AE22))</f>
        <v xml:space="preserve"> </v>
      </c>
      <c r="Q22" s="388"/>
      <c r="R22" s="524" t="str">
        <f>IF($AE22&lt;1," ",IF(Q22&lt;1," ",(Q22)/$AE22))</f>
        <v xml:space="preserve"> </v>
      </c>
      <c r="S22" s="388"/>
      <c r="T22" s="337" t="str">
        <f>IF($AE22&lt;1," ",IF(S22&lt;1," ",(S22)/$AE22))</f>
        <v xml:space="preserve"> </v>
      </c>
      <c r="U22" s="388"/>
      <c r="V22" s="337" t="str">
        <f>IF($AE22&lt;1," ",IF(U22&lt;1," ",(U22)/$AE22))</f>
        <v xml:space="preserve"> </v>
      </c>
      <c r="W22" s="388"/>
      <c r="X22" s="337" t="str">
        <f>IF($AE22&lt;1," ",IF(W22&lt;1," ",(W22)/$AE22))</f>
        <v xml:space="preserve"> </v>
      </c>
      <c r="Y22" s="388"/>
      <c r="Z22" s="337" t="str">
        <f>IF($AE22&lt;1," ",IF(Y22&lt;1," ",(Y22)/$AE22))</f>
        <v xml:space="preserve"> </v>
      </c>
      <c r="AA22" s="388"/>
      <c r="AB22" s="337" t="str">
        <f>IF($AE22&lt;1," ",IF(AA22&lt;1," ",(AA22)/$AE22))</f>
        <v xml:space="preserve"> </v>
      </c>
      <c r="AC22" s="1534">
        <f t="shared" si="0"/>
        <v>0</v>
      </c>
      <c r="AD22" s="377">
        <f>+E22+G22+I22+K22+M22+O22+Q22+S22+U22+W22+Y22+AA22+AC22</f>
        <v>0</v>
      </c>
      <c r="AE22" s="377">
        <f>'1st Interim-Summary MYP'!G25</f>
        <v>0</v>
      </c>
      <c r="AF22" s="377">
        <f t="shared" si="1"/>
        <v>0</v>
      </c>
      <c r="AG22" s="1177"/>
    </row>
    <row r="23" spans="1:33" ht="15.4" thickBot="1">
      <c r="A23" s="402" t="s">
        <v>312</v>
      </c>
      <c r="B23" s="380"/>
      <c r="C23" s="381"/>
      <c r="D23" s="1049"/>
      <c r="E23" s="762">
        <f>SUM(E10:E22)</f>
        <v>0</v>
      </c>
      <c r="F23" s="526" t="e">
        <f>IF($AE23&lt;1," ",IF(E23&lt;1," ",(E23)/$AE23))</f>
        <v>#VALUE!</v>
      </c>
      <c r="G23" s="761">
        <f>SUM(G10:G22)</f>
        <v>0</v>
      </c>
      <c r="H23" s="526" t="e">
        <f>IF($AE23&lt;1," ",IF(G23&lt;1," ",(G23)/$AE23))</f>
        <v>#VALUE!</v>
      </c>
      <c r="I23" s="761">
        <f>SUM(I10:I22)</f>
        <v>0</v>
      </c>
      <c r="J23" s="526" t="e">
        <f>IF($AE23&lt;1," ",IF(I23&lt;1," ",(I23)/$AE23))</f>
        <v>#VALUE!</v>
      </c>
      <c r="K23" s="761">
        <f>SUM(K10:K22)</f>
        <v>0</v>
      </c>
      <c r="L23" s="510" t="e">
        <f>IF($AE23&lt;1," ",IF(K23&lt;1," ",(K23)/$AE23))</f>
        <v>#VALUE!</v>
      </c>
      <c r="M23" s="762">
        <f>SUM(M10:M22)</f>
        <v>0</v>
      </c>
      <c r="N23" s="382" t="e">
        <f>IF($AE23&lt;1," ",IF(M23&lt;1," ",(M23)/$AE23))</f>
        <v>#VALUE!</v>
      </c>
      <c r="O23" s="761">
        <f>SUM(O10:O22)</f>
        <v>0</v>
      </c>
      <c r="P23" s="382" t="e">
        <f>IF($AE23&lt;1," ",IF(O23&lt;1," ",(O23)/$AE23))</f>
        <v>#VALUE!</v>
      </c>
      <c r="Q23" s="761">
        <f>SUM(Q10:Q22)</f>
        <v>0</v>
      </c>
      <c r="R23" s="526" t="e">
        <f>IF($AE23&lt;1," ",IF(Q23&lt;1," ",(Q23)/$AE23))</f>
        <v>#VALUE!</v>
      </c>
      <c r="S23" s="761">
        <f>SUM(S10:S22)</f>
        <v>0</v>
      </c>
      <c r="T23" s="382" t="e">
        <f>IF($AE23&lt;1," ",IF(S23&lt;1," ",(S23)/$AE23))</f>
        <v>#VALUE!</v>
      </c>
      <c r="U23" s="761">
        <f>SUM(U10:U22)</f>
        <v>0</v>
      </c>
      <c r="V23" s="382" t="e">
        <f>IF($AE23&lt;1," ",IF(U23&lt;1," ",(U23)/$AE23))</f>
        <v>#VALUE!</v>
      </c>
      <c r="W23" s="761">
        <f>SUM(W10:W22)</f>
        <v>0</v>
      </c>
      <c r="X23" s="382" t="e">
        <f>IF($AE23&lt;1," ",IF(W23&lt;1," ",(W23)/$AE23))</f>
        <v>#VALUE!</v>
      </c>
      <c r="Y23" s="761">
        <f>SUM(Y10:Y22)</f>
        <v>0</v>
      </c>
      <c r="Z23" s="382" t="e">
        <f>IF($AE23&lt;1," ",IF(Y23&lt;1," ",(Y23)/$AE23))</f>
        <v>#VALUE!</v>
      </c>
      <c r="AA23" s="761">
        <f>SUM(AA10:AA22)</f>
        <v>0</v>
      </c>
      <c r="AB23" s="382" t="e">
        <f>IF($AE23&lt;1," ",IF(AA23&lt;1," ",(AA23)/$AE23))</f>
        <v>#VALUE!</v>
      </c>
      <c r="AC23" s="1536" t="e">
        <f>SUM(AC10:AC22)</f>
        <v>#VALUE!</v>
      </c>
      <c r="AD23" s="763" t="e">
        <f>SUM(AD10:AD22)</f>
        <v>#VALUE!</v>
      </c>
      <c r="AE23" s="763" t="e">
        <f>SUM(AE10:AE22)</f>
        <v>#VALUE!</v>
      </c>
      <c r="AF23" s="763" t="e">
        <f>SUM(AF10:AF22)</f>
        <v>#VALUE!</v>
      </c>
      <c r="AG23" s="1177"/>
    </row>
    <row r="24" spans="1:33" ht="15">
      <c r="A24" s="404"/>
      <c r="B24" s="368"/>
      <c r="C24" s="71"/>
      <c r="D24" s="520"/>
      <c r="E24" s="73"/>
      <c r="F24" s="192"/>
      <c r="G24" s="73"/>
      <c r="H24" s="192"/>
      <c r="I24" s="73"/>
      <c r="J24" s="192"/>
      <c r="K24" s="73"/>
      <c r="L24" s="511"/>
      <c r="M24" s="73"/>
      <c r="N24" s="192"/>
      <c r="O24" s="73"/>
      <c r="P24" s="192"/>
      <c r="Q24" s="73"/>
      <c r="R24" s="192"/>
      <c r="S24" s="73"/>
      <c r="T24" s="192"/>
      <c r="U24" s="73"/>
      <c r="V24" s="192"/>
      <c r="W24" s="73"/>
      <c r="X24" s="192"/>
      <c r="Y24" s="73"/>
      <c r="Z24" s="192"/>
      <c r="AA24" s="73"/>
      <c r="AB24" s="192"/>
      <c r="AC24" s="1006"/>
      <c r="AD24" s="1006"/>
      <c r="AE24" s="1006"/>
      <c r="AF24" s="1022"/>
      <c r="AG24" s="1177"/>
    </row>
    <row r="25" spans="1:33" ht="15">
      <c r="A25" s="66" t="s">
        <v>3</v>
      </c>
      <c r="B25" s="179"/>
      <c r="C25" s="371"/>
      <c r="D25" s="1047"/>
      <c r="E25" s="518"/>
      <c r="F25" s="478"/>
      <c r="G25" s="518"/>
      <c r="H25" s="478"/>
      <c r="I25" s="518"/>
      <c r="J25" s="478"/>
      <c r="K25" s="518"/>
      <c r="L25" s="539"/>
      <c r="M25" s="518"/>
      <c r="N25" s="478"/>
      <c r="O25" s="518"/>
      <c r="P25" s="478"/>
      <c r="Q25" s="518"/>
      <c r="R25" s="478"/>
      <c r="S25" s="518"/>
      <c r="T25" s="478"/>
      <c r="U25" s="518"/>
      <c r="V25" s="478"/>
      <c r="W25" s="518"/>
      <c r="X25" s="478"/>
      <c r="Y25" s="518"/>
      <c r="Z25" s="478"/>
      <c r="AA25" s="518"/>
      <c r="AB25" s="478"/>
      <c r="AC25" s="1010"/>
      <c r="AD25" s="1010"/>
      <c r="AE25" s="1010"/>
      <c r="AF25" s="1018"/>
      <c r="AG25" s="1177"/>
    </row>
    <row r="26" spans="1:33" ht="15">
      <c r="A26" s="403" t="s">
        <v>4</v>
      </c>
      <c r="B26" s="139"/>
      <c r="C26" s="275" t="s">
        <v>102</v>
      </c>
      <c r="D26" s="1044"/>
      <c r="E26" s="376"/>
      <c r="F26" s="524" t="str">
        <f>IF($AE$26&lt;1," ",IF(E26&lt;1," ",(E26)/$AE$26))</f>
        <v xml:space="preserve"> </v>
      </c>
      <c r="G26" s="388"/>
      <c r="H26" s="524" t="str">
        <f>IF($AE$26&lt;1," ",IF(G26&lt;1," ",(G26)/$AE$26))</f>
        <v xml:space="preserve"> </v>
      </c>
      <c r="I26" s="388"/>
      <c r="J26" s="524" t="str">
        <f>IF($AE$26&lt;1," ",IF(I26&lt;1," ",(I26)/$AE$26))</f>
        <v xml:space="preserve"> </v>
      </c>
      <c r="K26" s="388"/>
      <c r="L26" s="338" t="str">
        <f>IF($AE$26&lt;1," ",IF(K26&lt;1," ",(K26)/$AE$26))</f>
        <v xml:space="preserve"> </v>
      </c>
      <c r="M26" s="376"/>
      <c r="N26" s="337" t="str">
        <f>IF($AE$26&lt;1," ",IF(M26&lt;1," ",(M26)/$AE$26))</f>
        <v xml:space="preserve"> </v>
      </c>
      <c r="O26" s="388"/>
      <c r="P26" s="524" t="str">
        <f>IF($AE$26&lt;1," ",IF(O26&lt;1," ",(O26)/$AE$26))</f>
        <v xml:space="preserve"> </v>
      </c>
      <c r="Q26" s="388"/>
      <c r="R26" s="524" t="str">
        <f>IF($AE$26&lt;1," ",IF(Q26&lt;1," ",(Q26)/$AE$26))</f>
        <v xml:space="preserve"> </v>
      </c>
      <c r="S26" s="388"/>
      <c r="T26" s="337" t="str">
        <f>IF($AE$26&lt;1," ",IF(S26&lt;1," ",(S26)/$AE$26))</f>
        <v xml:space="preserve"> </v>
      </c>
      <c r="U26" s="388"/>
      <c r="V26" s="337" t="str">
        <f>IF($AE$26&lt;1," ",IF(U26&lt;1," ",(U26)/$AE$26))</f>
        <v xml:space="preserve"> </v>
      </c>
      <c r="W26" s="388"/>
      <c r="X26" s="337" t="str">
        <f>IF($AE$26&lt;1," ",IF(W26&lt;1," ",(W26)/$AE$26))</f>
        <v xml:space="preserve"> </v>
      </c>
      <c r="Y26" s="388"/>
      <c r="Z26" s="337" t="str">
        <f>IF($AE$26&lt;1," ",IF(Y26&lt;1," ",(Y26)/$AE$26))</f>
        <v xml:space="preserve"> </v>
      </c>
      <c r="AA26" s="388"/>
      <c r="AB26" s="337" t="str">
        <f>IF($AE$26&lt;1," ",IF(AA26&lt;1," ",(AA26)/$AE$26))</f>
        <v xml:space="preserve"> </v>
      </c>
      <c r="AC26" s="1537">
        <f t="shared" ref="AC26:AC34" si="2">AE26-(E26+G26+I26+K26+M26+O26+Q26+S26+U26+W26+Y26+AA26)</f>
        <v>0</v>
      </c>
      <c r="AD26" s="385">
        <f t="shared" ref="AD26:AD34" si="3">+E26+G26+I26+K26+M26+O26+Q26+S26+U26+W26+Y26+AA26+AC26</f>
        <v>0</v>
      </c>
      <c r="AE26" s="385">
        <f>'1st Interim-Summary MYP'!G29</f>
        <v>0</v>
      </c>
      <c r="AF26" s="385">
        <f t="shared" ref="AF26:AF34" si="4">+AE26-AD26</f>
        <v>0</v>
      </c>
      <c r="AG26" s="1177"/>
    </row>
    <row r="27" spans="1:33" ht="15">
      <c r="A27" s="403" t="s">
        <v>23</v>
      </c>
      <c r="B27" s="139"/>
      <c r="C27" s="275" t="s">
        <v>103</v>
      </c>
      <c r="D27" s="1044"/>
      <c r="E27" s="376"/>
      <c r="F27" s="524" t="str">
        <f>IF($AE$27&lt;1," ",IF(E27&lt;1," ",(E27)/$AE$27))</f>
        <v xml:space="preserve"> </v>
      </c>
      <c r="G27" s="388"/>
      <c r="H27" s="524" t="str">
        <f>IF($AE$27&lt;1," ",IF(G27&lt;1," ",(G27)/$AE$27))</f>
        <v xml:space="preserve"> </v>
      </c>
      <c r="I27" s="388"/>
      <c r="J27" s="524" t="str">
        <f>IF($AE$27&lt;1," ",IF(I27&lt;1," ",(I27)/$AE$27))</f>
        <v xml:space="preserve"> </v>
      </c>
      <c r="K27" s="388"/>
      <c r="L27" s="338" t="str">
        <f>IF($AE$27&lt;1," ",IF(K27&lt;1," ",(K27)/$AE$27))</f>
        <v xml:space="preserve"> </v>
      </c>
      <c r="M27" s="376"/>
      <c r="N27" s="337" t="str">
        <f>IF($AE$27&lt;1," ",IF(M27&lt;1," ",(M27)/$AE$27))</f>
        <v xml:space="preserve"> </v>
      </c>
      <c r="O27" s="388"/>
      <c r="P27" s="524" t="str">
        <f>IF($AE$27&lt;1," ",IF(O27&lt;1," ",(O27)/$AE$27))</f>
        <v xml:space="preserve"> </v>
      </c>
      <c r="Q27" s="388"/>
      <c r="R27" s="524" t="str">
        <f>IF($AE$27&lt;1," ",IF(Q27&lt;1," ",(Q27)/$AE$27))</f>
        <v xml:space="preserve"> </v>
      </c>
      <c r="S27" s="388"/>
      <c r="T27" s="337" t="str">
        <f>IF($AE$27&lt;1," ",IF(S27&lt;1," ",(S27)/$AE$27))</f>
        <v xml:space="preserve"> </v>
      </c>
      <c r="U27" s="388"/>
      <c r="V27" s="337" t="str">
        <f>IF($AE$27&lt;1," ",IF(U27&lt;1," ",(U27)/$AE$27))</f>
        <v xml:space="preserve"> </v>
      </c>
      <c r="W27" s="388"/>
      <c r="X27" s="337" t="str">
        <f>IF($AE$27&lt;1," ",IF(W27&lt;1," ",(W27)/$AE$27))</f>
        <v xml:space="preserve"> </v>
      </c>
      <c r="Y27" s="388"/>
      <c r="Z27" s="337" t="str">
        <f>IF($AE$27&lt;1," ",IF(Y27&lt;1," ",(Y27)/$AE$27))</f>
        <v xml:space="preserve"> </v>
      </c>
      <c r="AA27" s="388"/>
      <c r="AB27" s="337" t="str">
        <f>IF($AE$27&lt;1," ",IF(AA27&lt;1," ",(AA27)/$AE$27))</f>
        <v xml:space="preserve"> </v>
      </c>
      <c r="AC27" s="1537">
        <f t="shared" si="2"/>
        <v>0</v>
      </c>
      <c r="AD27" s="385">
        <f t="shared" si="3"/>
        <v>0</v>
      </c>
      <c r="AE27" s="385">
        <f>'1st Interim-Summary MYP'!G30</f>
        <v>0</v>
      </c>
      <c r="AF27" s="385">
        <f t="shared" si="4"/>
        <v>0</v>
      </c>
      <c r="AG27" s="1177"/>
    </row>
    <row r="28" spans="1:33" ht="15">
      <c r="A28" s="403" t="s">
        <v>24</v>
      </c>
      <c r="B28" s="139"/>
      <c r="C28" s="275" t="s">
        <v>104</v>
      </c>
      <c r="D28" s="1044"/>
      <c r="E28" s="376"/>
      <c r="F28" s="524" t="str">
        <f>IF($AE$28&lt;1," ",IF(E28&lt;1," ",(E28)/$AE$28))</f>
        <v xml:space="preserve"> </v>
      </c>
      <c r="G28" s="388"/>
      <c r="H28" s="524" t="str">
        <f>IF($AE$28&lt;1," ",IF(G28&lt;1," ",(G28)/$AE$28))</f>
        <v xml:space="preserve"> </v>
      </c>
      <c r="I28" s="388"/>
      <c r="J28" s="524" t="str">
        <f>IF($AE$28&lt;1," ",IF(I28&lt;1," ",(I28)/$AE$28))</f>
        <v xml:space="preserve"> </v>
      </c>
      <c r="K28" s="388"/>
      <c r="L28" s="338" t="str">
        <f>IF($AE$28&lt;1," ",IF(K28&lt;1," ",(K28)/$AE$28))</f>
        <v xml:space="preserve"> </v>
      </c>
      <c r="M28" s="376"/>
      <c r="N28" s="337" t="str">
        <f>IF($AE$28&lt;1," ",IF(M28&lt;1," ",(M28)/$AE$28))</f>
        <v xml:space="preserve"> </v>
      </c>
      <c r="O28" s="388"/>
      <c r="P28" s="524" t="str">
        <f>IF($AE$28&lt;1," ",IF(O28&lt;1," ",(O28)/$AE$28))</f>
        <v xml:space="preserve"> </v>
      </c>
      <c r="Q28" s="388"/>
      <c r="R28" s="524" t="str">
        <f>IF($AE$28&lt;1," ",IF(Q28&lt;1," ",(Q28)/$AE$28))</f>
        <v xml:space="preserve"> </v>
      </c>
      <c r="S28" s="388"/>
      <c r="T28" s="337" t="str">
        <f>IF($AE$28&lt;1," ",IF(S28&lt;1," ",(S28)/$AE$28))</f>
        <v xml:space="preserve"> </v>
      </c>
      <c r="U28" s="388"/>
      <c r="V28" s="337" t="str">
        <f>IF($AE$28&lt;1," ",IF(U28&lt;1," ",(U28)/$AE$28))</f>
        <v xml:space="preserve"> </v>
      </c>
      <c r="W28" s="388"/>
      <c r="X28" s="337" t="str">
        <f>IF($AE$28&lt;1," ",IF(W28&lt;1," ",(W28)/$AE$28))</f>
        <v xml:space="preserve"> </v>
      </c>
      <c r="Y28" s="388"/>
      <c r="Z28" s="337" t="str">
        <f>IF($AE$28&lt;1," ",IF(Y28&lt;1," ",(Y28)/$AE$28))</f>
        <v xml:space="preserve"> </v>
      </c>
      <c r="AA28" s="388"/>
      <c r="AB28" s="337" t="str">
        <f>IF($AE$28&lt;1," ",IF(AA28&lt;1," ",(AA28)/$AE$28))</f>
        <v xml:space="preserve"> </v>
      </c>
      <c r="AC28" s="1537">
        <f t="shared" si="2"/>
        <v>0</v>
      </c>
      <c r="AD28" s="385">
        <f t="shared" si="3"/>
        <v>0</v>
      </c>
      <c r="AE28" s="385">
        <f>'1st Interim-Summary MYP'!G31</f>
        <v>0</v>
      </c>
      <c r="AF28" s="385">
        <f t="shared" si="4"/>
        <v>0</v>
      </c>
      <c r="AG28" s="1177"/>
    </row>
    <row r="29" spans="1:33" ht="15">
      <c r="A29" s="403" t="s">
        <v>25</v>
      </c>
      <c r="B29" s="139"/>
      <c r="C29" s="275" t="s">
        <v>105</v>
      </c>
      <c r="D29" s="1044"/>
      <c r="E29" s="376"/>
      <c r="F29" s="524" t="str">
        <f>IF($AE$29&lt;1," ",IF(E29&lt;1," ",(E29)/$AE$29))</f>
        <v xml:space="preserve"> </v>
      </c>
      <c r="G29" s="388"/>
      <c r="H29" s="524" t="str">
        <f>IF($AE$29&lt;1," ",IF(G29&lt;1," ",(G29)/$AE$29))</f>
        <v xml:space="preserve"> </v>
      </c>
      <c r="I29" s="388"/>
      <c r="J29" s="524" t="str">
        <f>IF($AE$29&lt;1," ",IF(I29&lt;1," ",(I29)/$AE$29))</f>
        <v xml:space="preserve"> </v>
      </c>
      <c r="K29" s="388"/>
      <c r="L29" s="338" t="str">
        <f>IF($AE$29&lt;1," ",IF(K29&lt;1," ",(K29)/$AE$29))</f>
        <v xml:space="preserve"> </v>
      </c>
      <c r="M29" s="376"/>
      <c r="N29" s="337" t="str">
        <f>IF($AE$29&lt;1," ",IF(M29&lt;1," ",(M29)/$AE$29))</f>
        <v xml:space="preserve"> </v>
      </c>
      <c r="O29" s="388"/>
      <c r="P29" s="524" t="str">
        <f>IF($AE$29&lt;1," ",IF(O29&lt;1," ",(O29)/$AE$29))</f>
        <v xml:space="preserve"> </v>
      </c>
      <c r="Q29" s="388"/>
      <c r="R29" s="524" t="str">
        <f>IF($AE$29&lt;1," ",IF(Q29&lt;1," ",(Q29)/$AE$29))</f>
        <v xml:space="preserve"> </v>
      </c>
      <c r="S29" s="388"/>
      <c r="T29" s="337" t="str">
        <f>IF($AE$29&lt;1," ",IF(S29&lt;1," ",(S29)/$AE$29))</f>
        <v xml:space="preserve"> </v>
      </c>
      <c r="U29" s="388"/>
      <c r="V29" s="337" t="str">
        <f>IF($AE$29&lt;1," ",IF(U29&lt;1," ",(U29)/$AE$29))</f>
        <v xml:space="preserve"> </v>
      </c>
      <c r="W29" s="388"/>
      <c r="X29" s="337" t="str">
        <f>IF($AE$29&lt;1," ",IF(W29&lt;1," ",(W29)/$AE$29))</f>
        <v xml:space="preserve"> </v>
      </c>
      <c r="Y29" s="388"/>
      <c r="Z29" s="337" t="str">
        <f>IF($AE$29&lt;1," ",IF(Y29&lt;1," ",(Y29)/$AE$29))</f>
        <v xml:space="preserve"> </v>
      </c>
      <c r="AA29" s="388"/>
      <c r="AB29" s="337" t="str">
        <f>IF($AE$29&lt;1," ",IF(AA29&lt;1," ",(AA29)/$AE$29))</f>
        <v xml:space="preserve"> </v>
      </c>
      <c r="AC29" s="1537">
        <f t="shared" si="2"/>
        <v>0</v>
      </c>
      <c r="AD29" s="385">
        <f t="shared" si="3"/>
        <v>0</v>
      </c>
      <c r="AE29" s="385">
        <f>'1st Interim-Summary MYP'!G32</f>
        <v>0</v>
      </c>
      <c r="AF29" s="385">
        <f t="shared" si="4"/>
        <v>0</v>
      </c>
      <c r="AG29" s="1177"/>
    </row>
    <row r="30" spans="1:33" ht="15">
      <c r="A30" s="403" t="s">
        <v>26</v>
      </c>
      <c r="B30" s="139"/>
      <c r="C30" s="275" t="s">
        <v>106</v>
      </c>
      <c r="D30" s="1044"/>
      <c r="E30" s="376"/>
      <c r="F30" s="524" t="str">
        <f>IF($AE$30&lt;1," ",IF(E30&lt;1," ",(E30)/$AE$30))</f>
        <v xml:space="preserve"> </v>
      </c>
      <c r="G30" s="388"/>
      <c r="H30" s="524" t="str">
        <f>IF($AE$30&lt;1," ",IF(G30&lt;1," ",(G30)/$AE$30))</f>
        <v xml:space="preserve"> </v>
      </c>
      <c r="I30" s="388"/>
      <c r="J30" s="524" t="str">
        <f>IF($AE$30&lt;1," ",IF(I30&lt;1," ",(I30)/$AE$30))</f>
        <v xml:space="preserve"> </v>
      </c>
      <c r="K30" s="388"/>
      <c r="L30" s="338" t="str">
        <f>IF($AE$30&lt;1," ",IF(K30&lt;1," ",(K30)/$AE$30))</f>
        <v xml:space="preserve"> </v>
      </c>
      <c r="M30" s="376"/>
      <c r="N30" s="337" t="str">
        <f>IF($AE$30&lt;1," ",IF(M30&lt;1," ",(M30)/$AE$30))</f>
        <v xml:space="preserve"> </v>
      </c>
      <c r="O30" s="388"/>
      <c r="P30" s="524" t="str">
        <f>IF($AE$30&lt;1," ",IF(O30&lt;1," ",(O30)/$AE$30))</f>
        <v xml:space="preserve"> </v>
      </c>
      <c r="Q30" s="388"/>
      <c r="R30" s="524" t="str">
        <f>IF($AE$30&lt;1," ",IF(Q30&lt;1," ",(Q30)/$AE$30))</f>
        <v xml:space="preserve"> </v>
      </c>
      <c r="S30" s="388"/>
      <c r="T30" s="337" t="str">
        <f>IF($AE$30&lt;1," ",IF(S30&lt;1," ",(S30)/$AE$30))</f>
        <v xml:space="preserve"> </v>
      </c>
      <c r="U30" s="388"/>
      <c r="V30" s="337" t="str">
        <f>IF($AE$30&lt;1," ",IF(U30&lt;1," ",(U30)/$AE$30))</f>
        <v xml:space="preserve"> </v>
      </c>
      <c r="W30" s="388"/>
      <c r="X30" s="337" t="str">
        <f>IF($AE$30&lt;1," ",IF(W30&lt;1," ",(W30)/$AE$30))</f>
        <v xml:space="preserve"> </v>
      </c>
      <c r="Y30" s="388"/>
      <c r="Z30" s="337" t="str">
        <f>IF($AE$30&lt;1," ",IF(Y30&lt;1," ",(Y30)/$AE$30))</f>
        <v xml:space="preserve"> </v>
      </c>
      <c r="AA30" s="388"/>
      <c r="AB30" s="337" t="str">
        <f>IF($AE$30&lt;1," ",IF(AA30&lt;1," ",(AA30)/$AE$30))</f>
        <v xml:space="preserve"> </v>
      </c>
      <c r="AC30" s="1537">
        <f t="shared" si="2"/>
        <v>0</v>
      </c>
      <c r="AD30" s="385">
        <f t="shared" si="3"/>
        <v>0</v>
      </c>
      <c r="AE30" s="385">
        <f>'1st Interim-Summary MYP'!G33</f>
        <v>0</v>
      </c>
      <c r="AF30" s="385">
        <f t="shared" si="4"/>
        <v>0</v>
      </c>
      <c r="AG30" s="1177"/>
    </row>
    <row r="31" spans="1:33" ht="15">
      <c r="A31" s="403" t="s">
        <v>508</v>
      </c>
      <c r="B31" s="139"/>
      <c r="C31" s="275" t="s">
        <v>107</v>
      </c>
      <c r="D31" s="1044"/>
      <c r="E31" s="376"/>
      <c r="F31" s="524" t="str">
        <f>IF($AE$31&lt;1," ",IF(E31&lt;1," ",(E31)/$AE$31))</f>
        <v xml:space="preserve"> </v>
      </c>
      <c r="G31" s="388"/>
      <c r="H31" s="524" t="str">
        <f>IF($AE$31&lt;1," ",IF(G31&lt;1," ",(G31)/$AE$31))</f>
        <v xml:space="preserve"> </v>
      </c>
      <c r="I31" s="388"/>
      <c r="J31" s="524" t="str">
        <f>IF($AE$31&lt;1," ",IF(I31&lt;1," ",(I31)/$AE$31))</f>
        <v xml:space="preserve"> </v>
      </c>
      <c r="K31" s="388"/>
      <c r="L31" s="338" t="str">
        <f>IF($AE$31&lt;1," ",IF(K31&lt;1," ",(K31)/$AE$31))</f>
        <v xml:space="preserve"> </v>
      </c>
      <c r="M31" s="376"/>
      <c r="N31" s="337" t="str">
        <f>IF($AE$31&lt;1," ",IF(M31&lt;1," ",(M31)/$AE$31))</f>
        <v xml:space="preserve"> </v>
      </c>
      <c r="O31" s="388"/>
      <c r="P31" s="524" t="str">
        <f>IF($AE$31&lt;1," ",IF(O31&lt;1," ",(O31)/$AE$31))</f>
        <v xml:space="preserve"> </v>
      </c>
      <c r="Q31" s="388"/>
      <c r="R31" s="524" t="str">
        <f>IF($AE$31&lt;1," ",IF(Q31&lt;1," ",(Q31)/$AE$31))</f>
        <v xml:space="preserve"> </v>
      </c>
      <c r="S31" s="388"/>
      <c r="T31" s="337" t="str">
        <f>IF($AE$31&lt;1," ",IF(S31&lt;1," ",(S31)/$AE$31))</f>
        <v xml:space="preserve"> </v>
      </c>
      <c r="U31" s="388"/>
      <c r="V31" s="337" t="str">
        <f>IF($AE$31&lt;1," ",IF(U31&lt;1," ",(U31)/$AE$31))</f>
        <v xml:space="preserve"> </v>
      </c>
      <c r="W31" s="388"/>
      <c r="X31" s="337" t="str">
        <f>IF($AE$31&lt;1," ",IF(W31&lt;1," ",(W31)/$AE$31))</f>
        <v xml:space="preserve"> </v>
      </c>
      <c r="Y31" s="388"/>
      <c r="Z31" s="337" t="str">
        <f>IF($AE$31&lt;1," ",IF(Y31&lt;1," ",(Y31)/$AE$31))</f>
        <v xml:space="preserve"> </v>
      </c>
      <c r="AA31" s="388"/>
      <c r="AB31" s="337" t="str">
        <f>IF($AE$31&lt;1," ",IF(AA31&lt;1," ",(AA31)/$AE$31))</f>
        <v xml:space="preserve"> </v>
      </c>
      <c r="AC31" s="1537">
        <f t="shared" si="2"/>
        <v>0</v>
      </c>
      <c r="AD31" s="385">
        <f t="shared" si="3"/>
        <v>0</v>
      </c>
      <c r="AE31" s="385">
        <f>'1st Interim-Summary MYP'!G34</f>
        <v>0</v>
      </c>
      <c r="AF31" s="385">
        <f t="shared" si="4"/>
        <v>0</v>
      </c>
      <c r="AG31" s="1177"/>
    </row>
    <row r="32" spans="1:33" ht="15">
      <c r="A32" s="403" t="s">
        <v>507</v>
      </c>
      <c r="B32" s="139"/>
      <c r="C32" s="275">
        <v>6900</v>
      </c>
      <c r="D32" s="1044"/>
      <c r="E32" s="376"/>
      <c r="F32" s="524" t="str">
        <f>IF($AE$32&lt;1," ",IF(E32&lt;1," ",(E32)/$AE$32))</f>
        <v xml:space="preserve"> </v>
      </c>
      <c r="G32" s="388"/>
      <c r="H32" s="524" t="str">
        <f>IF($AE$32&lt;1," ",IF(G32&lt;1," ",(G32)/$AE$32))</f>
        <v xml:space="preserve"> </v>
      </c>
      <c r="I32" s="388"/>
      <c r="J32" s="524" t="str">
        <f>IF($AE$32&lt;1," ",IF(I32&lt;1," ",(I32)/$AE$32))</f>
        <v xml:space="preserve"> </v>
      </c>
      <c r="K32" s="388"/>
      <c r="L32" s="338" t="str">
        <f>IF($AE$32&lt;1," ",IF(K32&lt;1," ",(K32)/$AE$32))</f>
        <v xml:space="preserve"> </v>
      </c>
      <c r="M32" s="376"/>
      <c r="N32" s="337" t="str">
        <f>IF($AE$32&lt;1," ",IF(M32&lt;1," ",(M32)/$AE$32))</f>
        <v xml:space="preserve"> </v>
      </c>
      <c r="O32" s="388"/>
      <c r="P32" s="524" t="str">
        <f>IF($AE$32&lt;1," ",IF(O32&lt;1," ",(O32)/$AE$32))</f>
        <v xml:space="preserve"> </v>
      </c>
      <c r="Q32" s="388"/>
      <c r="R32" s="524" t="str">
        <f>IF($AE$32&lt;1," ",IF(Q32&lt;1," ",(Q32)/$AE$32))</f>
        <v xml:space="preserve"> </v>
      </c>
      <c r="S32" s="388"/>
      <c r="T32" s="337" t="str">
        <f>IF($AE$32&lt;1," ",IF(S32&lt;1," ",(S32)/$AE$32))</f>
        <v xml:space="preserve"> </v>
      </c>
      <c r="U32" s="388"/>
      <c r="V32" s="337" t="str">
        <f>IF($AE$32&lt;1," ",IF(U32&lt;1," ",(U32)/$AE$32))</f>
        <v xml:space="preserve"> </v>
      </c>
      <c r="W32" s="388"/>
      <c r="X32" s="337" t="str">
        <f>IF($AE$32&lt;1," ",IF(W32&lt;1," ",(W32)/$AE$32))</f>
        <v xml:space="preserve"> </v>
      </c>
      <c r="Y32" s="388"/>
      <c r="Z32" s="337" t="str">
        <f>IF($AE$32&lt;1," ",IF(Y32&lt;1," ",(Y32)/$AE$32))</f>
        <v xml:space="preserve"> </v>
      </c>
      <c r="AA32" s="388"/>
      <c r="AB32" s="337" t="str">
        <f>IF($AE$32&lt;1," ",IF(AA32&lt;1," ",(AA32)/$AE$32))</f>
        <v xml:space="preserve"> </v>
      </c>
      <c r="AC32" s="1537">
        <f t="shared" ref="AC32" si="5">AE32-(E32+G32+I32+K32+M32+O32+Q32+S32+U32+W32+Y32+AA32)</f>
        <v>0</v>
      </c>
      <c r="AD32" s="385">
        <f t="shared" ref="AD32" si="6">+E32+G32+I32+K32+M32+O32+Q32+S32+U32+W32+Y32+AA32+AC32</f>
        <v>0</v>
      </c>
      <c r="AE32" s="385">
        <f>'1st Interim-Summary MYP'!G35</f>
        <v>0</v>
      </c>
      <c r="AF32" s="385">
        <f t="shared" ref="AF32" si="7">+AE32-AD32</f>
        <v>0</v>
      </c>
      <c r="AG32" s="1177"/>
    </row>
    <row r="33" spans="1:34" ht="15">
      <c r="A33" s="403" t="s">
        <v>27</v>
      </c>
      <c r="B33" s="139"/>
      <c r="C33" s="275" t="s">
        <v>108</v>
      </c>
      <c r="D33" s="1044"/>
      <c r="E33" s="376"/>
      <c r="F33" s="524" t="str">
        <f>IF($AE$33&lt;1," ",IF(E33&lt;1," ",(E33)/$AE$33))</f>
        <v xml:space="preserve"> </v>
      </c>
      <c r="G33" s="388"/>
      <c r="H33" s="524" t="str">
        <f>IF($AE$33&lt;1," ",IF(G33&lt;1," ",(G33)/$AE$33))</f>
        <v xml:space="preserve"> </v>
      </c>
      <c r="I33" s="388"/>
      <c r="J33" s="524" t="str">
        <f>IF($AE$33&lt;1," ",IF(I33&lt;1," ",(I33)/$AE$33))</f>
        <v xml:space="preserve"> </v>
      </c>
      <c r="K33" s="388"/>
      <c r="L33" s="338" t="str">
        <f>IF($AE$33&lt;1," ",IF(K33&lt;1," ",(K33)/$AE$33))</f>
        <v xml:space="preserve"> </v>
      </c>
      <c r="M33" s="376"/>
      <c r="N33" s="337" t="str">
        <f>IF($AE$33&lt;1," ",IF(M33&lt;1," ",(M33)/$AE$33))</f>
        <v xml:space="preserve"> </v>
      </c>
      <c r="O33" s="388"/>
      <c r="P33" s="524" t="str">
        <f>IF($AE$33&lt;1," ",IF(O33&lt;1," ",(O33)/$AE$33))</f>
        <v xml:space="preserve"> </v>
      </c>
      <c r="Q33" s="388"/>
      <c r="R33" s="524" t="str">
        <f>IF($AE$33&lt;1," ",IF(Q33&lt;1," ",(Q33)/$AE$33))</f>
        <v xml:space="preserve"> </v>
      </c>
      <c r="S33" s="388"/>
      <c r="T33" s="337" t="str">
        <f>IF($AE$33&lt;1," ",IF(S33&lt;1," ",(S33)/$AE$33))</f>
        <v xml:space="preserve"> </v>
      </c>
      <c r="U33" s="388"/>
      <c r="V33" s="337" t="str">
        <f>IF($AE$33&lt;1," ",IF(U33&lt;1," ",(U33)/$AE$33))</f>
        <v xml:space="preserve"> </v>
      </c>
      <c r="W33" s="388"/>
      <c r="X33" s="337" t="str">
        <f>IF($AE$33&lt;1," ",IF(W33&lt;1," ",(W33)/$AE$33))</f>
        <v xml:space="preserve"> </v>
      </c>
      <c r="Y33" s="388"/>
      <c r="Z33" s="337" t="str">
        <f>IF($AE$33&lt;1," ",IF(Y33&lt;1," ",(Y33)/$AE$33))</f>
        <v xml:space="preserve"> </v>
      </c>
      <c r="AA33" s="388"/>
      <c r="AB33" s="337" t="str">
        <f>IF($AE$33&lt;1," ",IF(AA33&lt;1," ",(AA33)/$AE$33))</f>
        <v xml:space="preserve"> </v>
      </c>
      <c r="AC33" s="1537">
        <f t="shared" si="2"/>
        <v>0</v>
      </c>
      <c r="AD33" s="385">
        <f t="shared" si="3"/>
        <v>0</v>
      </c>
      <c r="AE33" s="385">
        <f>'1st Interim-Summary MYP'!G36</f>
        <v>0</v>
      </c>
      <c r="AF33" s="385">
        <f t="shared" si="4"/>
        <v>0</v>
      </c>
      <c r="AG33" s="1177"/>
    </row>
    <row r="34" spans="1:34" ht="15">
      <c r="A34" s="403" t="s">
        <v>146</v>
      </c>
      <c r="B34" s="139"/>
      <c r="C34" s="275" t="s">
        <v>111</v>
      </c>
      <c r="D34" s="1044"/>
      <c r="E34" s="376"/>
      <c r="F34" s="524" t="str">
        <f>IF($AE34&lt;1," ",IF(E34&lt;1," ",(E34)/$AE34))</f>
        <v xml:space="preserve"> </v>
      </c>
      <c r="G34" s="388"/>
      <c r="H34" s="524" t="str">
        <f>IF($AE34&lt;1," ",IF(G34&lt;1," ",(G34)/$AE34))</f>
        <v xml:space="preserve"> </v>
      </c>
      <c r="I34" s="388"/>
      <c r="J34" s="524" t="str">
        <f>IF($AE34&lt;1," ",IF(I34&lt;1," ",(I34)/$AE34))</f>
        <v xml:space="preserve"> </v>
      </c>
      <c r="K34" s="388"/>
      <c r="L34" s="338" t="str">
        <f>IF($AE34&lt;1," ",IF(K34&lt;1," ",(K34)/$AE34))</f>
        <v xml:space="preserve"> </v>
      </c>
      <c r="M34" s="376"/>
      <c r="N34" s="337" t="str">
        <f>IF($AE34&lt;1," ",IF(M34&lt;1," ",(M34)/$AE34))</f>
        <v xml:space="preserve"> </v>
      </c>
      <c r="O34" s="388"/>
      <c r="P34" s="524" t="str">
        <f>IF($AE34&lt;1," ",IF(O34&lt;1," ",(O34)/$AE34))</f>
        <v xml:space="preserve"> </v>
      </c>
      <c r="Q34" s="388"/>
      <c r="R34" s="524" t="str">
        <f>IF($AE34&lt;1," ",IF(Q34&lt;1," ",(Q34)/$AE34))</f>
        <v xml:space="preserve"> </v>
      </c>
      <c r="S34" s="388"/>
      <c r="T34" s="337" t="str">
        <f>IF($AE34&lt;1," ",IF(S34&lt;1," ",(S34)/$AE34))</f>
        <v xml:space="preserve"> </v>
      </c>
      <c r="U34" s="388"/>
      <c r="V34" s="337" t="str">
        <f>IF($AE34&lt;1," ",IF(U34&lt;1," ",(U34)/$AE34))</f>
        <v xml:space="preserve"> </v>
      </c>
      <c r="W34" s="388"/>
      <c r="X34" s="337" t="str">
        <f>IF($AE34&lt;1," ",IF(W34&lt;1," ",(W34)/$AE34))</f>
        <v xml:space="preserve"> </v>
      </c>
      <c r="Y34" s="388"/>
      <c r="Z34" s="337" t="str">
        <f>IF($AE34&lt;1," ",IF(Y34&lt;1," ",(Y34)/$AE34))</f>
        <v xml:space="preserve"> </v>
      </c>
      <c r="AA34" s="388"/>
      <c r="AB34" s="337" t="str">
        <f>IF($AE34&lt;1," ",IF(AA34&lt;1," ",(AA34)/$AE34))</f>
        <v xml:space="preserve"> </v>
      </c>
      <c r="AC34" s="1537">
        <f t="shared" si="2"/>
        <v>0</v>
      </c>
      <c r="AD34" s="385">
        <f t="shared" si="3"/>
        <v>0</v>
      </c>
      <c r="AE34" s="385">
        <f>'1st Interim-Summary MYP'!G37</f>
        <v>0</v>
      </c>
      <c r="AF34" s="385">
        <f t="shared" si="4"/>
        <v>0</v>
      </c>
      <c r="AG34" s="1177"/>
    </row>
    <row r="35" spans="1:34" ht="15.4" thickBot="1">
      <c r="A35" s="405" t="s">
        <v>28</v>
      </c>
      <c r="B35" s="380"/>
      <c r="C35" s="381"/>
      <c r="D35" s="1049"/>
      <c r="E35" s="762">
        <f>+SUM(E26:E34)</f>
        <v>0</v>
      </c>
      <c r="F35" s="525" t="str">
        <f>IF($AE35&lt;1," ",IF(E35&lt;1," ",(E35)/$AE35))</f>
        <v xml:space="preserve"> </v>
      </c>
      <c r="G35" s="761">
        <f>+SUM(G26:G34)</f>
        <v>0</v>
      </c>
      <c r="H35" s="525" t="str">
        <f>IF($AE35&lt;1," ",IF(G35&lt;1," ",(G35)/$AE35))</f>
        <v xml:space="preserve"> </v>
      </c>
      <c r="I35" s="761">
        <f>+SUM(I26:I34)</f>
        <v>0</v>
      </c>
      <c r="J35" s="525" t="str">
        <f>IF($AE35&lt;1," ",IF(I35&lt;1," ",(I35)/$AE35))</f>
        <v xml:space="preserve"> </v>
      </c>
      <c r="K35" s="761">
        <f>+SUM(K26:K34)</f>
        <v>0</v>
      </c>
      <c r="L35" s="512" t="str">
        <f>IF($AE35&lt;1," ",IF(K35&lt;1," ",(K35)/$AE35))</f>
        <v xml:space="preserve"> </v>
      </c>
      <c r="M35" s="762">
        <f>+SUM(M26:M34)</f>
        <v>0</v>
      </c>
      <c r="N35" s="386" t="str">
        <f>IF($AE35&lt;1," ",IF(M35&lt;1," ",(M35)/$AE35))</f>
        <v xml:space="preserve"> </v>
      </c>
      <c r="O35" s="761">
        <f>+SUM(O26:O34)</f>
        <v>0</v>
      </c>
      <c r="P35" s="525" t="str">
        <f>IF($AE35&lt;1," ",IF(O35&lt;1," ",(O35)/$AE35))</f>
        <v xml:space="preserve"> </v>
      </c>
      <c r="Q35" s="761">
        <f>+SUM(Q26:Q34)</f>
        <v>0</v>
      </c>
      <c r="R35" s="525" t="str">
        <f>IF($AE35&lt;1," ",IF(Q35&lt;1," ",(Q35)/$AE35))</f>
        <v xml:space="preserve"> </v>
      </c>
      <c r="S35" s="761">
        <f>+SUM(S26:S34)</f>
        <v>0</v>
      </c>
      <c r="T35" s="386" t="str">
        <f>IF($AE35&lt;1," ",IF(S35&lt;1," ",(S35)/$AE35))</f>
        <v xml:space="preserve"> </v>
      </c>
      <c r="U35" s="761">
        <f>+SUM(U26:U34)</f>
        <v>0</v>
      </c>
      <c r="V35" s="386" t="str">
        <f>IF($AE35&lt;1," ",IF(U35&lt;1," ",(U35)/$AE35))</f>
        <v xml:space="preserve"> </v>
      </c>
      <c r="W35" s="761">
        <f>+SUM(W26:W34)</f>
        <v>0</v>
      </c>
      <c r="X35" s="386" t="str">
        <f>IF($AE35&lt;1," ",IF(W35&lt;1," ",(W35)/$AE35))</f>
        <v xml:space="preserve"> </v>
      </c>
      <c r="Y35" s="761">
        <f>+SUM(Y26:Y34)</f>
        <v>0</v>
      </c>
      <c r="Z35" s="386" t="str">
        <f>IF($AE35&lt;1," ",IF(Y35&lt;1," ",(Y35)/$AE35))</f>
        <v xml:space="preserve"> </v>
      </c>
      <c r="AA35" s="761">
        <f>+SUM(AA26:AA34)</f>
        <v>0</v>
      </c>
      <c r="AB35" s="386" t="str">
        <f>IF($AE35&lt;1," ",IF(AA35&lt;1," ",(AA35)/$AE35))</f>
        <v xml:space="preserve"> </v>
      </c>
      <c r="AC35" s="1536">
        <f>+SUM(AC26:AC34)</f>
        <v>0</v>
      </c>
      <c r="AD35" s="763">
        <f>+SUM(AD26:AD34)</f>
        <v>0</v>
      </c>
      <c r="AE35" s="763">
        <f>+SUM(AE26:AE34)</f>
        <v>0</v>
      </c>
      <c r="AF35" s="763">
        <f>+SUM(AF26:AF34)</f>
        <v>0</v>
      </c>
      <c r="AG35" s="1177"/>
    </row>
    <row r="36" spans="1:34" ht="15">
      <c r="A36" s="406"/>
      <c r="B36" s="369"/>
      <c r="C36" s="71"/>
      <c r="D36" s="520"/>
      <c r="E36" s="75"/>
      <c r="F36" s="193"/>
      <c r="G36" s="75"/>
      <c r="H36" s="193"/>
      <c r="I36" s="75"/>
      <c r="J36" s="193"/>
      <c r="K36" s="75"/>
      <c r="L36" s="513"/>
      <c r="M36" s="75"/>
      <c r="N36" s="193"/>
      <c r="O36" s="75"/>
      <c r="P36" s="193"/>
      <c r="Q36" s="75"/>
      <c r="R36" s="193"/>
      <c r="S36" s="75"/>
      <c r="T36" s="193"/>
      <c r="U36" s="75"/>
      <c r="V36" s="193"/>
      <c r="W36" s="75"/>
      <c r="X36" s="193"/>
      <c r="Y36" s="75"/>
      <c r="Z36" s="193"/>
      <c r="AA36" s="75"/>
      <c r="AB36" s="193"/>
      <c r="AC36" s="1006"/>
      <c r="AD36" s="1006"/>
      <c r="AE36" s="1006"/>
      <c r="AF36" s="1022"/>
      <c r="AG36" s="1177"/>
    </row>
    <row r="37" spans="1:34" ht="15">
      <c r="A37" s="66" t="s">
        <v>109</v>
      </c>
      <c r="B37" s="179"/>
      <c r="C37" s="371"/>
      <c r="D37" s="1047"/>
      <c r="E37" s="516"/>
      <c r="F37" s="478"/>
      <c r="G37" s="516"/>
      <c r="H37" s="478"/>
      <c r="I37" s="516"/>
      <c r="J37" s="478"/>
      <c r="K37" s="516"/>
      <c r="L37" s="539"/>
      <c r="M37" s="516"/>
      <c r="N37" s="478"/>
      <c r="O37" s="516"/>
      <c r="P37" s="478"/>
      <c r="Q37" s="516"/>
      <c r="R37" s="478"/>
      <c r="S37" s="516"/>
      <c r="T37" s="478"/>
      <c r="U37" s="516"/>
      <c r="V37" s="478"/>
      <c r="W37" s="516"/>
      <c r="X37" s="478"/>
      <c r="Y37" s="516"/>
      <c r="Z37" s="478"/>
      <c r="AA37" s="516"/>
      <c r="AB37" s="478"/>
      <c r="AC37" s="1010"/>
      <c r="AD37" s="1010"/>
      <c r="AE37" s="1010"/>
      <c r="AF37" s="1018"/>
      <c r="AG37" s="1177"/>
    </row>
    <row r="38" spans="1:34" ht="15">
      <c r="A38" s="403" t="s">
        <v>124</v>
      </c>
      <c r="B38" s="139"/>
      <c r="C38" s="275">
        <v>8900</v>
      </c>
      <c r="D38" s="1050"/>
      <c r="E38" s="376"/>
      <c r="F38" s="524" t="str">
        <f>IF($AE38&lt;1," ",IF(E38&lt;1," ",(E38)/$AE38))</f>
        <v xml:space="preserve"> </v>
      </c>
      <c r="G38" s="388"/>
      <c r="H38" s="524" t="str">
        <f>IF($AE38&lt;1," ",IF(G38&lt;1," ",(G38)/$AE38))</f>
        <v xml:space="preserve"> </v>
      </c>
      <c r="I38" s="388"/>
      <c r="J38" s="524" t="str">
        <f>IF($AE38&lt;1," ",IF(I38&lt;1," ",(I38)/$AE38))</f>
        <v xml:space="preserve"> </v>
      </c>
      <c r="K38" s="388"/>
      <c r="L38" s="338" t="str">
        <f>IF($AE38&lt;1," ",IF(K38&lt;1," ",(K38)/$AE38))</f>
        <v xml:space="preserve"> </v>
      </c>
      <c r="M38" s="376"/>
      <c r="N38" s="337" t="str">
        <f>IF($AE38&lt;1," ",IF(M38&lt;1," ",(M38)/$AE38))</f>
        <v xml:space="preserve"> </v>
      </c>
      <c r="O38" s="388"/>
      <c r="P38" s="337" t="str">
        <f>IF($AE38&lt;1," ",IF(O38&lt;1," ",(O38)/$AE38))</f>
        <v xml:space="preserve"> </v>
      </c>
      <c r="Q38" s="388"/>
      <c r="R38" s="337" t="str">
        <f>IF($AE38&lt;1," ",IF(Q38&lt;1," ",(Q38)/$AE38))</f>
        <v xml:space="preserve"> </v>
      </c>
      <c r="S38" s="388"/>
      <c r="T38" s="337" t="str">
        <f>IF($AE38&lt;1," ",IF(S38&lt;1," ",(S38)/$AE38))</f>
        <v xml:space="preserve"> </v>
      </c>
      <c r="U38" s="388"/>
      <c r="V38" s="337" t="str">
        <f>IF($AE38&lt;1," ",IF(U38&lt;1," ",(U38)/$AE38))</f>
        <v xml:space="preserve"> </v>
      </c>
      <c r="W38" s="388"/>
      <c r="X38" s="337" t="str">
        <f>IF($AE38&lt;1," ",IF(W38&lt;1," ",(W38)/$AE38))</f>
        <v xml:space="preserve"> </v>
      </c>
      <c r="Y38" s="388"/>
      <c r="Z38" s="337" t="str">
        <f>IF($AE38&lt;1," ",IF(Y38&lt;1," ",(Y38)/$AE38))</f>
        <v xml:space="preserve"> </v>
      </c>
      <c r="AA38" s="388"/>
      <c r="AB38" s="337" t="str">
        <f>IF($AE38&lt;1," ",IF(AA38&lt;1," ",(AA38)/$AE38))</f>
        <v xml:space="preserve"> </v>
      </c>
      <c r="AC38" s="1537">
        <f>AE38-(E38+G38+I38+K38+M38+O38+Q38+S38+U38+W38+Y38+AA38)</f>
        <v>0</v>
      </c>
      <c r="AD38" s="385">
        <f>+E38+G38+I38+K38+M38+O38+Q38+S38+U38+W38+Y38+AA38+AC38</f>
        <v>0</v>
      </c>
      <c r="AE38" s="385">
        <f>'1st Interim-Summary MYP'!G43</f>
        <v>0</v>
      </c>
      <c r="AF38" s="385">
        <f>+AE38-AD38</f>
        <v>0</v>
      </c>
      <c r="AG38" s="1177"/>
    </row>
    <row r="39" spans="1:34" ht="15">
      <c r="A39" s="403" t="s">
        <v>30</v>
      </c>
      <c r="B39" s="139"/>
      <c r="C39" s="275">
        <v>7600</v>
      </c>
      <c r="D39" s="1050"/>
      <c r="E39" s="376"/>
      <c r="F39" s="524" t="str">
        <f>IF($AE39&lt;1," ",IF(E39&lt;1," ",(E39)/$AE39))</f>
        <v xml:space="preserve"> </v>
      </c>
      <c r="G39" s="388"/>
      <c r="H39" s="524" t="str">
        <f>IF($AE39&lt;1," ",IF(G39&lt;1," ",(G39)/$AE39))</f>
        <v xml:space="preserve"> </v>
      </c>
      <c r="I39" s="388"/>
      <c r="J39" s="524" t="str">
        <f>IF($AE39&lt;1," ",IF(I39&lt;1," ",(I39)/$AE39))</f>
        <v xml:space="preserve"> </v>
      </c>
      <c r="K39" s="388"/>
      <c r="L39" s="338" t="str">
        <f>IF($AE39&lt;1," ",IF(K39&lt;1," ",(K39)/$AE39))</f>
        <v xml:space="preserve"> </v>
      </c>
      <c r="M39" s="376"/>
      <c r="N39" s="337" t="str">
        <f>IF($AE39&lt;1," ",IF(M39&lt;1," ",(M39)/$AE39))</f>
        <v xml:space="preserve"> </v>
      </c>
      <c r="O39" s="388"/>
      <c r="P39" s="337" t="str">
        <f>IF($AE39&lt;1," ",IF(O39&lt;1," ",(O39)/$AE39))</f>
        <v xml:space="preserve"> </v>
      </c>
      <c r="Q39" s="388"/>
      <c r="R39" s="337" t="str">
        <f>IF($AE39&lt;1," ",IF(Q39&lt;1," ",(Q39)/$AE39))</f>
        <v xml:space="preserve"> </v>
      </c>
      <c r="S39" s="388"/>
      <c r="T39" s="337" t="str">
        <f>IF($AE39&lt;1," ",IF(S39&lt;1," ",(S39)/$AE39))</f>
        <v xml:space="preserve"> </v>
      </c>
      <c r="U39" s="388"/>
      <c r="V39" s="337" t="str">
        <f>IF($AE39&lt;1," ",IF(U39&lt;1," ",(U39)/$AE39))</f>
        <v xml:space="preserve"> </v>
      </c>
      <c r="W39" s="388"/>
      <c r="X39" s="337" t="str">
        <f>IF($AE39&lt;1," ",IF(W39&lt;1," ",(W39)/$AE39))</f>
        <v xml:space="preserve"> </v>
      </c>
      <c r="Y39" s="388"/>
      <c r="Z39" s="337" t="str">
        <f>IF($AE39&lt;1," ",IF(Y39&lt;1," ",(Y39)/$AE39))</f>
        <v xml:space="preserve"> </v>
      </c>
      <c r="AA39" s="388"/>
      <c r="AB39" s="337" t="str">
        <f>IF($AE39&lt;1," ",IF(AA39&lt;1," ",(AA39)/$AE39))</f>
        <v xml:space="preserve"> </v>
      </c>
      <c r="AC39" s="1537">
        <f>AE39-(E39+G39+I39+K39+M39+O39+Q39+S39+U39+W39+Y39+AA39)</f>
        <v>0</v>
      </c>
      <c r="AD39" s="385">
        <f>+E39+G39+I39+K39+M39+O39+Q39+S39+U39+W39+Y39+AA39+AC39</f>
        <v>0</v>
      </c>
      <c r="AE39" s="385">
        <f>'1st Interim-Summary MYP'!G44</f>
        <v>0</v>
      </c>
      <c r="AF39" s="385">
        <f>+AE39-AD39</f>
        <v>0</v>
      </c>
      <c r="AG39" s="1177"/>
    </row>
    <row r="40" spans="1:34" ht="15.4" thickBot="1">
      <c r="A40" s="407" t="s">
        <v>31</v>
      </c>
      <c r="B40" s="380"/>
      <c r="C40" s="381"/>
      <c r="D40" s="1049"/>
      <c r="E40" s="762">
        <f>+E38-E39</f>
        <v>0</v>
      </c>
      <c r="F40" s="525" t="str">
        <f>IF($AE40&lt;1," ",IF(E40&lt;1," ",(E40)/$AE40))</f>
        <v xml:space="preserve"> </v>
      </c>
      <c r="G40" s="761">
        <f>+G38-G39</f>
        <v>0</v>
      </c>
      <c r="H40" s="525" t="str">
        <f>IF($AE40&lt;1," ",IF(G40&lt;1," ",(G40)/$AE40))</f>
        <v xml:space="preserve"> </v>
      </c>
      <c r="I40" s="761">
        <f>+I38-I39</f>
        <v>0</v>
      </c>
      <c r="J40" s="525" t="str">
        <f>IF($AE40&lt;1," ",IF(I40&lt;1," ",(I40)/$AE40))</f>
        <v xml:space="preserve"> </v>
      </c>
      <c r="K40" s="761">
        <f>+K38-K39</f>
        <v>0</v>
      </c>
      <c r="L40" s="512" t="str">
        <f>IF($AE40&lt;1," ",IF(K40&lt;1," ",(K40)/$AE40))</f>
        <v xml:space="preserve"> </v>
      </c>
      <c r="M40" s="762">
        <f>+M38-M39</f>
        <v>0</v>
      </c>
      <c r="N40" s="386" t="str">
        <f>IF($AE40&lt;1," ",IF(M40&lt;1," ",(M40)/$AE40))</f>
        <v xml:space="preserve"> </v>
      </c>
      <c r="O40" s="761">
        <f>+O38-O39</f>
        <v>0</v>
      </c>
      <c r="P40" s="386" t="str">
        <f>IF($AE40&lt;1," ",IF(O40&lt;1," ",(O40)/$AE40))</f>
        <v xml:space="preserve"> </v>
      </c>
      <c r="Q40" s="761">
        <f>+Q38-Q39</f>
        <v>0</v>
      </c>
      <c r="R40" s="386" t="str">
        <f>IF($AE40&lt;1," ",IF(Q40&lt;1," ",(Q40)/$AE40))</f>
        <v xml:space="preserve"> </v>
      </c>
      <c r="S40" s="761">
        <f>+S38-S39</f>
        <v>0</v>
      </c>
      <c r="T40" s="386" t="str">
        <f>IF($AE40&lt;1," ",IF(S40&lt;1," ",(S40)/$AE40))</f>
        <v xml:space="preserve"> </v>
      </c>
      <c r="U40" s="761">
        <f>+U38-U39</f>
        <v>0</v>
      </c>
      <c r="V40" s="386" t="str">
        <f>IF($AE40&lt;1," ",IF(U40&lt;1," ",(U40)/$AE40))</f>
        <v xml:space="preserve"> </v>
      </c>
      <c r="W40" s="761">
        <f>+W38-W39</f>
        <v>0</v>
      </c>
      <c r="X40" s="386" t="str">
        <f>IF($AE40&lt;1," ",IF(W40&lt;1," ",(W40)/$AE40))</f>
        <v xml:space="preserve"> </v>
      </c>
      <c r="Y40" s="761">
        <f>+Y38-Y39</f>
        <v>0</v>
      </c>
      <c r="Z40" s="386" t="str">
        <f>IF($AE40&lt;1," ",IF(Y40&lt;1," ",(Y40)/$AE40))</f>
        <v xml:space="preserve"> </v>
      </c>
      <c r="AA40" s="761">
        <f>+AA38-AA39</f>
        <v>0</v>
      </c>
      <c r="AB40" s="386" t="str">
        <f>IF($AE40&lt;1," ",IF(AA40&lt;1," ",(AA40)/$AE40))</f>
        <v xml:space="preserve"> </v>
      </c>
      <c r="AC40" s="1536">
        <f>+AC38-AC39</f>
        <v>0</v>
      </c>
      <c r="AD40" s="763">
        <f>+AD38-AD39</f>
        <v>0</v>
      </c>
      <c r="AE40" s="763">
        <f>+AE38-AE39</f>
        <v>0</v>
      </c>
      <c r="AF40" s="763">
        <f>+AF38-AF39</f>
        <v>0</v>
      </c>
      <c r="AG40" s="1177"/>
    </row>
    <row r="41" spans="1:34" ht="15.75"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570"/>
      <c r="E44" s="506"/>
      <c r="F44" s="337" t="str">
        <f t="shared" ref="F44:T51" si="8">IF($D44&lt;1," ",IF(E44&lt;1," ",(E44)/$D44))</f>
        <v xml:space="preserve"> </v>
      </c>
      <c r="G44" s="395"/>
      <c r="H44" s="337" t="str">
        <f t="shared" ref="H44:H50" si="9">IF($D44&lt;1," ",IF(G44&lt;1," ",(G44)/$D44))</f>
        <v xml:space="preserve"> </v>
      </c>
      <c r="I44" s="395"/>
      <c r="J44" s="337" t="str">
        <f t="shared" ref="J44:J50" si="10">IF($D44&lt;1," ",IF(I44&lt;1," ",(I44)/$D44))</f>
        <v xml:space="preserve"> </v>
      </c>
      <c r="K44" s="395"/>
      <c r="L44" s="337" t="str">
        <f t="shared" ref="L44:L50" si="11">IF($D44&lt;1," ",IF(K44&lt;1," ",(K44)/$D44))</f>
        <v xml:space="preserve"> </v>
      </c>
      <c r="M44" s="395"/>
      <c r="N44" s="524" t="str">
        <f t="shared" ref="N44:N50" si="12">IF($D44&lt;1," ",IF(M44&lt;1," ",(M44)/$D44))</f>
        <v xml:space="preserve"> </v>
      </c>
      <c r="O44" s="395"/>
      <c r="P44" s="337" t="str">
        <f t="shared" ref="P44:P50" si="13">IF($D44&lt;1," ",IF(O44&lt;1," ",(O44)/$D44))</f>
        <v xml:space="preserve"> </v>
      </c>
      <c r="Q44" s="395"/>
      <c r="R44" s="524" t="str">
        <f t="shared" ref="R44:R50" si="14">IF($D44&lt;1," ",IF(Q44&lt;1," ",(Q44)/$D44))</f>
        <v xml:space="preserve"> </v>
      </c>
      <c r="S44" s="506"/>
      <c r="T44" s="337" t="str">
        <f t="shared" ref="T44:T50" si="15">IF($D44&lt;1," ",IF(S44&lt;1," ",(S44)/$D44))</f>
        <v xml:space="preserve"> </v>
      </c>
      <c r="U44" s="395"/>
      <c r="V44" s="337" t="str">
        <f t="shared" ref="V44:AB51" si="16">IF($D44&lt;1," ",IF(U44&lt;1," ",(U44)/$D44))</f>
        <v xml:space="preserve"> </v>
      </c>
      <c r="W44" s="395"/>
      <c r="X44" s="337" t="str">
        <f t="shared" ref="X44:X50" si="17">IF($D44&lt;1," ",IF(W44&lt;1," ",(W44)/$D44))</f>
        <v xml:space="preserve"> </v>
      </c>
      <c r="Y44" s="395"/>
      <c r="Z44" s="337" t="str">
        <f t="shared" ref="Z44:Z50" si="18">IF($D44&lt;1," ",IF(Y44&lt;1," ",(Y44)/$D44))</f>
        <v xml:space="preserve"> </v>
      </c>
      <c r="AA44" s="1608"/>
      <c r="AB44" s="337" t="str">
        <f t="shared" ref="AB44:AB50" si="19">IF($D44&lt;1," ",IF(AA44&lt;1," ",(AA44)/$D44))</f>
        <v xml:space="preserve"> </v>
      </c>
      <c r="AC44" s="821"/>
      <c r="AD44" s="1542">
        <f t="shared" ref="AD44:AD50" si="20">+E44+G44+I44+K44+M44+O44+Q44+S44+U44+W44+Y44+AA44</f>
        <v>0</v>
      </c>
      <c r="AE44" s="396">
        <f>D44-AD44</f>
        <v>0</v>
      </c>
      <c r="AF44" s="764"/>
      <c r="AG44" s="1543" t="str">
        <f t="shared" ref="AG44:AG51" si="21">IF(AD44=D44,"","Prior Year Transactions should be zero'd out by Year End")</f>
        <v/>
      </c>
    </row>
    <row r="45" spans="1:34" ht="15.75" customHeight="1">
      <c r="A45" s="408" t="s">
        <v>327</v>
      </c>
      <c r="B45" s="393"/>
      <c r="C45" s="614">
        <v>9210</v>
      </c>
      <c r="D45" s="1001"/>
      <c r="E45" s="394"/>
      <c r="F45" s="337" t="str">
        <f t="shared" si="8"/>
        <v xml:space="preserve"> </v>
      </c>
      <c r="G45" s="395"/>
      <c r="H45" s="337" t="str">
        <f t="shared" si="9"/>
        <v xml:space="preserve"> </v>
      </c>
      <c r="I45" s="395"/>
      <c r="J45" s="337" t="str">
        <f t="shared" si="10"/>
        <v xml:space="preserve"> </v>
      </c>
      <c r="K45" s="395"/>
      <c r="L45" s="337" t="str">
        <f t="shared" si="11"/>
        <v xml:space="preserve"> </v>
      </c>
      <c r="M45" s="395"/>
      <c r="N45" s="524" t="str">
        <f t="shared" si="12"/>
        <v xml:space="preserve"> </v>
      </c>
      <c r="O45" s="395"/>
      <c r="P45" s="337" t="str">
        <f t="shared" si="13"/>
        <v xml:space="preserve"> </v>
      </c>
      <c r="Q45" s="395"/>
      <c r="R45" s="524" t="str">
        <f t="shared" si="14"/>
        <v xml:space="preserve"> </v>
      </c>
      <c r="S45" s="506"/>
      <c r="T45" s="337" t="str">
        <f t="shared" si="15"/>
        <v xml:space="preserve"> </v>
      </c>
      <c r="U45" s="395"/>
      <c r="V45" s="337" t="str">
        <f t="shared" si="16"/>
        <v xml:space="preserve"> </v>
      </c>
      <c r="W45" s="395"/>
      <c r="X45" s="337" t="str">
        <f t="shared" si="17"/>
        <v xml:space="preserve"> </v>
      </c>
      <c r="Y45" s="395"/>
      <c r="Z45" s="337" t="str">
        <f t="shared" si="18"/>
        <v xml:space="preserve"> </v>
      </c>
      <c r="AA45" s="395"/>
      <c r="AB45" s="337" t="str">
        <f t="shared" si="19"/>
        <v xml:space="preserve"> </v>
      </c>
      <c r="AC45" s="1539"/>
      <c r="AD45" s="1542">
        <f t="shared" si="20"/>
        <v>0</v>
      </c>
      <c r="AE45" s="396">
        <f t="shared" ref="AE45:AE51" si="22">D45-AD45</f>
        <v>0</v>
      </c>
      <c r="AF45" s="764"/>
      <c r="AG45" s="1543" t="str">
        <f t="shared" si="21"/>
        <v/>
      </c>
      <c r="AH45" s="1635" t="str">
        <f>IF(AD45=D45,"","Warning - Prior Year Transactions should be zero'd out by Year End")</f>
        <v/>
      </c>
    </row>
    <row r="46" spans="1:34" ht="15">
      <c r="A46" s="408" t="s">
        <v>11</v>
      </c>
      <c r="B46" s="393"/>
      <c r="C46" s="614">
        <v>9330</v>
      </c>
      <c r="D46" s="1001"/>
      <c r="E46" s="394"/>
      <c r="F46" s="337" t="str">
        <f t="shared" si="8"/>
        <v xml:space="preserve"> </v>
      </c>
      <c r="G46" s="395"/>
      <c r="H46" s="337" t="str">
        <f t="shared" si="9"/>
        <v xml:space="preserve"> </v>
      </c>
      <c r="I46" s="395"/>
      <c r="J46" s="337" t="str">
        <f t="shared" si="10"/>
        <v xml:space="preserve"> </v>
      </c>
      <c r="K46" s="395"/>
      <c r="L46" s="337" t="str">
        <f t="shared" si="11"/>
        <v xml:space="preserve"> </v>
      </c>
      <c r="M46" s="395"/>
      <c r="N46" s="524" t="str">
        <f t="shared" si="12"/>
        <v xml:space="preserve"> </v>
      </c>
      <c r="O46" s="395"/>
      <c r="P46" s="337" t="str">
        <f t="shared" si="13"/>
        <v xml:space="preserve"> </v>
      </c>
      <c r="Q46" s="395"/>
      <c r="R46" s="524" t="str">
        <f t="shared" si="14"/>
        <v xml:space="preserve"> </v>
      </c>
      <c r="S46" s="506"/>
      <c r="T46" s="337" t="str">
        <f t="shared" si="15"/>
        <v xml:space="preserve"> </v>
      </c>
      <c r="U46" s="395"/>
      <c r="V46" s="337" t="str">
        <f t="shared" si="16"/>
        <v xml:space="preserve"> </v>
      </c>
      <c r="W46" s="395"/>
      <c r="X46" s="337" t="str">
        <f t="shared" si="17"/>
        <v xml:space="preserve"> </v>
      </c>
      <c r="Y46" s="395"/>
      <c r="Z46" s="337" t="str">
        <f t="shared" si="18"/>
        <v xml:space="preserve"> </v>
      </c>
      <c r="AA46" s="395"/>
      <c r="AB46" s="337" t="str">
        <f t="shared" si="19"/>
        <v xml:space="preserve"> </v>
      </c>
      <c r="AC46" s="1539"/>
      <c r="AD46" s="1542">
        <f>+E46+G46+I46+K46+M46+O46+Q46+S46+U46+W46+Y46+AA46</f>
        <v>0</v>
      </c>
      <c r="AE46" s="396">
        <f t="shared" si="22"/>
        <v>0</v>
      </c>
      <c r="AF46" s="764"/>
      <c r="AG46" s="1543" t="str">
        <f t="shared" si="21"/>
        <v/>
      </c>
      <c r="AH46" s="1635" t="str">
        <f>IF(AD46=D46,"","Warning - Balances should only remain if Beg Bal included Pre-Paids for multiple years.")</f>
        <v/>
      </c>
    </row>
    <row r="47" spans="1:34" ht="15">
      <c r="A47" s="408" t="s">
        <v>513</v>
      </c>
      <c r="B47" s="393"/>
      <c r="C47" s="614"/>
      <c r="D47" s="1001"/>
      <c r="E47" s="394"/>
      <c r="F47" s="337" t="str">
        <f t="shared" si="8"/>
        <v xml:space="preserve"> </v>
      </c>
      <c r="G47" s="395"/>
      <c r="H47" s="337" t="str">
        <f t="shared" si="8"/>
        <v xml:space="preserve"> </v>
      </c>
      <c r="I47" s="395"/>
      <c r="J47" s="337" t="str">
        <f t="shared" si="8"/>
        <v xml:space="preserve"> </v>
      </c>
      <c r="K47" s="395"/>
      <c r="L47" s="337" t="str">
        <f t="shared" si="8"/>
        <v xml:space="preserve"> </v>
      </c>
      <c r="M47" s="395"/>
      <c r="N47" s="524" t="str">
        <f t="shared" si="8"/>
        <v xml:space="preserve"> </v>
      </c>
      <c r="O47" s="395"/>
      <c r="P47" s="337" t="str">
        <f t="shared" si="8"/>
        <v xml:space="preserve"> </v>
      </c>
      <c r="Q47" s="395"/>
      <c r="R47" s="524" t="str">
        <f t="shared" si="8"/>
        <v xml:space="preserve"> </v>
      </c>
      <c r="S47" s="506"/>
      <c r="T47" s="337" t="str">
        <f t="shared" si="8"/>
        <v xml:space="preserve"> </v>
      </c>
      <c r="U47" s="395"/>
      <c r="V47" s="337" t="str">
        <f t="shared" si="16"/>
        <v xml:space="preserve"> </v>
      </c>
      <c r="W47" s="395"/>
      <c r="X47" s="337" t="str">
        <f t="shared" si="16"/>
        <v xml:space="preserve"> </v>
      </c>
      <c r="Y47" s="395"/>
      <c r="Z47" s="337" t="str">
        <f t="shared" si="16"/>
        <v xml:space="preserve"> </v>
      </c>
      <c r="AA47" s="395"/>
      <c r="AB47" s="337" t="str">
        <f t="shared" si="16"/>
        <v xml:space="preserve"> </v>
      </c>
      <c r="AC47" s="1539"/>
      <c r="AD47" s="1542">
        <f>+E47+G47+I47+K47+M47+O47+Q47+S47+U47+W47+Y47+AA47</f>
        <v>0</v>
      </c>
      <c r="AE47" s="396">
        <f t="shared" si="22"/>
        <v>0</v>
      </c>
      <c r="AF47" s="764"/>
      <c r="AG47" s="1543"/>
      <c r="AH47" s="1635"/>
    </row>
    <row r="48" spans="1:34" ht="15">
      <c r="A48" s="408" t="s">
        <v>328</v>
      </c>
      <c r="B48" s="393"/>
      <c r="C48" s="614">
        <v>9510</v>
      </c>
      <c r="D48" s="1001"/>
      <c r="E48" s="394"/>
      <c r="F48" s="337" t="str">
        <f t="shared" si="8"/>
        <v xml:space="preserve"> </v>
      </c>
      <c r="G48" s="395"/>
      <c r="H48" s="337" t="str">
        <f t="shared" si="9"/>
        <v xml:space="preserve"> </v>
      </c>
      <c r="I48" s="395"/>
      <c r="J48" s="337" t="str">
        <f t="shared" si="10"/>
        <v xml:space="preserve"> </v>
      </c>
      <c r="K48" s="395"/>
      <c r="L48" s="337" t="str">
        <f t="shared" si="11"/>
        <v xml:space="preserve"> </v>
      </c>
      <c r="M48" s="395"/>
      <c r="N48" s="524" t="str">
        <f t="shared" si="12"/>
        <v xml:space="preserve"> </v>
      </c>
      <c r="O48" s="395"/>
      <c r="P48" s="337" t="str">
        <f t="shared" si="13"/>
        <v xml:space="preserve"> </v>
      </c>
      <c r="Q48" s="395"/>
      <c r="R48" s="524" t="str">
        <f t="shared" si="14"/>
        <v xml:space="preserve"> </v>
      </c>
      <c r="S48" s="506"/>
      <c r="T48" s="337" t="str">
        <f t="shared" si="15"/>
        <v xml:space="preserve"> </v>
      </c>
      <c r="U48" s="395"/>
      <c r="V48" s="337" t="str">
        <f t="shared" si="16"/>
        <v xml:space="preserve"> </v>
      </c>
      <c r="W48" s="395"/>
      <c r="X48" s="337" t="str">
        <f t="shared" si="17"/>
        <v xml:space="preserve"> </v>
      </c>
      <c r="Y48" s="395"/>
      <c r="Z48" s="337" t="str">
        <f t="shared" si="18"/>
        <v xml:space="preserve"> </v>
      </c>
      <c r="AA48" s="395"/>
      <c r="AB48" s="337" t="str">
        <f t="shared" si="19"/>
        <v xml:space="preserve"> </v>
      </c>
      <c r="AC48" s="1539"/>
      <c r="AD48" s="1542">
        <f t="shared" si="20"/>
        <v>0</v>
      </c>
      <c r="AE48" s="396">
        <f t="shared" si="22"/>
        <v>0</v>
      </c>
      <c r="AF48" s="764"/>
      <c r="AG48" s="1543" t="str">
        <f t="shared" si="21"/>
        <v/>
      </c>
      <c r="AH48" s="1635" t="str">
        <f>IF(AD48=D48,"","Warning - Prior Year Transactions should be zero'd out by Year End")</f>
        <v/>
      </c>
    </row>
    <row r="49" spans="1:34" ht="15">
      <c r="A49" s="408" t="s">
        <v>329</v>
      </c>
      <c r="B49" s="393"/>
      <c r="C49" s="615">
        <v>9640</v>
      </c>
      <c r="D49" s="1002"/>
      <c r="E49" s="394"/>
      <c r="F49" s="337" t="str">
        <f t="shared" si="8"/>
        <v xml:space="preserve"> </v>
      </c>
      <c r="G49" s="395"/>
      <c r="H49" s="337" t="str">
        <f t="shared" si="9"/>
        <v xml:space="preserve"> </v>
      </c>
      <c r="I49" s="395"/>
      <c r="J49" s="337" t="str">
        <f t="shared" si="10"/>
        <v xml:space="preserve"> </v>
      </c>
      <c r="K49" s="395"/>
      <c r="L49" s="337" t="str">
        <f t="shared" si="11"/>
        <v xml:space="preserve"> </v>
      </c>
      <c r="M49" s="395"/>
      <c r="N49" s="524" t="str">
        <f t="shared" si="12"/>
        <v xml:space="preserve"> </v>
      </c>
      <c r="O49" s="395"/>
      <c r="P49" s="337" t="str">
        <f t="shared" si="13"/>
        <v xml:space="preserve"> </v>
      </c>
      <c r="Q49" s="395"/>
      <c r="R49" s="524" t="str">
        <f t="shared" si="14"/>
        <v xml:space="preserve"> </v>
      </c>
      <c r="S49" s="506"/>
      <c r="T49" s="337" t="str">
        <f t="shared" si="15"/>
        <v xml:space="preserve"> </v>
      </c>
      <c r="U49" s="395"/>
      <c r="V49" s="337" t="str">
        <f t="shared" si="16"/>
        <v xml:space="preserve"> </v>
      </c>
      <c r="W49" s="395"/>
      <c r="X49" s="337" t="str">
        <f t="shared" si="17"/>
        <v xml:space="preserve"> </v>
      </c>
      <c r="Y49" s="395"/>
      <c r="Z49" s="337" t="str">
        <f t="shared" si="18"/>
        <v xml:space="preserve"> </v>
      </c>
      <c r="AA49" s="395"/>
      <c r="AB49" s="337" t="str">
        <f t="shared" si="19"/>
        <v xml:space="preserve"> </v>
      </c>
      <c r="AC49" s="1539"/>
      <c r="AD49" s="1542">
        <f t="shared" si="20"/>
        <v>0</v>
      </c>
      <c r="AE49" s="396">
        <f t="shared" si="22"/>
        <v>0</v>
      </c>
      <c r="AF49" s="764"/>
      <c r="AG49" s="1543" t="str">
        <f t="shared" si="21"/>
        <v/>
      </c>
      <c r="AH49" s="1635" t="str">
        <f>IF(AD49=D49,"","Warning - Review ending balance to ensure it is payable in the subsequent year.")</f>
        <v/>
      </c>
    </row>
    <row r="50" spans="1:34" ht="15">
      <c r="A50" s="408" t="s">
        <v>330</v>
      </c>
      <c r="B50" s="393"/>
      <c r="C50" s="614">
        <v>9650</v>
      </c>
      <c r="D50" s="1001"/>
      <c r="E50" s="394"/>
      <c r="F50" s="337" t="str">
        <f t="shared" si="8"/>
        <v xml:space="preserve"> </v>
      </c>
      <c r="G50" s="395"/>
      <c r="H50" s="337" t="str">
        <f t="shared" si="9"/>
        <v xml:space="preserve"> </v>
      </c>
      <c r="I50" s="395"/>
      <c r="J50" s="337" t="str">
        <f t="shared" si="10"/>
        <v xml:space="preserve"> </v>
      </c>
      <c r="K50" s="395"/>
      <c r="L50" s="337" t="str">
        <f t="shared" si="11"/>
        <v xml:space="preserve"> </v>
      </c>
      <c r="M50" s="395"/>
      <c r="N50" s="524" t="str">
        <f t="shared" si="12"/>
        <v xml:space="preserve"> </v>
      </c>
      <c r="O50" s="395"/>
      <c r="P50" s="337" t="str">
        <f t="shared" si="13"/>
        <v xml:space="preserve"> </v>
      </c>
      <c r="Q50" s="395"/>
      <c r="R50" s="524" t="str">
        <f t="shared" si="14"/>
        <v xml:space="preserve"> </v>
      </c>
      <c r="S50" s="506"/>
      <c r="T50" s="337" t="str">
        <f t="shared" si="15"/>
        <v xml:space="preserve"> </v>
      </c>
      <c r="U50" s="395"/>
      <c r="V50" s="337" t="str">
        <f t="shared" si="16"/>
        <v xml:space="preserve"> </v>
      </c>
      <c r="W50" s="395"/>
      <c r="X50" s="337" t="str">
        <f t="shared" si="17"/>
        <v xml:space="preserve"> </v>
      </c>
      <c r="Y50" s="395"/>
      <c r="Z50" s="337" t="str">
        <f t="shared" si="18"/>
        <v xml:space="preserve"> </v>
      </c>
      <c r="AA50" s="395"/>
      <c r="AB50" s="337" t="str">
        <f t="shared" si="19"/>
        <v xml:space="preserve"> </v>
      </c>
      <c r="AC50" s="1539"/>
      <c r="AD50" s="1542">
        <f t="shared" si="20"/>
        <v>0</v>
      </c>
      <c r="AE50" s="396">
        <f t="shared" si="22"/>
        <v>0</v>
      </c>
      <c r="AF50" s="764"/>
      <c r="AG50" s="1543" t="str">
        <f t="shared" si="21"/>
        <v/>
      </c>
      <c r="AH50" s="1635" t="str">
        <f>IF(AD50=D50,"","Warning - Balances should only remain if Beg Bal included Deferrals for multiple years.")</f>
        <v/>
      </c>
    </row>
    <row r="51" spans="1:34" ht="15">
      <c r="A51" s="408" t="s">
        <v>514</v>
      </c>
      <c r="B51" s="393"/>
      <c r="C51" s="614"/>
      <c r="D51" s="1001"/>
      <c r="E51" s="394"/>
      <c r="F51" s="337" t="str">
        <f t="shared" si="8"/>
        <v xml:space="preserve"> </v>
      </c>
      <c r="G51" s="395"/>
      <c r="H51" s="337" t="str">
        <f t="shared" si="8"/>
        <v xml:space="preserve"> </v>
      </c>
      <c r="I51" s="395"/>
      <c r="J51" s="337" t="str">
        <f t="shared" si="8"/>
        <v xml:space="preserve"> </v>
      </c>
      <c r="K51" s="395"/>
      <c r="L51" s="337" t="str">
        <f t="shared" si="8"/>
        <v xml:space="preserve"> </v>
      </c>
      <c r="M51" s="395"/>
      <c r="N51" s="524" t="str">
        <f t="shared" si="8"/>
        <v xml:space="preserve"> </v>
      </c>
      <c r="O51" s="395"/>
      <c r="P51" s="337" t="str">
        <f t="shared" si="8"/>
        <v xml:space="preserve"> </v>
      </c>
      <c r="Q51" s="395"/>
      <c r="R51" s="524" t="str">
        <f t="shared" si="8"/>
        <v xml:space="preserve"> </v>
      </c>
      <c r="S51" s="506"/>
      <c r="T51" s="337" t="str">
        <f t="shared" si="8"/>
        <v xml:space="preserve"> </v>
      </c>
      <c r="U51" s="395"/>
      <c r="V51" s="337" t="str">
        <f t="shared" si="16"/>
        <v xml:space="preserve"> </v>
      </c>
      <c r="W51" s="395"/>
      <c r="X51" s="337" t="str">
        <f t="shared" si="16"/>
        <v xml:space="preserve"> </v>
      </c>
      <c r="Y51" s="395"/>
      <c r="Z51" s="337" t="str">
        <f t="shared" si="16"/>
        <v xml:space="preserve"> </v>
      </c>
      <c r="AA51" s="395"/>
      <c r="AB51" s="337" t="str">
        <f t="shared" si="16"/>
        <v xml:space="preserve"> </v>
      </c>
      <c r="AC51" s="1539"/>
      <c r="AD51" s="1542">
        <f>+E51+G51+I51+K51+M51+O51+Q51+S51+U51+W51+Y51+AA51</f>
        <v>0</v>
      </c>
      <c r="AE51" s="396">
        <f t="shared" si="22"/>
        <v>0</v>
      </c>
      <c r="AF51" s="764"/>
      <c r="AG51" s="1543" t="str">
        <f t="shared" si="21"/>
        <v/>
      </c>
      <c r="AH51" s="1635"/>
    </row>
    <row r="52" spans="1:34" ht="15.4" thickBot="1">
      <c r="A52" s="69" t="s">
        <v>511</v>
      </c>
      <c r="B52" s="367"/>
      <c r="C52" s="70"/>
      <c r="D52" s="1051">
        <f>D44+D45+D46+D47-D48-D49-D50-D51</f>
        <v>0</v>
      </c>
      <c r="E52" s="762">
        <f>E44+E45+E46+E47-E48-E49-E50-E51</f>
        <v>0</v>
      </c>
      <c r="F52" s="530"/>
      <c r="G52" s="762">
        <f>G44+G45+G46+G47-G48-G49-G50-G51</f>
        <v>0</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763">
        <f>AD44+AD45+AD46+AD47-AD48-AD49-AD50-AD51</f>
        <v>0</v>
      </c>
      <c r="AE52" s="763">
        <f>AE44+AE45+AE46+AE47-AE48-AE49-AE50-AE51</f>
        <v>0</v>
      </c>
      <c r="AF52" s="764"/>
      <c r="AH52" s="134"/>
    </row>
    <row r="53" spans="1:34" ht="31.5" customHeight="1">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F61" si="23">IF($AE55&lt;1," ",IF(E55&lt;1," ",(E55)/$AE55))</f>
        <v xml:space="preserve"> </v>
      </c>
      <c r="G55" s="395"/>
      <c r="H55" s="337" t="str">
        <f t="shared" ref="H55:H61" si="24">IF($AE55&lt;1," ",IF(G55&lt;1," ",(G55)/$AE55))</f>
        <v xml:space="preserve"> </v>
      </c>
      <c r="I55" s="395"/>
      <c r="J55" s="337" t="str">
        <f t="shared" ref="J55:J61" si="25">IF($AE55&lt;1," ",IF(I55&lt;1," ",(I55)/$AE55))</f>
        <v xml:space="preserve"> </v>
      </c>
      <c r="K55" s="395"/>
      <c r="L55" s="337" t="str">
        <f t="shared" ref="L55:L61" si="26">IF($AE55&lt;1," ",IF(K55&lt;1," ",(K55)/$AE55))</f>
        <v xml:space="preserve"> </v>
      </c>
      <c r="M55" s="395"/>
      <c r="N55" s="524" t="str">
        <f t="shared" ref="N55:N61" si="27">IF($AE55&lt;1," ",IF(M55&lt;1," ",(M55)/$AE55))</f>
        <v xml:space="preserve"> </v>
      </c>
      <c r="O55" s="395"/>
      <c r="P55" s="337" t="str">
        <f t="shared" ref="P55:P61" si="28">IF($AE55&lt;1," ",IF(O55&lt;1," ",(O55)/$AE55))</f>
        <v xml:space="preserve"> </v>
      </c>
      <c r="Q55" s="395"/>
      <c r="R55" s="524" t="str">
        <f t="shared" ref="R55:R61" si="29">IF($AE55&lt;1," ",IF(Q55&lt;1," ",(Q55)/$AE55))</f>
        <v xml:space="preserve"> </v>
      </c>
      <c r="S55" s="506"/>
      <c r="T55" s="337" t="str">
        <f t="shared" ref="T55:T61" si="30">IF($AE55&lt;1," ",IF(S55&lt;1," ",(S55)/$AE55))</f>
        <v xml:space="preserve"> </v>
      </c>
      <c r="U55" s="395"/>
      <c r="V55" s="337" t="str">
        <f t="shared" ref="V55:V61" si="31">IF($AE55&lt;1," ",IF(U55&lt;1," ",(U55)/$AE55))</f>
        <v xml:space="preserve"> </v>
      </c>
      <c r="W55" s="395"/>
      <c r="X55" s="337" t="str">
        <f t="shared" ref="X55:X61" si="32">IF($AE55&lt;1," ",IF(W55&lt;1," ",(W55)/$AE55))</f>
        <v xml:space="preserve"> </v>
      </c>
      <c r="Y55" s="395"/>
      <c r="Z55" s="337" t="str">
        <f t="shared" ref="Z55:Z61" si="33">IF($AE55&lt;1," ",IF(Y55&lt;1," ",(Y55)/$AE55))</f>
        <v xml:space="preserve"> </v>
      </c>
      <c r="AA55" s="395"/>
      <c r="AB55" s="337" t="str">
        <f t="shared" ref="AB55:AB61" si="34">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si="23"/>
        <v xml:space="preserve"> </v>
      </c>
      <c r="G56" s="395"/>
      <c r="H56" s="337" t="str">
        <f t="shared" si="24"/>
        <v xml:space="preserve"> </v>
      </c>
      <c r="I56" s="395"/>
      <c r="J56" s="337" t="str">
        <f t="shared" si="25"/>
        <v xml:space="preserve"> </v>
      </c>
      <c r="K56" s="395"/>
      <c r="L56" s="337" t="str">
        <f t="shared" si="26"/>
        <v xml:space="preserve"> </v>
      </c>
      <c r="M56" s="395"/>
      <c r="N56" s="524" t="str">
        <f t="shared" si="27"/>
        <v xml:space="preserve"> </v>
      </c>
      <c r="O56" s="395"/>
      <c r="P56" s="337" t="str">
        <f t="shared" si="28"/>
        <v xml:space="preserve"> </v>
      </c>
      <c r="Q56" s="395"/>
      <c r="R56" s="524" t="str">
        <f t="shared" si="29"/>
        <v xml:space="preserve"> </v>
      </c>
      <c r="S56" s="506"/>
      <c r="T56" s="337" t="str">
        <f t="shared" si="30"/>
        <v xml:space="preserve"> </v>
      </c>
      <c r="U56" s="395"/>
      <c r="V56" s="337" t="str">
        <f t="shared" si="31"/>
        <v xml:space="preserve"> </v>
      </c>
      <c r="W56" s="395"/>
      <c r="X56" s="337" t="str">
        <f t="shared" si="32"/>
        <v xml:space="preserve"> </v>
      </c>
      <c r="Y56" s="395"/>
      <c r="Z56" s="337" t="str">
        <f t="shared" si="33"/>
        <v xml:space="preserve"> </v>
      </c>
      <c r="AA56" s="395"/>
      <c r="AB56" s="337" t="str">
        <f t="shared" si="34"/>
        <v xml:space="preserve"> </v>
      </c>
      <c r="AC56" s="1539"/>
      <c r="AD56" s="1630">
        <f t="shared" ref="AD56:AD61" si="35">E56+G56+I56+K56+M56+O56+Q56+S56+U56+W56+Y56+AA56+AC56</f>
        <v>0</v>
      </c>
      <c r="AE56" s="1631">
        <f t="shared" ref="AE56:AE61" si="36">D56-AD56</f>
        <v>0</v>
      </c>
      <c r="AF56" s="764"/>
      <c r="AG56" s="1177"/>
    </row>
    <row r="57" spans="1:34" ht="15">
      <c r="A57" s="1832"/>
      <c r="B57" s="1833"/>
      <c r="C57" s="374"/>
      <c r="D57" s="1570"/>
      <c r="E57" s="394"/>
      <c r="F57" s="337" t="str">
        <f t="shared" si="23"/>
        <v xml:space="preserve"> </v>
      </c>
      <c r="G57" s="395"/>
      <c r="H57" s="337" t="str">
        <f t="shared" si="24"/>
        <v xml:space="preserve"> </v>
      </c>
      <c r="I57" s="395"/>
      <c r="J57" s="337" t="str">
        <f t="shared" si="25"/>
        <v xml:space="preserve"> </v>
      </c>
      <c r="K57" s="395"/>
      <c r="L57" s="337" t="str">
        <f t="shared" si="26"/>
        <v xml:space="preserve"> </v>
      </c>
      <c r="M57" s="395"/>
      <c r="N57" s="524" t="str">
        <f t="shared" si="27"/>
        <v xml:space="preserve"> </v>
      </c>
      <c r="O57" s="395"/>
      <c r="P57" s="337" t="str">
        <f t="shared" si="28"/>
        <v xml:space="preserve"> </v>
      </c>
      <c r="Q57" s="395"/>
      <c r="R57" s="524" t="str">
        <f t="shared" si="29"/>
        <v xml:space="preserve"> </v>
      </c>
      <c r="S57" s="506"/>
      <c r="T57" s="337" t="str">
        <f t="shared" si="30"/>
        <v xml:space="preserve"> </v>
      </c>
      <c r="U57" s="395"/>
      <c r="V57" s="337" t="str">
        <f t="shared" si="31"/>
        <v xml:space="preserve"> </v>
      </c>
      <c r="W57" s="395"/>
      <c r="X57" s="337" t="str">
        <f t="shared" si="32"/>
        <v xml:space="preserve"> </v>
      </c>
      <c r="Y57" s="395"/>
      <c r="Z57" s="337" t="str">
        <f t="shared" si="33"/>
        <v xml:space="preserve"> </v>
      </c>
      <c r="AA57" s="395"/>
      <c r="AB57" s="337" t="str">
        <f t="shared" si="34"/>
        <v xml:space="preserve"> </v>
      </c>
      <c r="AC57" s="1539"/>
      <c r="AD57" s="1630">
        <f t="shared" si="35"/>
        <v>0</v>
      </c>
      <c r="AE57" s="1631">
        <f t="shared" si="36"/>
        <v>0</v>
      </c>
      <c r="AF57" s="765"/>
      <c r="AG57" s="1177"/>
    </row>
    <row r="58" spans="1:34" ht="15">
      <c r="A58" s="1832"/>
      <c r="B58" s="1833"/>
      <c r="C58" s="374"/>
      <c r="D58" s="1570"/>
      <c r="E58" s="394"/>
      <c r="F58" s="337" t="str">
        <f t="shared" si="23"/>
        <v xml:space="preserve"> </v>
      </c>
      <c r="G58" s="395"/>
      <c r="H58" s="337" t="str">
        <f t="shared" si="24"/>
        <v xml:space="preserve"> </v>
      </c>
      <c r="I58" s="395"/>
      <c r="J58" s="337" t="str">
        <f t="shared" si="25"/>
        <v xml:space="preserve"> </v>
      </c>
      <c r="K58" s="395"/>
      <c r="L58" s="337" t="str">
        <f t="shared" si="26"/>
        <v xml:space="preserve"> </v>
      </c>
      <c r="M58" s="395"/>
      <c r="N58" s="524" t="str">
        <f t="shared" si="27"/>
        <v xml:space="preserve"> </v>
      </c>
      <c r="O58" s="395"/>
      <c r="P58" s="337" t="str">
        <f t="shared" si="28"/>
        <v xml:space="preserve"> </v>
      </c>
      <c r="Q58" s="395"/>
      <c r="R58" s="524" t="str">
        <f t="shared" si="29"/>
        <v xml:space="preserve"> </v>
      </c>
      <c r="S58" s="506"/>
      <c r="T58" s="337" t="str">
        <f t="shared" si="30"/>
        <v xml:space="preserve"> </v>
      </c>
      <c r="U58" s="395"/>
      <c r="V58" s="337" t="str">
        <f t="shared" si="31"/>
        <v xml:space="preserve"> </v>
      </c>
      <c r="W58" s="395"/>
      <c r="X58" s="337" t="str">
        <f t="shared" si="32"/>
        <v xml:space="preserve"> </v>
      </c>
      <c r="Y58" s="395"/>
      <c r="Z58" s="337" t="str">
        <f t="shared" si="33"/>
        <v xml:space="preserve"> </v>
      </c>
      <c r="AA58" s="395"/>
      <c r="AB58" s="337" t="str">
        <f t="shared" si="34"/>
        <v xml:space="preserve"> </v>
      </c>
      <c r="AC58" s="1539"/>
      <c r="AD58" s="1630">
        <f t="shared" si="35"/>
        <v>0</v>
      </c>
      <c r="AE58" s="1631">
        <f t="shared" si="36"/>
        <v>0</v>
      </c>
      <c r="AF58" s="765"/>
      <c r="AG58" s="1177"/>
    </row>
    <row r="59" spans="1:34" ht="15">
      <c r="A59" s="1832"/>
      <c r="B59" s="1833"/>
      <c r="C59" s="374"/>
      <c r="D59" s="1570"/>
      <c r="E59" s="394"/>
      <c r="F59" s="337" t="str">
        <f t="shared" si="23"/>
        <v xml:space="preserve"> </v>
      </c>
      <c r="G59" s="395"/>
      <c r="H59" s="337" t="str">
        <f t="shared" si="24"/>
        <v xml:space="preserve"> </v>
      </c>
      <c r="I59" s="395"/>
      <c r="J59" s="337" t="str">
        <f t="shared" si="25"/>
        <v xml:space="preserve"> </v>
      </c>
      <c r="K59" s="395"/>
      <c r="L59" s="337" t="str">
        <f t="shared" si="26"/>
        <v xml:space="preserve"> </v>
      </c>
      <c r="M59" s="395"/>
      <c r="N59" s="524" t="str">
        <f t="shared" si="27"/>
        <v xml:space="preserve"> </v>
      </c>
      <c r="O59" s="395"/>
      <c r="P59" s="337" t="str">
        <f t="shared" si="28"/>
        <v xml:space="preserve"> </v>
      </c>
      <c r="Q59" s="395"/>
      <c r="R59" s="524" t="str">
        <f t="shared" si="29"/>
        <v xml:space="preserve"> </v>
      </c>
      <c r="S59" s="506"/>
      <c r="T59" s="337" t="str">
        <f t="shared" si="30"/>
        <v xml:space="preserve"> </v>
      </c>
      <c r="U59" s="395"/>
      <c r="V59" s="337" t="str">
        <f t="shared" si="31"/>
        <v xml:space="preserve"> </v>
      </c>
      <c r="W59" s="395"/>
      <c r="X59" s="337" t="str">
        <f t="shared" si="32"/>
        <v xml:space="preserve"> </v>
      </c>
      <c r="Y59" s="395"/>
      <c r="Z59" s="337" t="str">
        <f t="shared" si="33"/>
        <v xml:space="preserve"> </v>
      </c>
      <c r="AA59" s="395"/>
      <c r="AB59" s="337" t="str">
        <f t="shared" si="34"/>
        <v xml:space="preserve"> </v>
      </c>
      <c r="AC59" s="1539"/>
      <c r="AD59" s="1630">
        <f t="shared" si="35"/>
        <v>0</v>
      </c>
      <c r="AE59" s="1631">
        <f t="shared" si="36"/>
        <v>0</v>
      </c>
      <c r="AF59" s="765"/>
      <c r="AG59" s="1177"/>
    </row>
    <row r="60" spans="1:34" ht="15">
      <c r="A60" s="1832"/>
      <c r="B60" s="1833"/>
      <c r="C60" s="374"/>
      <c r="D60" s="1570"/>
      <c r="E60" s="394"/>
      <c r="F60" s="337" t="str">
        <f t="shared" si="23"/>
        <v xml:space="preserve"> </v>
      </c>
      <c r="G60" s="395"/>
      <c r="H60" s="337" t="str">
        <f t="shared" si="24"/>
        <v xml:space="preserve"> </v>
      </c>
      <c r="I60" s="395"/>
      <c r="J60" s="337" t="str">
        <f t="shared" si="25"/>
        <v xml:space="preserve"> </v>
      </c>
      <c r="K60" s="395"/>
      <c r="L60" s="337" t="str">
        <f t="shared" si="26"/>
        <v xml:space="preserve"> </v>
      </c>
      <c r="M60" s="395"/>
      <c r="N60" s="524" t="str">
        <f t="shared" si="27"/>
        <v xml:space="preserve"> </v>
      </c>
      <c r="O60" s="395"/>
      <c r="P60" s="337" t="str">
        <f t="shared" si="28"/>
        <v xml:space="preserve"> </v>
      </c>
      <c r="Q60" s="395"/>
      <c r="R60" s="524" t="str">
        <f t="shared" si="29"/>
        <v xml:space="preserve"> </v>
      </c>
      <c r="S60" s="506"/>
      <c r="T60" s="337" t="str">
        <f t="shared" si="30"/>
        <v xml:space="preserve"> </v>
      </c>
      <c r="U60" s="395"/>
      <c r="V60" s="337" t="str">
        <f t="shared" si="31"/>
        <v xml:space="preserve"> </v>
      </c>
      <c r="W60" s="395"/>
      <c r="X60" s="337" t="str">
        <f t="shared" si="32"/>
        <v xml:space="preserve"> </v>
      </c>
      <c r="Y60" s="395"/>
      <c r="Z60" s="337" t="str">
        <f t="shared" si="33"/>
        <v xml:space="preserve"> </v>
      </c>
      <c r="AA60" s="395"/>
      <c r="AB60" s="337" t="str">
        <f t="shared" si="34"/>
        <v xml:space="preserve"> </v>
      </c>
      <c r="AC60" s="1539"/>
      <c r="AD60" s="1630">
        <f t="shared" si="35"/>
        <v>0</v>
      </c>
      <c r="AE60" s="1631">
        <f t="shared" si="36"/>
        <v>0</v>
      </c>
      <c r="AF60" s="765"/>
      <c r="AG60" s="1177"/>
    </row>
    <row r="61" spans="1:34" ht="15">
      <c r="A61" s="1832"/>
      <c r="B61" s="1833"/>
      <c r="C61" s="374"/>
      <c r="D61" s="1570"/>
      <c r="E61" s="394"/>
      <c r="F61" s="337" t="str">
        <f t="shared" si="23"/>
        <v xml:space="preserve"> </v>
      </c>
      <c r="G61" s="395"/>
      <c r="H61" s="337" t="str">
        <f t="shared" si="24"/>
        <v xml:space="preserve"> </v>
      </c>
      <c r="I61" s="395"/>
      <c r="J61" s="337" t="str">
        <f t="shared" si="25"/>
        <v xml:space="preserve"> </v>
      </c>
      <c r="K61" s="395"/>
      <c r="L61" s="337" t="str">
        <f t="shared" si="26"/>
        <v xml:space="preserve"> </v>
      </c>
      <c r="M61" s="395"/>
      <c r="N61" s="524" t="str">
        <f t="shared" si="27"/>
        <v xml:space="preserve"> </v>
      </c>
      <c r="O61" s="395"/>
      <c r="P61" s="337" t="str">
        <f t="shared" si="28"/>
        <v xml:space="preserve"> </v>
      </c>
      <c r="Q61" s="395"/>
      <c r="R61" s="524" t="str">
        <f t="shared" si="29"/>
        <v xml:space="preserve"> </v>
      </c>
      <c r="S61" s="506"/>
      <c r="T61" s="337" t="str">
        <f t="shared" si="30"/>
        <v xml:space="preserve"> </v>
      </c>
      <c r="U61" s="395"/>
      <c r="V61" s="337" t="str">
        <f t="shared" si="31"/>
        <v xml:space="preserve"> </v>
      </c>
      <c r="W61" s="395"/>
      <c r="X61" s="337" t="str">
        <f t="shared" si="32"/>
        <v xml:space="preserve"> </v>
      </c>
      <c r="Y61" s="395"/>
      <c r="Z61" s="337" t="str">
        <f t="shared" si="33"/>
        <v xml:space="preserve"> </v>
      </c>
      <c r="AA61" s="395"/>
      <c r="AB61" s="337" t="str">
        <f t="shared" si="34"/>
        <v xml:space="preserve"> </v>
      </c>
      <c r="AC61" s="1539"/>
      <c r="AD61" s="1630">
        <f t="shared" si="35"/>
        <v>0</v>
      </c>
      <c r="AE61" s="1631">
        <f t="shared" si="36"/>
        <v>0</v>
      </c>
      <c r="AF61" s="765"/>
      <c r="AG61" s="1177"/>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row>
    <row r="63" spans="1:34" ht="15">
      <c r="A63" s="68"/>
      <c r="B63" s="181"/>
      <c r="C63" s="23"/>
      <c r="D63" s="521"/>
      <c r="E63" s="1029"/>
      <c r="F63" s="531"/>
      <c r="G63" s="390"/>
      <c r="H63" s="531"/>
      <c r="I63" s="390"/>
      <c r="J63" s="531"/>
      <c r="K63" s="390"/>
      <c r="L63" s="309"/>
      <c r="M63" s="1029"/>
      <c r="N63" s="1031"/>
      <c r="O63" s="390"/>
      <c r="P63" s="51"/>
      <c r="Q63" s="390"/>
      <c r="R63" s="531"/>
      <c r="S63" s="390"/>
      <c r="T63" s="51"/>
      <c r="U63" s="390"/>
      <c r="V63" s="51"/>
      <c r="W63" s="390"/>
      <c r="X63" s="51"/>
      <c r="Y63" s="390"/>
      <c r="Z63" s="51"/>
      <c r="AA63" s="390"/>
      <c r="AB63" s="51"/>
      <c r="AC63" s="1540"/>
      <c r="AD63" s="1018"/>
      <c r="AE63" s="1019"/>
      <c r="AF63" s="1024"/>
      <c r="AG63" s="1177"/>
    </row>
    <row r="64" spans="1:34" ht="15.4" thickBot="1">
      <c r="A64" s="397" t="s">
        <v>112</v>
      </c>
      <c r="B64" s="398"/>
      <c r="C64" s="374"/>
      <c r="D64" s="1044"/>
      <c r="E64" s="762">
        <f>+E23-E35+E40+E52+E62</f>
        <v>0</v>
      </c>
      <c r="F64" s="526"/>
      <c r="G64" s="761">
        <f>+G23-G35+G40+G52+G62</f>
        <v>0</v>
      </c>
      <c r="H64" s="526"/>
      <c r="I64" s="761">
        <f>+I23-I35+I40+I52+I62</f>
        <v>0</v>
      </c>
      <c r="J64" s="526"/>
      <c r="K64" s="761">
        <f>+K23-K35+K40+K52+K62</f>
        <v>0</v>
      </c>
      <c r="L64" s="510"/>
      <c r="M64" s="762">
        <f>+M23-M35+M40+M52+M62</f>
        <v>0</v>
      </c>
      <c r="N64" s="382"/>
      <c r="O64" s="761">
        <f>+O23-O35+O40+O52+O62</f>
        <v>0</v>
      </c>
      <c r="P64" s="382"/>
      <c r="Q64" s="761">
        <f>+Q23-Q35+Q40+Q52+Q62</f>
        <v>0</v>
      </c>
      <c r="R64" s="526"/>
      <c r="S64" s="761">
        <f>+S23-S35+S40+S52+S62</f>
        <v>0</v>
      </c>
      <c r="T64" s="382"/>
      <c r="U64" s="761">
        <f>+U23-U35+U40+U52+U62</f>
        <v>0</v>
      </c>
      <c r="V64" s="382"/>
      <c r="W64" s="761">
        <f>+W23-W35+W40+W52+W62</f>
        <v>0</v>
      </c>
      <c r="X64" s="382"/>
      <c r="Y64" s="761">
        <f>+Y23-Y35+Y40+Y52+Y62</f>
        <v>0</v>
      </c>
      <c r="Z64" s="382"/>
      <c r="AA64" s="761">
        <f>+AA23-AA35+AA40+AA52+AA62</f>
        <v>0</v>
      </c>
      <c r="AB64" s="382"/>
      <c r="AC64" s="1536" t="e">
        <f>+AC23-AC35+AC40+AC52+AC62</f>
        <v>#VALUE!</v>
      </c>
      <c r="AD64" s="1629" t="e">
        <f>+AD23-AD35+AD40+AD52+AD62</f>
        <v>#VALUE!</v>
      </c>
      <c r="AE64" s="766"/>
      <c r="AF64" s="767"/>
      <c r="AG64" s="1177"/>
    </row>
    <row r="65" spans="1:33" ht="15.4" thickBot="1">
      <c r="A65" s="69"/>
      <c r="B65" s="367"/>
      <c r="C65" s="70"/>
      <c r="D65" s="1052"/>
      <c r="E65" s="22"/>
      <c r="F65" s="530"/>
      <c r="G65" s="391"/>
      <c r="H65" s="530"/>
      <c r="I65" s="391"/>
      <c r="J65" s="530"/>
      <c r="K65" s="391"/>
      <c r="L65" s="514"/>
      <c r="M65" s="22"/>
      <c r="N65" s="194"/>
      <c r="O65" s="391"/>
      <c r="P65" s="194"/>
      <c r="Q65" s="391"/>
      <c r="R65" s="530"/>
      <c r="S65" s="391"/>
      <c r="T65" s="194"/>
      <c r="U65" s="391"/>
      <c r="V65" s="194"/>
      <c r="W65" s="391"/>
      <c r="X65" s="194"/>
      <c r="Y65" s="391"/>
      <c r="Z65" s="194"/>
      <c r="AA65" s="391"/>
      <c r="AB65" s="194"/>
      <c r="AC65" s="1541"/>
      <c r="AD65" s="1634"/>
      <c r="AE65" s="1633"/>
      <c r="AF65" s="767"/>
      <c r="AG65" s="1177"/>
    </row>
    <row r="66" spans="1:33" ht="15.4" thickBot="1">
      <c r="A66" s="69" t="s">
        <v>110</v>
      </c>
      <c r="B66" s="367"/>
      <c r="C66" s="70"/>
      <c r="D66" s="1052"/>
      <c r="E66" s="1026">
        <f>+E6+E64</f>
        <v>0</v>
      </c>
      <c r="F66" s="530"/>
      <c r="G66" s="1032">
        <f>+G6+G64</f>
        <v>0</v>
      </c>
      <c r="H66" s="530"/>
      <c r="I66" s="1032">
        <f>+I6+I64</f>
        <v>0</v>
      </c>
      <c r="J66" s="530"/>
      <c r="K66" s="1032">
        <f>+K6+K64</f>
        <v>0</v>
      </c>
      <c r="L66" s="514"/>
      <c r="M66" s="1026">
        <f>+M6+M64</f>
        <v>0</v>
      </c>
      <c r="N66" s="194"/>
      <c r="O66" s="1032">
        <f>+O6+O64</f>
        <v>0</v>
      </c>
      <c r="P66" s="194"/>
      <c r="Q66" s="1032">
        <f>+Q6+Q64</f>
        <v>0</v>
      </c>
      <c r="R66" s="530"/>
      <c r="S66" s="1032">
        <f>+S6+S64</f>
        <v>0</v>
      </c>
      <c r="T66" s="194"/>
      <c r="U66" s="1032">
        <f>+U6+U64</f>
        <v>0</v>
      </c>
      <c r="V66" s="194"/>
      <c r="W66" s="1032">
        <f>+W6+W64</f>
        <v>0</v>
      </c>
      <c r="X66" s="194"/>
      <c r="Y66" s="1032">
        <f>+Y6+Y64</f>
        <v>0</v>
      </c>
      <c r="Z66" s="194"/>
      <c r="AA66" s="1032">
        <f>+AA6+AA64</f>
        <v>0</v>
      </c>
      <c r="AB66" s="194"/>
      <c r="AC66" s="1648" t="e">
        <f>+AC6+AC64+AE52</f>
        <v>#VALUE!</v>
      </c>
      <c r="AD66" s="1020"/>
      <c r="AE66" s="1628"/>
      <c r="AF66" s="1025"/>
      <c r="AG66" s="1177"/>
    </row>
    <row r="68" spans="1:33" ht="13.5">
      <c r="AB68" s="1545" t="s">
        <v>490</v>
      </c>
      <c r="AC68" s="1546" t="e">
        <f>'1st Interim-Summary MYP'!G56</f>
        <v>#VALUE!</v>
      </c>
    </row>
    <row r="69" spans="1:33" ht="14.25" thickBot="1">
      <c r="AB69" s="1650" t="s">
        <v>517</v>
      </c>
      <c r="AC69" s="1548" t="e">
        <f>AC66-AC68</f>
        <v>#VALUE!</v>
      </c>
      <c r="AD69" s="1612" t="str">
        <f>IF(ROUND(D52+E6,0)=ROUND('1st Interim-Summary MYP'!G55,0),"","If not balancing, check to ensure Beg Cash (E6) + Total Beg Balance Sheet (D52) Must equal Beg Fund Balance (1st Interim-Summary MYP G55)")</f>
        <v>If not balancing, check to ensure Beg Cash (E6) + Total Beg Balance Sheet (D52) Must equal Beg Fund Balance (1st Interim-Summary MYP G55)</v>
      </c>
    </row>
    <row r="70" spans="1:33" ht="13.15" thickTop="1"/>
    <row r="72" spans="1:33">
      <c r="AB72" s="1639" t="s">
        <v>515</v>
      </c>
      <c r="AC72" s="173">
        <f>D52+E6</f>
        <v>0</v>
      </c>
    </row>
    <row r="73" spans="1:33">
      <c r="AB73" s="1639" t="s">
        <v>516</v>
      </c>
      <c r="AC73" s="173">
        <f>'1st Interim-Summary MYP'!G55</f>
        <v>4559746.05</v>
      </c>
    </row>
    <row r="74" spans="1:33" ht="13.15" thickBot="1">
      <c r="AB74" s="134" t="s">
        <v>96</v>
      </c>
      <c r="AC74" s="1640">
        <f>AC72-AC73</f>
        <v>-4559746.05</v>
      </c>
    </row>
    <row r="75" spans="1:33" ht="13.15" thickTop="1"/>
    <row r="76" spans="1:33">
      <c r="AC76" s="173" t="e">
        <f>AC74-AC69</f>
        <v>#VALUE!</v>
      </c>
    </row>
  </sheetData>
  <sheetProtection algorithmName="SHA-512" hashValue="vdTITRUKac8z5pu/6ZgE9SIWzmua+jb0tl+IwPiXKv4YG2pegm33KkhrMQA/EY5y3F0eA5C33iRPf2s8hVtUzw==" saltValue="/11fuX55+djYpsEKcAoVrA==" spinCount="100000" sheet="1" objects="1" scenarios="1"/>
  <mergeCells count="14">
    <mergeCell ref="A60:B60"/>
    <mergeCell ref="A61:B61"/>
    <mergeCell ref="A57:B57"/>
    <mergeCell ref="A58:B58"/>
    <mergeCell ref="F1:L1"/>
    <mergeCell ref="T1:Z1"/>
    <mergeCell ref="A55:B55"/>
    <mergeCell ref="A56:B56"/>
    <mergeCell ref="A59:B59"/>
    <mergeCell ref="AE53:AE54"/>
    <mergeCell ref="AE41:AE43"/>
    <mergeCell ref="G2:K2"/>
    <mergeCell ref="D41:D43"/>
    <mergeCell ref="E7:L7"/>
  </mergeCells>
  <conditionalFormatting sqref="F1">
    <cfRule type="containsText" dxfId="134" priority="27" stopIfTrue="1" operator="containsText" text="Enter">
      <formula>NOT(ISERROR(SEARCH("Enter",F1)))</formula>
    </cfRule>
  </conditionalFormatting>
  <conditionalFormatting sqref="T1">
    <cfRule type="containsText" dxfId="133" priority="25" stopIfTrue="1" operator="containsText" text="Enter">
      <formula>NOT(ISERROR(SEARCH("Enter",T1)))</formula>
    </cfRule>
  </conditionalFormatting>
  <conditionalFormatting sqref="AD45">
    <cfRule type="cellIs" dxfId="132" priority="5" stopIfTrue="1" operator="notEqual">
      <formula>$D$45</formula>
    </cfRule>
  </conditionalFormatting>
  <conditionalFormatting sqref="AD46">
    <cfRule type="cellIs" dxfId="131" priority="1" stopIfTrue="1" operator="notEqual">
      <formula>$D$46</formula>
    </cfRule>
  </conditionalFormatting>
  <conditionalFormatting sqref="AD48">
    <cfRule type="cellIs" dxfId="130" priority="4" stopIfTrue="1" operator="notEqual">
      <formula>$D$48</formula>
    </cfRule>
  </conditionalFormatting>
  <conditionalFormatting sqref="AD49">
    <cfRule type="cellIs" dxfId="129" priority="3" stopIfTrue="1" operator="notEqual">
      <formula>$D$49</formula>
    </cfRule>
  </conditionalFormatting>
  <conditionalFormatting sqref="AD50">
    <cfRule type="cellIs" dxfId="128" priority="2" stopIfTrue="1" operator="notEqual">
      <formula>$D$50</formula>
    </cfRule>
  </conditionalFormatting>
  <pageMargins left="0.7" right="0.7" top="0.75" bottom="0.75" header="0.3" footer="0.3"/>
  <pageSetup scale="45" fitToWidth="0" orientation="landscape" r:id="rId1"/>
  <headerFooter>
    <oddHeader>&amp;RPage &amp;P of &amp;N</oddHeader>
  </headerFooter>
  <rowBreaks count="1" manualBreakCount="1">
    <brk id="68" max="16383" man="1"/>
  </rowBreaks>
  <colBreaks count="1" manualBreakCount="1">
    <brk id="18"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4"/>
    <pageSetUpPr fitToPage="1"/>
  </sheetPr>
  <dimension ref="A1:AH76"/>
  <sheetViews>
    <sheetView showGridLines="0" view="pageBreakPreview" zoomScale="85" zoomScaleNormal="70" zoomScaleSheetLayoutView="85" workbookViewId="0">
      <pane xSplit="4" ySplit="7" topLeftCell="Q54" activePane="bottomRight" state="frozen"/>
      <selection pane="topRight" activeCell="E1" sqref="E1"/>
      <selection pane="bottomLeft" activeCell="A8" sqref="A8"/>
      <selection pane="bottomRight" activeCell="E44" sqref="E44:E51"/>
    </sheetView>
  </sheetViews>
  <sheetFormatPr defaultRowHeight="12.75"/>
  <cols>
    <col min="1" max="1" width="2.53125" customWidth="1"/>
    <col min="2" max="2" width="45.86328125" customWidth="1"/>
    <col min="3" max="3" width="14.6640625" customWidth="1"/>
    <col min="4" max="4" width="12.86328125" customWidth="1"/>
    <col min="5" max="5" width="13.46484375" customWidth="1"/>
    <col min="6" max="6" width="9" bestFit="1" customWidth="1"/>
    <col min="7" max="7" width="13.46484375" customWidth="1"/>
    <col min="8" max="8" width="8.6640625" customWidth="1"/>
    <col min="9" max="9" width="13.46484375" customWidth="1"/>
    <col min="10" max="10" width="8.6640625" customWidth="1"/>
    <col min="11" max="11" width="13.33203125" customWidth="1"/>
    <col min="12" max="12" width="8.6640625" customWidth="1"/>
    <col min="13" max="13" width="13.46484375" customWidth="1"/>
    <col min="14" max="14" width="8.6640625" customWidth="1"/>
    <col min="15" max="15" width="13.6640625" customWidth="1"/>
    <col min="16" max="16" width="8.6640625" customWidth="1"/>
    <col min="17" max="17" width="13.6640625" customWidth="1"/>
    <col min="18" max="18" width="8.6640625" customWidth="1"/>
    <col min="19" max="19" width="13.46484375" customWidth="1"/>
    <col min="20" max="20" width="9.1328125" customWidth="1"/>
    <col min="21" max="21" width="13.46484375" customWidth="1"/>
    <col min="22" max="22" width="9.1328125" customWidth="1"/>
    <col min="23" max="23" width="13.46484375" customWidth="1"/>
    <col min="24" max="24" width="9.1328125" customWidth="1"/>
    <col min="25" max="25" width="13.46484375" customWidth="1"/>
    <col min="26" max="26" width="9.1328125" customWidth="1"/>
    <col min="27" max="27" width="13.6640625" customWidth="1"/>
    <col min="28" max="28" width="9.1328125" customWidth="1"/>
    <col min="29" max="29" width="15.46484375" style="173" customWidth="1"/>
    <col min="30" max="30" width="16.53125" style="173" customWidth="1"/>
    <col min="31" max="32" width="13.6640625" customWidth="1"/>
    <col min="33" max="33" width="70.53125" hidden="1" customWidth="1"/>
    <col min="34" max="34" width="53.53125" customWidth="1"/>
  </cols>
  <sheetData>
    <row r="1" spans="1:33" ht="15.4" thickBot="1">
      <c r="A1" s="175"/>
      <c r="B1" s="175"/>
      <c r="C1" s="175"/>
      <c r="D1" s="175"/>
      <c r="E1" s="176"/>
      <c r="F1" s="1841" t="str">
        <f>IF('INTERIM-CERTIFICATION'!$M$1="","CHARTER NAME: Enter Charter Name on INTERIM-CERTIFICATION Worksheet",(CONCATENATE("CHARTER NAME: ",'INTERIM-CERTIFICATION'!$M$1)))</f>
        <v>CHARTER NAME: Encor Jr./Sr. High School for the Performing and Visual Arts</v>
      </c>
      <c r="G1" s="1841" t="str">
        <f>IF('INTERIM-CERTIFICATION'!$H$1="","CHARTER NAME: Enter Charter Name on INTERIM-CERTIFICATION Worksheet",(CONCATENATE("CHARTER NAME: ",'INTERIM-CERTIFICATION'!$H$1)))</f>
        <v>CHARTER NAME: Enter Charter Name on INTERIM-CERTIFICATION Worksheet</v>
      </c>
      <c r="H1" s="1841" t="str">
        <f>IF('INTERIM-CERTIFICATION'!$H$1="","CHARTER NAME: Enter Charter Name on INTERIM-CERTIFICATION Worksheet",(CONCATENATE("CHARTER NAME: ",'INTERIM-CERTIFICATION'!$H$1)))</f>
        <v>CHARTER NAME: Enter Charter Name on INTERIM-CERTIFICATION Worksheet</v>
      </c>
      <c r="I1" s="1841"/>
      <c r="J1" s="1841"/>
      <c r="K1" s="1841"/>
      <c r="L1" s="1841"/>
      <c r="M1" s="178"/>
      <c r="N1" s="177"/>
      <c r="O1" s="178"/>
      <c r="P1" s="177"/>
      <c r="Q1" s="178"/>
      <c r="R1" s="177"/>
      <c r="S1" s="178"/>
      <c r="T1" s="1841" t="str">
        <f>F1</f>
        <v>CHARTER NAME: Encor Jr./Sr. High School for the Performing and Visual Arts</v>
      </c>
      <c r="U1" s="1841" t="str">
        <f>IF('INTERIM-CERTIFICATION'!$H$1="","CHARTER NAME: Enter Charter Name on INTERIM-CERTIFICATION Worksheet",(CONCATENATE("CHARTER NAME: ",'INTERIM-CERTIFICATION'!$H$1)))</f>
        <v>CHARTER NAME: Enter Charter Name on INTERIM-CERTIFICATION Worksheet</v>
      </c>
      <c r="V1" s="1841" t="str">
        <f>IF('INTERIM-CERTIFICATION'!$H$1="","CHARTER NAME: Enter Charter Name on INTERIM-CERTIFICATION Worksheet",(CONCATENATE("CHARTER NAME: ",'INTERIM-CERTIFICATION'!$H$1)))</f>
        <v>CHARTER NAME: Enter Charter Name on INTERIM-CERTIFICATION Worksheet</v>
      </c>
      <c r="W1" s="1841"/>
      <c r="X1" s="1841"/>
      <c r="Y1" s="1841"/>
      <c r="Z1" s="1841"/>
      <c r="AA1" s="178"/>
      <c r="AB1" s="177"/>
      <c r="AD1" s="1006"/>
      <c r="AE1" s="1006"/>
      <c r="AF1" s="1006"/>
      <c r="AG1" s="1177"/>
    </row>
    <row r="2" spans="1:33" ht="15">
      <c r="B2" s="182" t="s">
        <v>114</v>
      </c>
      <c r="C2" s="95"/>
      <c r="D2" s="183"/>
      <c r="G2" s="1876" t="str">
        <f>""&amp;'Budget-ADA'!N7&amp;"  First Interim Cash Flow"</f>
        <v>2025-26  First Interim Cash Flow</v>
      </c>
      <c r="H2" s="1876" t="str">
        <f>""&amp;'Budget-ADA'!N7&amp;"  First Interim Cash Flow"</f>
        <v>2025-26  First Interim Cash Flow</v>
      </c>
      <c r="I2" s="1876"/>
      <c r="J2" s="1876"/>
      <c r="K2" s="1876"/>
      <c r="M2" s="178"/>
      <c r="O2" s="178"/>
      <c r="Q2" s="178"/>
      <c r="S2" s="178"/>
      <c r="U2" s="177"/>
      <c r="W2" s="52" t="str">
        <f>G2</f>
        <v>2025-26  First Interim Cash Flow</v>
      </c>
      <c r="Y2" s="177"/>
      <c r="AA2" s="178"/>
      <c r="AC2" s="1006"/>
      <c r="AD2" s="1006"/>
      <c r="AE2" s="1006"/>
      <c r="AF2" s="1006"/>
      <c r="AG2" s="1177"/>
    </row>
    <row r="3" spans="1:33" ht="15.4" thickBot="1">
      <c r="A3" s="1557" t="str">
        <f>Instructions!H1</f>
        <v>Form Revised (revision date here if revised)</v>
      </c>
      <c r="B3" s="181"/>
      <c r="C3" s="23"/>
      <c r="D3" s="23"/>
      <c r="E3" s="26"/>
      <c r="F3" s="25"/>
      <c r="G3" s="27"/>
      <c r="H3" s="25"/>
      <c r="I3" s="27"/>
      <c r="J3" s="25"/>
      <c r="K3" s="27"/>
      <c r="L3" s="25"/>
      <c r="M3" s="27"/>
      <c r="N3" s="25"/>
      <c r="O3" s="27"/>
      <c r="P3" s="25"/>
      <c r="Q3" s="27"/>
      <c r="R3" s="25"/>
      <c r="S3" s="27"/>
      <c r="T3" s="25"/>
      <c r="U3" s="27"/>
      <c r="V3" s="25"/>
      <c r="W3" s="27"/>
      <c r="X3" s="25"/>
      <c r="Y3" s="27"/>
      <c r="Z3" s="25"/>
      <c r="AA3" s="27"/>
      <c r="AB3" s="25"/>
      <c r="AC3" s="1006"/>
      <c r="AD3" s="1006"/>
      <c r="AE3" s="1006"/>
      <c r="AF3" s="1006"/>
      <c r="AG3" s="1177"/>
    </row>
    <row r="4" spans="1:33" ht="15">
      <c r="A4" s="399"/>
      <c r="B4" s="71"/>
      <c r="C4" s="71"/>
      <c r="D4" s="71"/>
      <c r="E4" s="616" t="s">
        <v>79</v>
      </c>
      <c r="F4" s="400" t="s">
        <v>80</v>
      </c>
      <c r="G4" s="533" t="s">
        <v>81</v>
      </c>
      <c r="H4" s="400" t="s">
        <v>82</v>
      </c>
      <c r="I4" s="533" t="s">
        <v>83</v>
      </c>
      <c r="J4" s="400" t="s">
        <v>82</v>
      </c>
      <c r="K4" s="533" t="s">
        <v>84</v>
      </c>
      <c r="L4" s="400" t="s">
        <v>82</v>
      </c>
      <c r="M4" s="533" t="s">
        <v>85</v>
      </c>
      <c r="N4" s="400" t="s">
        <v>82</v>
      </c>
      <c r="O4" s="533" t="s">
        <v>86</v>
      </c>
      <c r="P4" s="400" t="s">
        <v>82</v>
      </c>
      <c r="Q4" s="533" t="s">
        <v>87</v>
      </c>
      <c r="R4" s="400" t="s">
        <v>82</v>
      </c>
      <c r="S4" s="533" t="s">
        <v>88</v>
      </c>
      <c r="T4" s="400" t="s">
        <v>82</v>
      </c>
      <c r="U4" s="533" t="s">
        <v>89</v>
      </c>
      <c r="V4" s="400" t="s">
        <v>82</v>
      </c>
      <c r="W4" s="533" t="s">
        <v>90</v>
      </c>
      <c r="X4" s="400" t="s">
        <v>82</v>
      </c>
      <c r="Y4" s="533" t="s">
        <v>91</v>
      </c>
      <c r="Z4" s="400" t="s">
        <v>82</v>
      </c>
      <c r="AA4" s="533" t="s">
        <v>92</v>
      </c>
      <c r="AB4" s="400" t="s">
        <v>82</v>
      </c>
      <c r="AC4" s="1007" t="s">
        <v>93</v>
      </c>
      <c r="AD4" s="1015"/>
      <c r="AE4" s="1015" t="s">
        <v>19</v>
      </c>
      <c r="AF4" s="1015"/>
      <c r="AG4" s="1177"/>
    </row>
    <row r="5" spans="1:33" ht="15.4" thickBot="1">
      <c r="A5" s="185"/>
      <c r="B5" s="23"/>
      <c r="C5" s="23"/>
      <c r="D5" s="23"/>
      <c r="E5" s="216" t="s">
        <v>93</v>
      </c>
      <c r="F5" s="1027" t="s">
        <v>94</v>
      </c>
      <c r="G5" s="186" t="s">
        <v>93</v>
      </c>
      <c r="H5" s="1027" t="s">
        <v>94</v>
      </c>
      <c r="I5" s="186" t="s">
        <v>93</v>
      </c>
      <c r="J5" s="1027" t="s">
        <v>94</v>
      </c>
      <c r="K5" s="186" t="s">
        <v>93</v>
      </c>
      <c r="L5" s="1027" t="s">
        <v>94</v>
      </c>
      <c r="M5" s="186" t="s">
        <v>93</v>
      </c>
      <c r="N5" s="1027" t="s">
        <v>94</v>
      </c>
      <c r="O5" s="186" t="s">
        <v>93</v>
      </c>
      <c r="P5" s="60" t="s">
        <v>94</v>
      </c>
      <c r="Q5" s="186" t="s">
        <v>93</v>
      </c>
      <c r="R5" s="1027" t="s">
        <v>94</v>
      </c>
      <c r="S5" s="186" t="s">
        <v>93</v>
      </c>
      <c r="T5" s="60" t="s">
        <v>94</v>
      </c>
      <c r="U5" s="186" t="s">
        <v>93</v>
      </c>
      <c r="V5" s="60" t="s">
        <v>94</v>
      </c>
      <c r="W5" s="186" t="s">
        <v>93</v>
      </c>
      <c r="X5" s="60" t="s">
        <v>94</v>
      </c>
      <c r="Y5" s="186" t="s">
        <v>93</v>
      </c>
      <c r="Z5" s="60" t="s">
        <v>94</v>
      </c>
      <c r="AA5" s="186" t="s">
        <v>93</v>
      </c>
      <c r="AB5" s="60" t="s">
        <v>94</v>
      </c>
      <c r="AC5" s="1008" t="s">
        <v>95</v>
      </c>
      <c r="AD5" s="1016" t="s">
        <v>0</v>
      </c>
      <c r="AE5" s="1016" t="s">
        <v>16</v>
      </c>
      <c r="AF5" s="1016" t="s">
        <v>96</v>
      </c>
      <c r="AG5" s="1177"/>
    </row>
    <row r="6" spans="1:33" ht="15.75" thickTop="1" thickBot="1">
      <c r="A6" s="188" t="s">
        <v>97</v>
      </c>
      <c r="B6" s="179"/>
      <c r="D6" s="409" t="s">
        <v>115</v>
      </c>
      <c r="E6" s="1377">
        <f>'1st Interim-Cash Flow Year 1'!AA66</f>
        <v>0</v>
      </c>
      <c r="F6" s="61"/>
      <c r="G6" s="189">
        <f>E66</f>
        <v>0</v>
      </c>
      <c r="H6" s="61"/>
      <c r="I6" s="189">
        <f>G66</f>
        <v>0</v>
      </c>
      <c r="J6" s="61"/>
      <c r="K6" s="189">
        <f>I66</f>
        <v>0</v>
      </c>
      <c r="L6" s="61"/>
      <c r="M6" s="189">
        <f>K66</f>
        <v>0</v>
      </c>
      <c r="N6" s="1028"/>
      <c r="O6" s="508">
        <f>M66</f>
        <v>0</v>
      </c>
      <c r="P6" s="61"/>
      <c r="Q6" s="508">
        <f>O66</f>
        <v>0</v>
      </c>
      <c r="R6" s="61"/>
      <c r="S6" s="508">
        <f>Q66</f>
        <v>0</v>
      </c>
      <c r="T6" s="61"/>
      <c r="U6" s="189">
        <f>S66</f>
        <v>0</v>
      </c>
      <c r="V6" s="61"/>
      <c r="W6" s="189">
        <f>U66</f>
        <v>0</v>
      </c>
      <c r="X6" s="61"/>
      <c r="Y6" s="189">
        <f>W66</f>
        <v>0</v>
      </c>
      <c r="Z6" s="61"/>
      <c r="AA6" s="189">
        <f>Y66</f>
        <v>0</v>
      </c>
      <c r="AB6" s="61"/>
      <c r="AC6" s="387">
        <f>+AA66</f>
        <v>0</v>
      </c>
      <c r="AD6" s="57"/>
      <c r="AE6" s="57"/>
      <c r="AF6" s="57"/>
      <c r="AG6" s="1177"/>
    </row>
    <row r="7" spans="1:33" ht="15.4" thickTop="1">
      <c r="A7" s="401"/>
      <c r="B7" s="366"/>
      <c r="C7" s="64"/>
      <c r="D7" s="64"/>
      <c r="E7" s="1045"/>
      <c r="F7" s="1033"/>
      <c r="G7" s="1033"/>
      <c r="H7" s="1033"/>
      <c r="I7" s="1033"/>
      <c r="J7" s="1033"/>
      <c r="K7" s="1033"/>
      <c r="L7" s="1033"/>
      <c r="M7" s="65"/>
      <c r="N7" s="62"/>
      <c r="O7" s="65"/>
      <c r="P7" s="62"/>
      <c r="Q7" s="65"/>
      <c r="R7" s="62"/>
      <c r="S7" s="65"/>
      <c r="T7" s="62"/>
      <c r="U7" s="65"/>
      <c r="V7" s="62"/>
      <c r="W7" s="65"/>
      <c r="X7" s="62"/>
      <c r="Y7" s="65"/>
      <c r="Z7" s="62"/>
      <c r="AA7" s="65"/>
      <c r="AB7" s="62"/>
      <c r="AC7" s="1009"/>
      <c r="AD7" s="1009"/>
      <c r="AE7" s="1009"/>
      <c r="AF7" s="1021"/>
      <c r="AG7" s="1177"/>
    </row>
    <row r="8" spans="1:33" ht="15">
      <c r="A8" s="66" t="s">
        <v>98</v>
      </c>
      <c r="B8" s="515"/>
      <c r="C8" s="371"/>
      <c r="D8" s="371"/>
      <c r="E8" s="372"/>
      <c r="F8" s="164"/>
      <c r="G8" s="373"/>
      <c r="H8" s="164"/>
      <c r="I8" s="373"/>
      <c r="J8" s="164"/>
      <c r="K8" s="373"/>
      <c r="L8" s="164"/>
      <c r="M8" s="373"/>
      <c r="N8" s="164"/>
      <c r="O8" s="373"/>
      <c r="P8" s="164"/>
      <c r="Q8" s="373"/>
      <c r="R8" s="164"/>
      <c r="S8" s="373"/>
      <c r="T8" s="164"/>
      <c r="U8" s="373"/>
      <c r="V8" s="164"/>
      <c r="W8" s="373"/>
      <c r="X8" s="164"/>
      <c r="Y8" s="373"/>
      <c r="Z8" s="164"/>
      <c r="AA8" s="373"/>
      <c r="AB8" s="164"/>
      <c r="AC8" s="1010"/>
      <c r="AD8" s="1010"/>
      <c r="AE8" s="1010"/>
      <c r="AF8" s="1018"/>
      <c r="AG8" s="1177"/>
    </row>
    <row r="9" spans="1:33" ht="15">
      <c r="A9" s="402" t="s">
        <v>303</v>
      </c>
      <c r="B9" s="145"/>
      <c r="C9" s="139"/>
      <c r="D9" s="374"/>
      <c r="E9" s="383"/>
      <c r="F9" s="384"/>
      <c r="G9" s="504"/>
      <c r="H9" s="384"/>
      <c r="I9" s="504"/>
      <c r="J9" s="384"/>
      <c r="K9" s="504"/>
      <c r="L9" s="384"/>
      <c r="M9" s="504"/>
      <c r="N9" s="384"/>
      <c r="O9" s="504"/>
      <c r="P9" s="384"/>
      <c r="Q9" s="504"/>
      <c r="R9" s="384"/>
      <c r="S9" s="504"/>
      <c r="T9" s="384"/>
      <c r="U9" s="504"/>
      <c r="V9" s="384"/>
      <c r="W9" s="504"/>
      <c r="X9" s="384"/>
      <c r="Y9" s="504"/>
      <c r="Z9" s="384"/>
      <c r="AA9" s="504"/>
      <c r="AB9" s="384"/>
      <c r="AC9" s="1011"/>
      <c r="AD9" s="1014"/>
      <c r="AE9" s="1014"/>
      <c r="AF9" s="385"/>
      <c r="AG9" s="1177"/>
    </row>
    <row r="10" spans="1:33" ht="15">
      <c r="A10" s="403"/>
      <c r="B10" s="139" t="s">
        <v>152</v>
      </c>
      <c r="C10" s="275">
        <v>8011</v>
      </c>
      <c r="D10" s="374"/>
      <c r="E10" s="375"/>
      <c r="F10" s="524" t="str">
        <f>IF($AE10&lt;1," ",IF(E10&lt;1," ",(E10)/$AE10))</f>
        <v xml:space="preserve"> </v>
      </c>
      <c r="G10" s="388"/>
      <c r="H10" s="524" t="str">
        <f>IF($AE10&lt;1," ",IF(G10&lt;1," ",(G10)/$AE10))</f>
        <v xml:space="preserve"> </v>
      </c>
      <c r="I10" s="388"/>
      <c r="J10" s="524" t="str">
        <f>IF($AE10&lt;1," ",IF(I10&lt;1," ",(I10)/$AE10))</f>
        <v xml:space="preserve"> </v>
      </c>
      <c r="K10" s="388"/>
      <c r="L10" s="524" t="str">
        <f>IF($AE10&lt;1," ",IF(K10&lt;1," ",(K10)/$AE10))</f>
        <v xml:space="preserve"> </v>
      </c>
      <c r="M10" s="388"/>
      <c r="N10" s="337" t="str">
        <f>IF($AE10&lt;1," ",IF(M10&lt;1," ",(M10)/$AE10))</f>
        <v xml:space="preserve"> </v>
      </c>
      <c r="O10" s="388"/>
      <c r="P10" s="337" t="str">
        <f>IF($AE10&lt;1," ",IF(O10&lt;1," ",(O10)/$AE10))</f>
        <v xml:space="preserve"> </v>
      </c>
      <c r="Q10" s="388"/>
      <c r="R10" s="524" t="str">
        <f>IF($AE10&lt;1," ",IF(Q10&lt;1," ",(Q10)/$AE10))</f>
        <v xml:space="preserve"> </v>
      </c>
      <c r="S10" s="388"/>
      <c r="T10" s="337" t="str">
        <f>IF($AE10&lt;1," ",IF(S10&lt;1," ",(S10)/$AE10))</f>
        <v xml:space="preserve"> </v>
      </c>
      <c r="U10" s="388"/>
      <c r="V10" s="337" t="str">
        <f>IF($AE10&lt;1," ",IF(U10&lt;1," ",(U10)/$AE10))</f>
        <v xml:space="preserve"> </v>
      </c>
      <c r="W10" s="388"/>
      <c r="X10" s="337" t="str">
        <f>IF($AE10&lt;1," ",IF(W10&lt;1," ",(W10)/$AE10))</f>
        <v xml:space="preserve"> </v>
      </c>
      <c r="Y10" s="388"/>
      <c r="Z10" s="337" t="str">
        <f>IF($AE10&lt;1," ",IF(Y10&lt;1," ",(Y10)/$AE10))</f>
        <v xml:space="preserve"> </v>
      </c>
      <c r="AA10" s="388"/>
      <c r="AB10" s="337" t="str">
        <f>IF($AE10&lt;1," ",IF(AA10&lt;1," ",(AA10)/$AE10))</f>
        <v xml:space="preserve"> </v>
      </c>
      <c r="AC10" s="1534">
        <f>AE10-(E10+G10+I10+K10+M10+O10+Q10+S10+U10+W10+Y10+AA10)</f>
        <v>0</v>
      </c>
      <c r="AD10" s="377">
        <f>+E10+G10+I10+K10+M10+O10+Q10+S10+U10+W10+Y10+AA10+AC10</f>
        <v>0</v>
      </c>
      <c r="AE10" s="377">
        <f>'1st Interim-Summary MYP'!I13</f>
        <v>0</v>
      </c>
      <c r="AF10" s="377">
        <f>+AE10-AD10</f>
        <v>0</v>
      </c>
      <c r="AG10" s="1177"/>
    </row>
    <row r="11" spans="1:33" ht="15">
      <c r="A11" s="403"/>
      <c r="B11" s="139" t="s">
        <v>153</v>
      </c>
      <c r="C11" s="275">
        <v>8012</v>
      </c>
      <c r="D11" s="374"/>
      <c r="E11" s="375"/>
      <c r="F11" s="524" t="str">
        <f>IF($AE11&lt;1," ",IF(E11&lt;1," ",(E11)/$AE11))</f>
        <v xml:space="preserve"> </v>
      </c>
      <c r="G11" s="388"/>
      <c r="H11" s="524" t="str">
        <f>IF($AE11&lt;1," ",IF(G11&lt;1," ",(G11)/$AE11))</f>
        <v xml:space="preserve"> </v>
      </c>
      <c r="I11" s="388"/>
      <c r="J11" s="524" t="str">
        <f>IF($AE11&lt;1," ",IF(I11&lt;1," ",(I11)/$AE11))</f>
        <v xml:space="preserve"> </v>
      </c>
      <c r="K11" s="388"/>
      <c r="L11" s="524" t="str">
        <f>IF($AE11&lt;1," ",IF(K11&lt;1," ",(K11)/$AE11))</f>
        <v xml:space="preserve"> </v>
      </c>
      <c r="M11" s="388"/>
      <c r="N11" s="337" t="str">
        <f>IF($AE11&lt;1," ",IF(M11&lt;1," ",(M11)/$AE11))</f>
        <v xml:space="preserve"> </v>
      </c>
      <c r="O11" s="388"/>
      <c r="P11" s="337" t="str">
        <f>IF($AE11&lt;1," ",IF(O11&lt;1," ",(O11)/$AE11))</f>
        <v xml:space="preserve"> </v>
      </c>
      <c r="Q11" s="388"/>
      <c r="R11" s="524" t="str">
        <f>IF($AE11&lt;1," ",IF(Q11&lt;1," ",(Q11)/$AE11))</f>
        <v xml:space="preserve"> </v>
      </c>
      <c r="S11" s="388"/>
      <c r="T11" s="337" t="str">
        <f>IF($AE11&lt;1," ",IF(S11&lt;1," ",(S11)/$AE11))</f>
        <v xml:space="preserve"> </v>
      </c>
      <c r="U11" s="388"/>
      <c r="V11" s="337" t="str">
        <f>IF($AE11&lt;1," ",IF(U11&lt;1," ",(U11)/$AE11))</f>
        <v xml:space="preserve"> </v>
      </c>
      <c r="W11" s="388"/>
      <c r="X11" s="337" t="str">
        <f>IF($AE11&lt;1," ",IF(W11&lt;1," ",(W11)/$AE11))</f>
        <v xml:space="preserve"> </v>
      </c>
      <c r="Y11" s="388"/>
      <c r="Z11" s="337" t="str">
        <f>IF($AE11&lt;1," ",IF(Y11&lt;1," ",(Y11)/$AE11))</f>
        <v xml:space="preserve"> </v>
      </c>
      <c r="AA11" s="388"/>
      <c r="AB11" s="337" t="str">
        <f>IF($AE11&lt;1," ",IF(AA11&lt;1," ",(AA11)/$AE11))</f>
        <v xml:space="preserve"> </v>
      </c>
      <c r="AC11" s="1534">
        <f t="shared" ref="AC11:AC22" si="0">AE11-(E11+G11+I11+K11+M11+O11+Q11+S11+U11+W11+Y11+AA11)</f>
        <v>0</v>
      </c>
      <c r="AD11" s="377">
        <f>+E11+G11+I11+K11+M11+O11+Q11+S11+U11+W11+Y11+AA11+AC11</f>
        <v>0</v>
      </c>
      <c r="AE11" s="377">
        <f>'1st Interim-Summary MYP'!I14</f>
        <v>0</v>
      </c>
      <c r="AF11" s="377">
        <f>+AE11-AD11</f>
        <v>0</v>
      </c>
      <c r="AG11" s="1177"/>
    </row>
    <row r="12" spans="1:33" ht="15">
      <c r="A12" s="403"/>
      <c r="B12" s="139" t="s">
        <v>301</v>
      </c>
      <c r="C12" s="275">
        <v>8019</v>
      </c>
      <c r="D12" s="343"/>
      <c r="E12" s="375"/>
      <c r="F12" s="524" t="str">
        <f>IF($AE12&lt;1," ",IF(E12&lt;1," ",(E12)/$AE12))</f>
        <v xml:space="preserve"> </v>
      </c>
      <c r="G12" s="388"/>
      <c r="H12" s="524" t="str">
        <f>IF($AE12&lt;1," ",IF(G12&lt;1," ",(G12)/$AE12))</f>
        <v xml:space="preserve"> </v>
      </c>
      <c r="I12" s="388"/>
      <c r="J12" s="524" t="str">
        <f>IF($AE12&lt;1," ",IF(I12&lt;1," ",(I12)/$AE12))</f>
        <v xml:space="preserve"> </v>
      </c>
      <c r="K12" s="388"/>
      <c r="L12" s="524" t="str">
        <f>IF($AE12&lt;1," ",IF(K12&lt;1," ",(K12)/$AE12))</f>
        <v xml:space="preserve"> </v>
      </c>
      <c r="M12" s="388"/>
      <c r="N12" s="337" t="str">
        <f>IF($AE12&lt;1," ",IF(M12&lt;1," ",(M12)/$AE12))</f>
        <v xml:space="preserve"> </v>
      </c>
      <c r="O12" s="388"/>
      <c r="P12" s="337" t="str">
        <f>IF($AE12&lt;1," ",IF(O12&lt;1," ",(O12)/$AE12))</f>
        <v xml:space="preserve"> </v>
      </c>
      <c r="Q12" s="388"/>
      <c r="R12" s="524" t="str">
        <f>IF($AE12&lt;1," ",IF(Q12&lt;1," ",(Q12)/$AE12))</f>
        <v xml:space="preserve"> </v>
      </c>
      <c r="S12" s="388"/>
      <c r="T12" s="337" t="str">
        <f>IF($AE12&lt;1," ",IF(S12&lt;1," ",(S12)/$AE12))</f>
        <v xml:space="preserve"> </v>
      </c>
      <c r="U12" s="388"/>
      <c r="V12" s="337" t="str">
        <f>IF($AE12&lt;1," ",IF(U12&lt;1," ",(U12)/$AE12))</f>
        <v xml:space="preserve"> </v>
      </c>
      <c r="W12" s="388"/>
      <c r="X12" s="337" t="str">
        <f>IF($AE12&lt;1," ",IF(W12&lt;1," ",(W12)/$AE12))</f>
        <v xml:space="preserve"> </v>
      </c>
      <c r="Y12" s="388"/>
      <c r="Z12" s="337" t="str">
        <f>IF($AE12&lt;1," ",IF(Y12&lt;1," ",(Y12)/$AE12))</f>
        <v xml:space="preserve"> </v>
      </c>
      <c r="AA12" s="388"/>
      <c r="AB12" s="337" t="str">
        <f>IF($AE12&lt;1," ",IF(AA12&lt;1," ",(AA12)/$AE12))</f>
        <v xml:space="preserve"> </v>
      </c>
      <c r="AC12" s="1534">
        <f t="shared" si="0"/>
        <v>0</v>
      </c>
      <c r="AD12" s="377">
        <f>+E12+G12+I12+K12+M12+O12+Q12+S12+U12+W12+Y12+AA12+AC12</f>
        <v>0</v>
      </c>
      <c r="AE12" s="378">
        <f>'1st Interim-Summary MYP'!I15</f>
        <v>0</v>
      </c>
      <c r="AF12" s="377">
        <f>+AE12-AD12</f>
        <v>0</v>
      </c>
      <c r="AG12" s="1177"/>
    </row>
    <row r="13" spans="1:33" ht="15">
      <c r="A13" s="403"/>
      <c r="B13" s="139" t="s">
        <v>302</v>
      </c>
      <c r="C13" s="275">
        <v>8096</v>
      </c>
      <c r="D13" s="343"/>
      <c r="E13" s="375"/>
      <c r="F13" s="524" t="str">
        <f>IF($AE13&lt;1," ",IF(E13&lt;1," ",(E13)/$AE13))</f>
        <v xml:space="preserve"> </v>
      </c>
      <c r="G13" s="388"/>
      <c r="H13" s="524" t="str">
        <f>IF($AE13&lt;1," ",IF(G13&lt;1," ",(G13)/$AE13))</f>
        <v xml:space="preserve"> </v>
      </c>
      <c r="I13" s="388"/>
      <c r="J13" s="524" t="str">
        <f>IF($AE13&lt;1," ",IF(I13&lt;1," ",(I13)/$AE13))</f>
        <v xml:space="preserve"> </v>
      </c>
      <c r="K13" s="388"/>
      <c r="L13" s="524" t="str">
        <f>IF($AE13&lt;1," ",IF(K13&lt;1," ",(K13)/$AE13))</f>
        <v xml:space="preserve"> </v>
      </c>
      <c r="M13" s="388"/>
      <c r="N13" s="337" t="str">
        <f>IF($AE13&lt;1," ",IF(M13&lt;1," ",(M13)/$AE13))</f>
        <v xml:space="preserve"> </v>
      </c>
      <c r="O13" s="388"/>
      <c r="P13" s="337" t="str">
        <f>IF($AE13&lt;1," ",IF(O13&lt;1," ",(O13)/$AE13))</f>
        <v xml:space="preserve"> </v>
      </c>
      <c r="Q13" s="388"/>
      <c r="R13" s="524" t="str">
        <f>IF($AE13&lt;1," ",IF(Q13&lt;1," ",(Q13)/$AE13))</f>
        <v xml:space="preserve"> </v>
      </c>
      <c r="S13" s="388"/>
      <c r="T13" s="337" t="str">
        <f>IF($AE13&lt;1," ",IF(S13&lt;1," ",(S13)/$AE13))</f>
        <v xml:space="preserve"> </v>
      </c>
      <c r="U13" s="388"/>
      <c r="V13" s="337" t="str">
        <f>IF($AE13&lt;1," ",IF(U13&lt;1," ",(U13)/$AE13))</f>
        <v xml:space="preserve"> </v>
      </c>
      <c r="W13" s="388"/>
      <c r="X13" s="337" t="str">
        <f>IF($AE13&lt;1," ",IF(W13&lt;1," ",(W13)/$AE13))</f>
        <v xml:space="preserve"> </v>
      </c>
      <c r="Y13" s="388"/>
      <c r="Z13" s="337" t="str">
        <f>IF($AE13&lt;1," ",IF(Y13&lt;1," ",(Y13)/$AE13))</f>
        <v xml:space="preserve"> </v>
      </c>
      <c r="AA13" s="388"/>
      <c r="AB13" s="337" t="str">
        <f>IF($AE13&lt;1," ",IF(AA13&lt;1," ",(AA13)/$AE13))</f>
        <v xml:space="preserve"> </v>
      </c>
      <c r="AC13" s="1534">
        <f t="shared" si="0"/>
        <v>0</v>
      </c>
      <c r="AD13" s="377">
        <f>+E13+G13+I13+K13+M13+O13+Q13+S13+U13+W13+Y13+AA13+AC13</f>
        <v>0</v>
      </c>
      <c r="AE13" s="377">
        <f>'1st Interim-Summary MYP'!I16</f>
        <v>0</v>
      </c>
      <c r="AF13" s="377">
        <f>+AE13-AD13</f>
        <v>0</v>
      </c>
      <c r="AG13" s="1177"/>
    </row>
    <row r="14" spans="1:33" ht="15">
      <c r="A14" s="402" t="s">
        <v>304</v>
      </c>
      <c r="B14" s="145"/>
      <c r="C14" s="275" t="s">
        <v>99</v>
      </c>
      <c r="D14" s="374"/>
      <c r="E14" s="375"/>
      <c r="F14" s="524" t="str">
        <f>IF($AE14&lt;1," ",IF(E14&lt;1," ",(E14)/$AE14))</f>
        <v xml:space="preserve"> </v>
      </c>
      <c r="G14" s="388"/>
      <c r="H14" s="524" t="str">
        <f>IF($AE14&lt;1," ",IF(G14&lt;1," ",(G14)/$AE14))</f>
        <v xml:space="preserve"> </v>
      </c>
      <c r="I14" s="388"/>
      <c r="J14" s="524" t="str">
        <f>IF($AE14&lt;1," ",IF(I14&lt;1," ",(I14)/$AE14))</f>
        <v xml:space="preserve"> </v>
      </c>
      <c r="K14" s="388"/>
      <c r="L14" s="524" t="str">
        <f>IF($AE14&lt;1," ",IF(K14&lt;1," ",(K14)/$AE14))</f>
        <v xml:space="preserve"> </v>
      </c>
      <c r="M14" s="388"/>
      <c r="N14" s="337" t="str">
        <f>IF($AE14&lt;1," ",IF(M14&lt;1," ",(M14)/$AE14))</f>
        <v xml:space="preserve"> </v>
      </c>
      <c r="O14" s="388"/>
      <c r="P14" s="337" t="str">
        <f>IF($AE14&lt;1," ",IF(O14&lt;1," ",(O14)/$AE14))</f>
        <v xml:space="preserve"> </v>
      </c>
      <c r="Q14" s="388"/>
      <c r="R14" s="524" t="str">
        <f>IF($AE14&lt;1," ",IF(Q14&lt;1," ",(Q14)/$AE14))</f>
        <v xml:space="preserve"> </v>
      </c>
      <c r="S14" s="388"/>
      <c r="T14" s="337" t="str">
        <f>IF($AE14&lt;1," ",IF(S14&lt;1," ",(S14)/$AE14))</f>
        <v xml:space="preserve"> </v>
      </c>
      <c r="U14" s="388"/>
      <c r="V14" s="337" t="str">
        <f>IF($AE14&lt;1," ",IF(U14&lt;1," ",(U14)/$AE14))</f>
        <v xml:space="preserve"> </v>
      </c>
      <c r="W14" s="388"/>
      <c r="X14" s="337" t="str">
        <f>IF($AE14&lt;1," ",IF(W14&lt;1," ",(W14)/$AE14))</f>
        <v xml:space="preserve"> </v>
      </c>
      <c r="Y14" s="388"/>
      <c r="Z14" s="337" t="str">
        <f>IF($AE14&lt;1," ",IF(Y14&lt;1," ",(Y14)/$AE14))</f>
        <v xml:space="preserve"> </v>
      </c>
      <c r="AA14" s="388"/>
      <c r="AB14" s="337" t="str">
        <f>IF($AE14&lt;1," ",IF(AA14&lt;1," ",(AA14)/$AE14))</f>
        <v xml:space="preserve"> </v>
      </c>
      <c r="AC14" s="1534">
        <f t="shared" si="0"/>
        <v>0</v>
      </c>
      <c r="AD14" s="377">
        <f>+E14+G14+I14+K14+M14+O14+Q14+S14+U14+W14+Y14+AA14+AC14</f>
        <v>0</v>
      </c>
      <c r="AE14" s="377">
        <f>'1st Interim-Summary MYP'!I17</f>
        <v>0</v>
      </c>
      <c r="AF14" s="377">
        <f t="shared" ref="AF14:AF22" si="1">+AE14-AD14</f>
        <v>0</v>
      </c>
      <c r="AG14" s="1177"/>
    </row>
    <row r="15" spans="1:33" ht="15">
      <c r="A15" s="403" t="s">
        <v>305</v>
      </c>
      <c r="B15" s="139"/>
      <c r="C15" s="139"/>
      <c r="D15" s="374"/>
      <c r="E15" s="379"/>
      <c r="F15" s="524"/>
      <c r="G15" s="389"/>
      <c r="H15" s="524"/>
      <c r="I15" s="389"/>
      <c r="J15" s="524"/>
      <c r="K15" s="389"/>
      <c r="L15" s="524"/>
      <c r="M15" s="389"/>
      <c r="N15" s="337"/>
      <c r="O15" s="389"/>
      <c r="P15" s="337"/>
      <c r="Q15" s="389"/>
      <c r="R15" s="524"/>
      <c r="S15" s="389"/>
      <c r="T15" s="337"/>
      <c r="U15" s="389"/>
      <c r="V15" s="337"/>
      <c r="W15" s="389"/>
      <c r="X15" s="337"/>
      <c r="Y15" s="389"/>
      <c r="Z15" s="337"/>
      <c r="AA15" s="389"/>
      <c r="AB15" s="337"/>
      <c r="AC15" s="1535"/>
      <c r="AD15" s="377"/>
      <c r="AE15" s="377"/>
      <c r="AF15" s="377"/>
      <c r="AG15" s="1177"/>
    </row>
    <row r="16" spans="1:33" ht="15">
      <c r="A16" s="403"/>
      <c r="B16" s="139" t="s">
        <v>306</v>
      </c>
      <c r="C16" s="275">
        <v>8560</v>
      </c>
      <c r="D16" s="374"/>
      <c r="E16" s="375"/>
      <c r="F16" s="524" t="e">
        <f>IF($AE16&lt;1," ",IF(E16&lt;1," ",(E16)/$AE16))</f>
        <v>#VALUE!</v>
      </c>
      <c r="G16" s="388"/>
      <c r="H16" s="524" t="e">
        <f>IF($AE16&lt;1," ",IF(G16&lt;1," ",(G16)/$AE16))</f>
        <v>#VALUE!</v>
      </c>
      <c r="I16" s="388"/>
      <c r="J16" s="524" t="e">
        <f>IF($AE16&lt;1," ",IF(I16&lt;1," ",(I16)/$AE16))</f>
        <v>#VALUE!</v>
      </c>
      <c r="K16" s="388"/>
      <c r="L16" s="524" t="e">
        <f>IF($AE16&lt;1," ",IF(K16&lt;1," ",(K16)/$AE16))</f>
        <v>#VALUE!</v>
      </c>
      <c r="M16" s="388"/>
      <c r="N16" s="337" t="e">
        <f>IF($AE16&lt;1," ",IF(M16&lt;1," ",(M16)/$AE16))</f>
        <v>#VALUE!</v>
      </c>
      <c r="O16" s="388"/>
      <c r="P16" s="337" t="e">
        <f>IF($AE16&lt;1," ",IF(O16&lt;1," ",(O16)/$AE16))</f>
        <v>#VALUE!</v>
      </c>
      <c r="Q16" s="388"/>
      <c r="R16" s="524" t="e">
        <f>IF($AE16&lt;1," ",IF(Q16&lt;1," ",(Q16)/$AE16))</f>
        <v>#VALUE!</v>
      </c>
      <c r="S16" s="388"/>
      <c r="T16" s="337" t="e">
        <f>IF($AE16&lt;1," ",IF(S16&lt;1," ",(S16)/$AE16))</f>
        <v>#VALUE!</v>
      </c>
      <c r="U16" s="388"/>
      <c r="V16" s="337" t="e">
        <f>IF($AE16&lt;1," ",IF(U16&lt;1," ",(U16)/$AE16))</f>
        <v>#VALUE!</v>
      </c>
      <c r="W16" s="388"/>
      <c r="X16" s="337" t="e">
        <f>IF($AE16&lt;1," ",IF(W16&lt;1," ",(W16)/$AE16))</f>
        <v>#VALUE!</v>
      </c>
      <c r="Y16" s="388"/>
      <c r="Z16" s="337" t="e">
        <f>IF($AE16&lt;1," ",IF(Y16&lt;1," ",(Y16)/$AE16))</f>
        <v>#VALUE!</v>
      </c>
      <c r="AA16" s="388"/>
      <c r="AB16" s="337" t="e">
        <f>IF($AE16&lt;1," ",IF(AA16&lt;1," ",(AA16)/$AE16))</f>
        <v>#VALUE!</v>
      </c>
      <c r="AC16" s="1534" t="e">
        <f t="shared" si="0"/>
        <v>#VALUE!</v>
      </c>
      <c r="AD16" s="377" t="e">
        <f>+E16+G16+I16+K16+M16+O16+Q16+S16+U16+W16+Y16+AA16+AC16</f>
        <v>#VALUE!</v>
      </c>
      <c r="AE16" s="377" t="e">
        <f>'1st Interim-Summary MYP'!I19</f>
        <v>#VALUE!</v>
      </c>
      <c r="AF16" s="377" t="e">
        <f t="shared" si="1"/>
        <v>#VALUE!</v>
      </c>
      <c r="AG16" s="1177"/>
    </row>
    <row r="17" spans="1:33" ht="15">
      <c r="A17" s="403"/>
      <c r="B17" s="139" t="s">
        <v>307</v>
      </c>
      <c r="C17" s="275">
        <v>8560</v>
      </c>
      <c r="D17" s="374"/>
      <c r="E17" s="375"/>
      <c r="F17" s="524" t="e">
        <f>IF($AE17&lt;1," ",IF(E17&lt;1," ",(E17)/$AE17))</f>
        <v>#VALUE!</v>
      </c>
      <c r="G17" s="388"/>
      <c r="H17" s="524" t="e">
        <f>IF($AE17&lt;1," ",IF(G17&lt;1," ",(G17)/$AE17))</f>
        <v>#VALUE!</v>
      </c>
      <c r="I17" s="388"/>
      <c r="J17" s="524" t="e">
        <f>IF($AE17&lt;1," ",IF(I17&lt;1," ",(I17)/$AE17))</f>
        <v>#VALUE!</v>
      </c>
      <c r="K17" s="388"/>
      <c r="L17" s="524" t="e">
        <f>IF($AE17&lt;1," ",IF(K17&lt;1," ",(K17)/$AE17))</f>
        <v>#VALUE!</v>
      </c>
      <c r="M17" s="388"/>
      <c r="N17" s="337" t="e">
        <f>IF($AE17&lt;1," ",IF(M17&lt;1," ",(M17)/$AE17))</f>
        <v>#VALUE!</v>
      </c>
      <c r="O17" s="388"/>
      <c r="P17" s="337" t="e">
        <f>IF($AE17&lt;1," ",IF(O17&lt;1," ",(O17)/$AE17))</f>
        <v>#VALUE!</v>
      </c>
      <c r="Q17" s="388"/>
      <c r="R17" s="524" t="e">
        <f>IF($AE17&lt;1," ",IF(Q17&lt;1," ",(Q17)/$AE17))</f>
        <v>#VALUE!</v>
      </c>
      <c r="S17" s="388"/>
      <c r="T17" s="337" t="e">
        <f>IF($AE17&lt;1," ",IF(S17&lt;1," ",(S17)/$AE17))</f>
        <v>#VALUE!</v>
      </c>
      <c r="U17" s="388"/>
      <c r="V17" s="337" t="e">
        <f>IF($AE17&lt;1," ",IF(U17&lt;1," ",(U17)/$AE17))</f>
        <v>#VALUE!</v>
      </c>
      <c r="W17" s="388"/>
      <c r="X17" s="337" t="e">
        <f>IF($AE17&lt;1," ",IF(W17&lt;1," ",(W17)/$AE17))</f>
        <v>#VALUE!</v>
      </c>
      <c r="Y17" s="388"/>
      <c r="Z17" s="337" t="e">
        <f>IF($AE17&lt;1," ",IF(Y17&lt;1," ",(Y17)/$AE17))</f>
        <v>#VALUE!</v>
      </c>
      <c r="AA17" s="388"/>
      <c r="AB17" s="337" t="e">
        <f>IF($AE17&lt;1," ",IF(AA17&lt;1," ",(AA17)/$AE17))</f>
        <v>#VALUE!</v>
      </c>
      <c r="AC17" s="1534" t="e">
        <f t="shared" si="0"/>
        <v>#VALUE!</v>
      </c>
      <c r="AD17" s="377" t="e">
        <f>+E17+G17+I17+K17+M17+O17+Q17+S17+U17+W17+Y17+AA17+AC17</f>
        <v>#VALUE!</v>
      </c>
      <c r="AE17" s="377" t="e">
        <f>'1st Interim-Summary MYP'!I20</f>
        <v>#VALUE!</v>
      </c>
      <c r="AF17" s="377" t="e">
        <f>+AE17-AD17</f>
        <v>#VALUE!</v>
      </c>
      <c r="AG17" s="1177"/>
    </row>
    <row r="18" spans="1:33" ht="15">
      <c r="A18" s="403"/>
      <c r="B18" s="139" t="s">
        <v>308</v>
      </c>
      <c r="C18" s="275" t="s">
        <v>100</v>
      </c>
      <c r="D18" s="374"/>
      <c r="E18" s="375"/>
      <c r="F18" s="524" t="str">
        <f>IF($AE18&lt;1," ",IF(E18&lt;1," ",(E18)/$AE18))</f>
        <v xml:space="preserve"> </v>
      </c>
      <c r="G18" s="388"/>
      <c r="H18" s="524" t="str">
        <f>IF($AE18&lt;1," ",IF(G18&lt;1," ",(G18)/$AE18))</f>
        <v xml:space="preserve"> </v>
      </c>
      <c r="I18" s="388"/>
      <c r="J18" s="524" t="str">
        <f>IF($AE18&lt;1," ",IF(I18&lt;1," ",(I18)/$AE18))</f>
        <v xml:space="preserve"> </v>
      </c>
      <c r="K18" s="388"/>
      <c r="L18" s="524" t="str">
        <f>IF($AE18&lt;1," ",IF(K18&lt;1," ",(K18)/$AE18))</f>
        <v xml:space="preserve"> </v>
      </c>
      <c r="M18" s="388"/>
      <c r="N18" s="337" t="str">
        <f>IF($AE18&lt;1," ",IF(M18&lt;1," ",(M18)/$AE18))</f>
        <v xml:space="preserve"> </v>
      </c>
      <c r="O18" s="388"/>
      <c r="P18" s="337" t="str">
        <f>IF($AE18&lt;1," ",IF(O18&lt;1," ",(O18)/$AE18))</f>
        <v xml:space="preserve"> </v>
      </c>
      <c r="Q18" s="388"/>
      <c r="R18" s="524" t="str">
        <f>IF($AE18&lt;1," ",IF(Q18&lt;1," ",(Q18)/$AE18))</f>
        <v xml:space="preserve"> </v>
      </c>
      <c r="S18" s="388"/>
      <c r="T18" s="337" t="str">
        <f>IF($AE18&lt;1," ",IF(S18&lt;1," ",(S18)/$AE18))</f>
        <v xml:space="preserve"> </v>
      </c>
      <c r="U18" s="388"/>
      <c r="V18" s="337" t="str">
        <f>IF($AE18&lt;1," ",IF(U18&lt;1," ",(U18)/$AE18))</f>
        <v xml:space="preserve"> </v>
      </c>
      <c r="W18" s="388"/>
      <c r="X18" s="337" t="str">
        <f>IF($AE18&lt;1," ",IF(W18&lt;1," ",(W18)/$AE18))</f>
        <v xml:space="preserve"> </v>
      </c>
      <c r="Y18" s="388"/>
      <c r="Z18" s="337" t="str">
        <f>IF($AE18&lt;1," ",IF(Y18&lt;1," ",(Y18)/$AE18))</f>
        <v xml:space="preserve"> </v>
      </c>
      <c r="AA18" s="388"/>
      <c r="AB18" s="337" t="str">
        <f>IF($AE18&lt;1," ",IF(AA18&lt;1," ",(AA18)/$AE18))</f>
        <v xml:space="preserve"> </v>
      </c>
      <c r="AC18" s="1534">
        <f t="shared" si="0"/>
        <v>0</v>
      </c>
      <c r="AD18" s="377">
        <f>+E18+G18+I18+K18+M18+O18+Q18+S18+U18+W18+Y18+AA18+AC18</f>
        <v>0</v>
      </c>
      <c r="AE18" s="377">
        <f>'1st Interim-Summary MYP'!I21</f>
        <v>0</v>
      </c>
      <c r="AF18" s="377">
        <f t="shared" si="1"/>
        <v>0</v>
      </c>
      <c r="AG18" s="1177"/>
    </row>
    <row r="19" spans="1:33" ht="15">
      <c r="A19" s="403" t="s">
        <v>309</v>
      </c>
      <c r="B19" s="139"/>
      <c r="C19" s="139"/>
      <c r="D19" s="374"/>
      <c r="E19" s="379"/>
      <c r="F19" s="524"/>
      <c r="G19" s="389"/>
      <c r="H19" s="524"/>
      <c r="I19" s="389"/>
      <c r="J19" s="524"/>
      <c r="K19" s="389"/>
      <c r="L19" s="524"/>
      <c r="M19" s="389"/>
      <c r="N19" s="337"/>
      <c r="O19" s="389"/>
      <c r="P19" s="337"/>
      <c r="Q19" s="389"/>
      <c r="R19" s="524"/>
      <c r="S19" s="389"/>
      <c r="T19" s="337"/>
      <c r="U19" s="389"/>
      <c r="V19" s="337"/>
      <c r="W19" s="389"/>
      <c r="X19" s="337"/>
      <c r="Y19" s="389"/>
      <c r="Z19" s="337"/>
      <c r="AA19" s="389"/>
      <c r="AB19" s="337"/>
      <c r="AC19" s="1535"/>
      <c r="AD19" s="377"/>
      <c r="AE19" s="377"/>
      <c r="AF19" s="377"/>
      <c r="AG19" s="1177"/>
    </row>
    <row r="20" spans="1:33" ht="15">
      <c r="A20" s="403"/>
      <c r="B20" s="139" t="s">
        <v>236</v>
      </c>
      <c r="C20" s="275">
        <v>8660</v>
      </c>
      <c r="D20" s="374"/>
      <c r="E20" s="375"/>
      <c r="F20" s="524" t="str">
        <f>IF($AE20&lt;1," ",IF(E20&lt;1," ",(E20)/$AE20))</f>
        <v xml:space="preserve"> </v>
      </c>
      <c r="G20" s="388"/>
      <c r="H20" s="524" t="str">
        <f>IF($AE20&lt;1," ",IF(G20&lt;1," ",(G20)/$AE20))</f>
        <v xml:space="preserve"> </v>
      </c>
      <c r="I20" s="388"/>
      <c r="J20" s="524" t="str">
        <f>IF($AE20&lt;1," ",IF(I20&lt;1," ",(I20)/$AE20))</f>
        <v xml:space="preserve"> </v>
      </c>
      <c r="K20" s="388"/>
      <c r="L20" s="524" t="str">
        <f>IF($AE20&lt;1," ",IF(K20&lt;1," ",(K20)/$AE20))</f>
        <v xml:space="preserve"> </v>
      </c>
      <c r="M20" s="388"/>
      <c r="N20" s="337" t="str">
        <f>IF($AE20&lt;1," ",IF(M20&lt;1," ",(M20)/$AE20))</f>
        <v xml:space="preserve"> </v>
      </c>
      <c r="O20" s="388"/>
      <c r="P20" s="337" t="str">
        <f>IF($AE20&lt;1," ",IF(O20&lt;1," ",(O20)/$AE20))</f>
        <v xml:space="preserve"> </v>
      </c>
      <c r="Q20" s="388"/>
      <c r="R20" s="524" t="str">
        <f>IF($AE20&lt;1," ",IF(Q20&lt;1," ",(Q20)/$AE20))</f>
        <v xml:space="preserve"> </v>
      </c>
      <c r="S20" s="388"/>
      <c r="T20" s="337" t="str">
        <f>IF($AE20&lt;1," ",IF(S20&lt;1," ",(S20)/$AE20))</f>
        <v xml:space="preserve"> </v>
      </c>
      <c r="U20" s="388"/>
      <c r="V20" s="337" t="str">
        <f>IF($AE20&lt;1," ",IF(U20&lt;1," ",(U20)/$AE20))</f>
        <v xml:space="preserve"> </v>
      </c>
      <c r="W20" s="388"/>
      <c r="X20" s="337" t="str">
        <f>IF($AE20&lt;1," ",IF(W20&lt;1," ",(W20)/$AE20))</f>
        <v xml:space="preserve"> </v>
      </c>
      <c r="Y20" s="388"/>
      <c r="Z20" s="337" t="str">
        <f>IF($AE20&lt;1," ",IF(Y20&lt;1," ",(Y20)/$AE20))</f>
        <v xml:space="preserve"> </v>
      </c>
      <c r="AA20" s="388"/>
      <c r="AB20" s="337" t="str">
        <f>IF($AE20&lt;1," ",IF(AA20&lt;1," ",(AA20)/$AE20))</f>
        <v xml:space="preserve"> </v>
      </c>
      <c r="AC20" s="1534">
        <f t="shared" si="0"/>
        <v>0</v>
      </c>
      <c r="AD20" s="377">
        <f>+E20+G20+I20+K20+M20+O20+Q20+S20+U20+W20+Y20+AA20+AC20</f>
        <v>0</v>
      </c>
      <c r="AE20" s="377">
        <f>'1st Interim-Summary MYP'!I23</f>
        <v>0</v>
      </c>
      <c r="AF20" s="377">
        <f t="shared" si="1"/>
        <v>0</v>
      </c>
      <c r="AG20" s="1177"/>
    </row>
    <row r="21" spans="1:33" ht="15">
      <c r="A21" s="403"/>
      <c r="B21" s="139" t="s">
        <v>310</v>
      </c>
      <c r="C21" s="275">
        <v>8792</v>
      </c>
      <c r="D21" s="374"/>
      <c r="E21" s="375"/>
      <c r="F21" s="524" t="str">
        <f>IF($AE21&lt;1," ",IF(E21&lt;1," ",(E21)/$AE21))</f>
        <v xml:space="preserve"> </v>
      </c>
      <c r="G21" s="388"/>
      <c r="H21" s="524" t="str">
        <f>IF($AE21&lt;1," ",IF(G21&lt;1," ",(G21)/$AE21))</f>
        <v xml:space="preserve"> </v>
      </c>
      <c r="I21" s="388"/>
      <c r="J21" s="524" t="str">
        <f>IF($AE21&lt;1," ",IF(I21&lt;1," ",(I21)/$AE21))</f>
        <v xml:space="preserve"> </v>
      </c>
      <c r="K21" s="388"/>
      <c r="L21" s="524" t="str">
        <f>IF($AE21&lt;1," ",IF(K21&lt;1," ",(K21)/$AE21))</f>
        <v xml:space="preserve"> </v>
      </c>
      <c r="M21" s="388"/>
      <c r="N21" s="337" t="str">
        <f>IF($AE21&lt;1," ",IF(M21&lt;1," ",(M21)/$AE21))</f>
        <v xml:space="preserve"> </v>
      </c>
      <c r="O21" s="388"/>
      <c r="P21" s="337" t="str">
        <f>IF($AE21&lt;1," ",IF(O21&lt;1," ",(O21)/$AE21))</f>
        <v xml:space="preserve"> </v>
      </c>
      <c r="Q21" s="388"/>
      <c r="R21" s="524" t="str">
        <f>IF($AE21&lt;1," ",IF(Q21&lt;1," ",(Q21)/$AE21))</f>
        <v xml:space="preserve"> </v>
      </c>
      <c r="S21" s="388"/>
      <c r="T21" s="337" t="str">
        <f>IF($AE21&lt;1," ",IF(S21&lt;1," ",(S21)/$AE21))</f>
        <v xml:space="preserve"> </v>
      </c>
      <c r="U21" s="388"/>
      <c r="V21" s="337" t="str">
        <f>IF($AE21&lt;1," ",IF(U21&lt;1," ",(U21)/$AE21))</f>
        <v xml:space="preserve"> </v>
      </c>
      <c r="W21" s="388"/>
      <c r="X21" s="337" t="str">
        <f>IF($AE21&lt;1," ",IF(W21&lt;1," ",(W21)/$AE21))</f>
        <v xml:space="preserve"> </v>
      </c>
      <c r="Y21" s="388"/>
      <c r="Z21" s="337" t="str">
        <f>IF($AE21&lt;1," ",IF(Y21&lt;1," ",(Y21)/$AE21))</f>
        <v xml:space="preserve"> </v>
      </c>
      <c r="AA21" s="388"/>
      <c r="AB21" s="337" t="str">
        <f>IF($AE21&lt;1," ",IF(AA21&lt;1," ",(AA21)/$AE21))</f>
        <v xml:space="preserve"> </v>
      </c>
      <c r="AC21" s="1534">
        <f t="shared" si="0"/>
        <v>0</v>
      </c>
      <c r="AD21" s="377">
        <f>+E21+G21+I21+K21+M21+O21+Q21+S21+U21+W21+Y21+AA21+AC21</f>
        <v>0</v>
      </c>
      <c r="AE21" s="377">
        <f>'1st Interim-Summary MYP'!I24</f>
        <v>0</v>
      </c>
      <c r="AF21" s="377">
        <f t="shared" si="1"/>
        <v>0</v>
      </c>
      <c r="AG21" s="1177"/>
    </row>
    <row r="22" spans="1:33" ht="15">
      <c r="A22" s="403"/>
      <c r="B22" s="139" t="s">
        <v>311</v>
      </c>
      <c r="C22" s="275" t="s">
        <v>101</v>
      </c>
      <c r="D22" s="374"/>
      <c r="E22" s="375"/>
      <c r="F22" s="524" t="str">
        <f>IF($AE22&lt;1," ",IF(E22&lt;1," ",(E22)/$AE22))</f>
        <v xml:space="preserve"> </v>
      </c>
      <c r="G22" s="388"/>
      <c r="H22" s="524" t="str">
        <f>IF($AE22&lt;1," ",IF(G22&lt;1," ",(G22)/$AE22))</f>
        <v xml:space="preserve"> </v>
      </c>
      <c r="I22" s="388"/>
      <c r="J22" s="524" t="str">
        <f>IF($AE22&lt;1," ",IF(I22&lt;1," ",(I22)/$AE22))</f>
        <v xml:space="preserve"> </v>
      </c>
      <c r="K22" s="388"/>
      <c r="L22" s="524" t="str">
        <f>IF($AE22&lt;1," ",IF(K22&lt;1," ",(K22)/$AE22))</f>
        <v xml:space="preserve"> </v>
      </c>
      <c r="M22" s="388"/>
      <c r="N22" s="337" t="str">
        <f>IF($AE22&lt;1," ",IF(M22&lt;1," ",(M22)/$AE22))</f>
        <v xml:space="preserve"> </v>
      </c>
      <c r="O22" s="388"/>
      <c r="P22" s="337" t="str">
        <f>IF($AE22&lt;1," ",IF(O22&lt;1," ",(O22)/$AE22))</f>
        <v xml:space="preserve"> </v>
      </c>
      <c r="Q22" s="388"/>
      <c r="R22" s="524" t="str">
        <f>IF($AE22&lt;1," ",IF(Q22&lt;1," ",(Q22)/$AE22))</f>
        <v xml:space="preserve"> </v>
      </c>
      <c r="S22" s="388"/>
      <c r="T22" s="337" t="str">
        <f>IF($AE22&lt;1," ",IF(S22&lt;1," ",(S22)/$AE22))</f>
        <v xml:space="preserve"> </v>
      </c>
      <c r="U22" s="388"/>
      <c r="V22" s="337" t="str">
        <f>IF($AE22&lt;1," ",IF(U22&lt;1," ",(U22)/$AE22))</f>
        <v xml:space="preserve"> </v>
      </c>
      <c r="W22" s="388"/>
      <c r="X22" s="337" t="str">
        <f>IF($AE22&lt;1," ",IF(W22&lt;1," ",(W22)/$AE22))</f>
        <v xml:space="preserve"> </v>
      </c>
      <c r="Y22" s="388"/>
      <c r="Z22" s="337" t="str">
        <f>IF($AE22&lt;1," ",IF(Y22&lt;1," ",(Y22)/$AE22))</f>
        <v xml:space="preserve"> </v>
      </c>
      <c r="AA22" s="388"/>
      <c r="AB22" s="337" t="str">
        <f>IF($AE22&lt;1," ",IF(AA22&lt;1," ",(AA22)/$AE22))</f>
        <v xml:space="preserve"> </v>
      </c>
      <c r="AC22" s="1534">
        <f t="shared" si="0"/>
        <v>0</v>
      </c>
      <c r="AD22" s="377">
        <f>+E22+G22+I22+K22+M22+O22+Q22+S22+U22+W22+Y22+AA22+AC22</f>
        <v>0</v>
      </c>
      <c r="AE22" s="377">
        <f>'1st Interim-Summary MYP'!I25</f>
        <v>0</v>
      </c>
      <c r="AF22" s="377">
        <f t="shared" si="1"/>
        <v>0</v>
      </c>
      <c r="AG22" s="1177"/>
    </row>
    <row r="23" spans="1:33" ht="15.4" thickBot="1">
      <c r="A23" s="402" t="s">
        <v>312</v>
      </c>
      <c r="B23" s="380"/>
      <c r="C23" s="381"/>
      <c r="D23" s="381"/>
      <c r="E23" s="760">
        <f>SUM(E10:E22)</f>
        <v>0</v>
      </c>
      <c r="F23" s="526" t="e">
        <f>IF($AE23&lt;1," ",IF(E23&lt;1," ",(E23)/$AE23))</f>
        <v>#VALUE!</v>
      </c>
      <c r="G23" s="761">
        <f>SUM(G10:G22)</f>
        <v>0</v>
      </c>
      <c r="H23" s="526" t="e">
        <f>IF($AE23&lt;1," ",IF(G23&lt;1," ",(G23)/$AE23))</f>
        <v>#VALUE!</v>
      </c>
      <c r="I23" s="761">
        <f>SUM(I10:I22)</f>
        <v>0</v>
      </c>
      <c r="J23" s="526" t="e">
        <f>IF($AE23&lt;1," ",IF(I23&lt;1," ",(I23)/$AE23))</f>
        <v>#VALUE!</v>
      </c>
      <c r="K23" s="761">
        <f>SUM(K10:K22)</f>
        <v>0</v>
      </c>
      <c r="L23" s="526" t="e">
        <f>IF($AE23&lt;1," ",IF(K23&lt;1," ",(K23)/$AE23))</f>
        <v>#VALUE!</v>
      </c>
      <c r="M23" s="761">
        <f>SUM(M10:M22)</f>
        <v>0</v>
      </c>
      <c r="N23" s="382" t="e">
        <f>IF($AE23&lt;1," ",IF(M23&lt;1," ",(M23)/$AE23))</f>
        <v>#VALUE!</v>
      </c>
      <c r="O23" s="761">
        <f>SUM(O10:O22)</f>
        <v>0</v>
      </c>
      <c r="P23" s="382" t="e">
        <f>IF($AE23&lt;1," ",IF(O23&lt;1," ",(O23)/$AE23))</f>
        <v>#VALUE!</v>
      </c>
      <c r="Q23" s="761">
        <f>SUM(Q10:Q22)</f>
        <v>0</v>
      </c>
      <c r="R23" s="526" t="e">
        <f>IF($AE23&lt;1," ",IF(Q23&lt;1," ",(Q23)/$AE23))</f>
        <v>#VALUE!</v>
      </c>
      <c r="S23" s="761">
        <f>SUM(S10:S22)</f>
        <v>0</v>
      </c>
      <c r="T23" s="382" t="e">
        <f>IF($AE23&lt;1," ",IF(S23&lt;1," ",(S23)/$AE23))</f>
        <v>#VALUE!</v>
      </c>
      <c r="U23" s="761">
        <f>SUM(U10:U22)</f>
        <v>0</v>
      </c>
      <c r="V23" s="382" t="e">
        <f>IF($AE23&lt;1," ",IF(U23&lt;1," ",(U23)/$AE23))</f>
        <v>#VALUE!</v>
      </c>
      <c r="W23" s="761">
        <f>SUM(W10:W22)</f>
        <v>0</v>
      </c>
      <c r="X23" s="382" t="e">
        <f>IF($AE23&lt;1," ",IF(W23&lt;1," ",(W23)/$AE23))</f>
        <v>#VALUE!</v>
      </c>
      <c r="Y23" s="761">
        <f>SUM(Y10:Y22)</f>
        <v>0</v>
      </c>
      <c r="Z23" s="382" t="e">
        <f>IF($AE23&lt;1," ",IF(Y23&lt;1," ",(Y23)/$AE23))</f>
        <v>#VALUE!</v>
      </c>
      <c r="AA23" s="761">
        <f>SUM(AA10:AA22)</f>
        <v>0</v>
      </c>
      <c r="AB23" s="382" t="e">
        <f>IF($AE23&lt;1," ",IF(AA23&lt;1," ",(AA23)/$AE23))</f>
        <v>#VALUE!</v>
      </c>
      <c r="AC23" s="1536" t="e">
        <f>SUM(AC10:AC22)</f>
        <v>#VALUE!</v>
      </c>
      <c r="AD23" s="763" t="e">
        <f>SUM(AD10:AD22)</f>
        <v>#VALUE!</v>
      </c>
      <c r="AE23" s="763" t="e">
        <f>SUM(AE10:AE22)</f>
        <v>#VALUE!</v>
      </c>
      <c r="AF23" s="763" t="e">
        <f>SUM(AF10:AF22)</f>
        <v>#VALUE!</v>
      </c>
      <c r="AG23" s="1177"/>
    </row>
    <row r="24" spans="1:33" ht="15">
      <c r="A24" s="404"/>
      <c r="B24" s="368"/>
      <c r="C24" s="71"/>
      <c r="D24" s="71"/>
      <c r="E24" s="72"/>
      <c r="F24" s="192"/>
      <c r="G24" s="73"/>
      <c r="H24" s="192"/>
      <c r="I24" s="73"/>
      <c r="J24" s="192"/>
      <c r="K24" s="73"/>
      <c r="L24" s="192"/>
      <c r="M24" s="73"/>
      <c r="N24" s="192"/>
      <c r="O24" s="73"/>
      <c r="P24" s="192"/>
      <c r="Q24" s="73"/>
      <c r="R24" s="192"/>
      <c r="S24" s="73"/>
      <c r="T24" s="192"/>
      <c r="U24" s="73"/>
      <c r="V24" s="192"/>
      <c r="W24" s="73"/>
      <c r="X24" s="192"/>
      <c r="Y24" s="73"/>
      <c r="Z24" s="192"/>
      <c r="AA24" s="73"/>
      <c r="AB24" s="192"/>
      <c r="AC24" s="1006"/>
      <c r="AD24" s="1006"/>
      <c r="AE24" s="1006"/>
      <c r="AF24" s="1022"/>
      <c r="AG24" s="1177"/>
    </row>
    <row r="25" spans="1:33" ht="15">
      <c r="A25" s="66" t="s">
        <v>3</v>
      </c>
      <c r="B25" s="179"/>
      <c r="C25" s="371"/>
      <c r="D25" s="371"/>
      <c r="E25" s="538"/>
      <c r="F25" s="478"/>
      <c r="G25" s="518"/>
      <c r="H25" s="478"/>
      <c r="I25" s="518"/>
      <c r="J25" s="478"/>
      <c r="K25" s="518"/>
      <c r="L25" s="478"/>
      <c r="M25" s="518"/>
      <c r="N25" s="478"/>
      <c r="O25" s="518"/>
      <c r="P25" s="478"/>
      <c r="Q25" s="518"/>
      <c r="R25" s="478"/>
      <c r="S25" s="518"/>
      <c r="T25" s="478"/>
      <c r="U25" s="518"/>
      <c r="V25" s="478"/>
      <c r="W25" s="518"/>
      <c r="X25" s="478"/>
      <c r="Y25" s="518"/>
      <c r="Z25" s="478"/>
      <c r="AA25" s="518"/>
      <c r="AB25" s="478"/>
      <c r="AC25" s="1010"/>
      <c r="AD25" s="1010"/>
      <c r="AE25" s="1010"/>
      <c r="AF25" s="1018"/>
      <c r="AG25" s="1177"/>
    </row>
    <row r="26" spans="1:33" ht="15">
      <c r="A26" s="403" t="s">
        <v>4</v>
      </c>
      <c r="B26" s="139"/>
      <c r="C26" s="275" t="s">
        <v>102</v>
      </c>
      <c r="D26" s="374"/>
      <c r="E26" s="375"/>
      <c r="F26" s="524" t="str">
        <f>IF($AE$26&lt;1," ",IF(E26&lt;1," ",(E26)/$AE$26))</f>
        <v xml:space="preserve"> </v>
      </c>
      <c r="G26" s="388"/>
      <c r="H26" s="524" t="str">
        <f>IF($AE$26&lt;1," ",IF(G26&lt;1," ",(G26)/$AE$26))</f>
        <v xml:space="preserve"> </v>
      </c>
      <c r="I26" s="388"/>
      <c r="J26" s="524" t="str">
        <f>IF($AE$26&lt;1," ",IF(I26&lt;1," ",(I26)/$AE$26))</f>
        <v xml:space="preserve"> </v>
      </c>
      <c r="K26" s="388"/>
      <c r="L26" s="524" t="str">
        <f>IF($AE$26&lt;1," ",IF(K26&lt;1," ",(K26)/$AE$26))</f>
        <v xml:space="preserve"> </v>
      </c>
      <c r="M26" s="388"/>
      <c r="N26" s="337" t="str">
        <f>IF($AE$26&lt;1," ",IF(M26&lt;1," ",(M26)/$AE$26))</f>
        <v xml:space="preserve"> </v>
      </c>
      <c r="O26" s="388"/>
      <c r="P26" s="524" t="str">
        <f>IF($AE$26&lt;1," ",IF(O26&lt;1," ",(O26)/$AE$26))</f>
        <v xml:space="preserve"> </v>
      </c>
      <c r="Q26" s="388"/>
      <c r="R26" s="524" t="str">
        <f>IF($AE$26&lt;1," ",IF(Q26&lt;1," ",(Q26)/$AE$26))</f>
        <v xml:space="preserve"> </v>
      </c>
      <c r="S26" s="388"/>
      <c r="T26" s="337" t="str">
        <f>IF($AE$26&lt;1," ",IF(S26&lt;1," ",(S26)/$AE$26))</f>
        <v xml:space="preserve"> </v>
      </c>
      <c r="U26" s="388"/>
      <c r="V26" s="337" t="str">
        <f>IF($AE$26&lt;1," ",IF(U26&lt;1," ",(U26)/$AE$26))</f>
        <v xml:space="preserve"> </v>
      </c>
      <c r="W26" s="388"/>
      <c r="X26" s="337" t="str">
        <f>IF($AE$26&lt;1," ",IF(W26&lt;1," ",(W26)/$AE$26))</f>
        <v xml:space="preserve"> </v>
      </c>
      <c r="Y26" s="388"/>
      <c r="Z26" s="337" t="str">
        <f>IF($AE$26&lt;1," ",IF(Y26&lt;1," ",(Y26)/$AE$26))</f>
        <v xml:space="preserve"> </v>
      </c>
      <c r="AA26" s="388"/>
      <c r="AB26" s="337" t="str">
        <f>IF($AE$26&lt;1," ",IF(AA26&lt;1," ",(AA26)/$AE$26))</f>
        <v xml:space="preserve"> </v>
      </c>
      <c r="AC26" s="1537">
        <f t="shared" ref="AC26:AC34" si="2">AE26-(E26+G26+I26+K26+M26+O26+Q26+S26+U26+W26+Y26+AA26)</f>
        <v>0</v>
      </c>
      <c r="AD26" s="385">
        <f t="shared" ref="AD26:AD34" si="3">+E26+G26+I26+K26+M26+O26+Q26+S26+U26+W26+Y26+AA26+AC26</f>
        <v>0</v>
      </c>
      <c r="AE26" s="385">
        <f>'1st Interim-Summary MYP'!I29</f>
        <v>0</v>
      </c>
      <c r="AF26" s="385">
        <f t="shared" ref="AF26:AF34" si="4">+AE26-AD26</f>
        <v>0</v>
      </c>
      <c r="AG26" s="1177"/>
    </row>
    <row r="27" spans="1:33" ht="15">
      <c r="A27" s="403" t="s">
        <v>23</v>
      </c>
      <c r="B27" s="139"/>
      <c r="C27" s="275" t="s">
        <v>103</v>
      </c>
      <c r="D27" s="374"/>
      <c r="E27" s="375"/>
      <c r="F27" s="524" t="str">
        <f>IF($AE$27&lt;1," ",IF(E27&lt;1," ",(E27)/$AE$27))</f>
        <v xml:space="preserve"> </v>
      </c>
      <c r="G27" s="388"/>
      <c r="H27" s="524" t="str">
        <f>IF($AE$27&lt;1," ",IF(G27&lt;1," ",(G27)/$AE$27))</f>
        <v xml:space="preserve"> </v>
      </c>
      <c r="I27" s="388"/>
      <c r="J27" s="524" t="str">
        <f>IF($AE$27&lt;1," ",IF(I27&lt;1," ",(I27)/$AE$27))</f>
        <v xml:space="preserve"> </v>
      </c>
      <c r="K27" s="388"/>
      <c r="L27" s="524" t="str">
        <f>IF($AE$27&lt;1," ",IF(K27&lt;1," ",(K27)/$AE$27))</f>
        <v xml:space="preserve"> </v>
      </c>
      <c r="M27" s="388"/>
      <c r="N27" s="337" t="str">
        <f>IF($AE$27&lt;1," ",IF(M27&lt;1," ",(M27)/$AE$27))</f>
        <v xml:space="preserve"> </v>
      </c>
      <c r="O27" s="388"/>
      <c r="P27" s="524" t="str">
        <f>IF($AE$27&lt;1," ",IF(O27&lt;1," ",(O27)/$AE$27))</f>
        <v xml:space="preserve"> </v>
      </c>
      <c r="Q27" s="388"/>
      <c r="R27" s="524" t="str">
        <f>IF($AE$27&lt;1," ",IF(Q27&lt;1," ",(Q27)/$AE$27))</f>
        <v xml:space="preserve"> </v>
      </c>
      <c r="S27" s="388"/>
      <c r="T27" s="337" t="str">
        <f>IF($AE$27&lt;1," ",IF(S27&lt;1," ",(S27)/$AE$27))</f>
        <v xml:space="preserve"> </v>
      </c>
      <c r="U27" s="388"/>
      <c r="V27" s="337" t="str">
        <f>IF($AE$27&lt;1," ",IF(U27&lt;1," ",(U27)/$AE$27))</f>
        <v xml:space="preserve"> </v>
      </c>
      <c r="W27" s="388"/>
      <c r="X27" s="337" t="str">
        <f>IF($AE$27&lt;1," ",IF(W27&lt;1," ",(W27)/$AE$27))</f>
        <v xml:space="preserve"> </v>
      </c>
      <c r="Y27" s="388"/>
      <c r="Z27" s="337" t="str">
        <f>IF($AE$27&lt;1," ",IF(Y27&lt;1," ",(Y27)/$AE$27))</f>
        <v xml:space="preserve"> </v>
      </c>
      <c r="AA27" s="388"/>
      <c r="AB27" s="337" t="str">
        <f>IF($AE$27&lt;1," ",IF(AA27&lt;1," ",(AA27)/$AE$27))</f>
        <v xml:space="preserve"> </v>
      </c>
      <c r="AC27" s="1537">
        <f t="shared" si="2"/>
        <v>0</v>
      </c>
      <c r="AD27" s="385">
        <f t="shared" si="3"/>
        <v>0</v>
      </c>
      <c r="AE27" s="385">
        <f>'1st Interim-Summary MYP'!I30</f>
        <v>0</v>
      </c>
      <c r="AF27" s="385">
        <f t="shared" si="4"/>
        <v>0</v>
      </c>
      <c r="AG27" s="1177"/>
    </row>
    <row r="28" spans="1:33" ht="15">
      <c r="A28" s="403" t="s">
        <v>24</v>
      </c>
      <c r="B28" s="139"/>
      <c r="C28" s="275" t="s">
        <v>104</v>
      </c>
      <c r="D28" s="374"/>
      <c r="E28" s="375"/>
      <c r="F28" s="524" t="str">
        <f>IF($AE$28&lt;1," ",IF(E28&lt;1," ",(E28)/$AE$28))</f>
        <v xml:space="preserve"> </v>
      </c>
      <c r="G28" s="388"/>
      <c r="H28" s="524" t="str">
        <f>IF($AE$28&lt;1," ",IF(G28&lt;1," ",(G28)/$AE$28))</f>
        <v xml:space="preserve"> </v>
      </c>
      <c r="I28" s="388"/>
      <c r="J28" s="524" t="str">
        <f>IF($AE$28&lt;1," ",IF(I28&lt;1," ",(I28)/$AE$28))</f>
        <v xml:space="preserve"> </v>
      </c>
      <c r="K28" s="388"/>
      <c r="L28" s="524" t="str">
        <f>IF($AE$28&lt;1," ",IF(K28&lt;1," ",(K28)/$AE$28))</f>
        <v xml:space="preserve"> </v>
      </c>
      <c r="M28" s="388"/>
      <c r="N28" s="337" t="str">
        <f>IF($AE$28&lt;1," ",IF(M28&lt;1," ",(M28)/$AE$28))</f>
        <v xml:space="preserve"> </v>
      </c>
      <c r="O28" s="388"/>
      <c r="P28" s="524" t="str">
        <f>IF($AE$28&lt;1," ",IF(O28&lt;1," ",(O28)/$AE$28))</f>
        <v xml:space="preserve"> </v>
      </c>
      <c r="Q28" s="388"/>
      <c r="R28" s="524" t="str">
        <f>IF($AE$28&lt;1," ",IF(Q28&lt;1," ",(Q28)/$AE$28))</f>
        <v xml:space="preserve"> </v>
      </c>
      <c r="S28" s="388"/>
      <c r="T28" s="337" t="str">
        <f>IF($AE$28&lt;1," ",IF(S28&lt;1," ",(S28)/$AE$28))</f>
        <v xml:space="preserve"> </v>
      </c>
      <c r="U28" s="388"/>
      <c r="V28" s="337" t="str">
        <f>IF($AE$28&lt;1," ",IF(U28&lt;1," ",(U28)/$AE$28))</f>
        <v xml:space="preserve"> </v>
      </c>
      <c r="W28" s="388"/>
      <c r="X28" s="337" t="str">
        <f>IF($AE$28&lt;1," ",IF(W28&lt;1," ",(W28)/$AE$28))</f>
        <v xml:space="preserve"> </v>
      </c>
      <c r="Y28" s="388"/>
      <c r="Z28" s="337" t="str">
        <f>IF($AE$28&lt;1," ",IF(Y28&lt;1," ",(Y28)/$AE$28))</f>
        <v xml:space="preserve"> </v>
      </c>
      <c r="AA28" s="388"/>
      <c r="AB28" s="337" t="str">
        <f>IF($AE$28&lt;1," ",IF(AA28&lt;1," ",(AA28)/$AE$28))</f>
        <v xml:space="preserve"> </v>
      </c>
      <c r="AC28" s="1537">
        <f t="shared" si="2"/>
        <v>0</v>
      </c>
      <c r="AD28" s="385">
        <f t="shared" si="3"/>
        <v>0</v>
      </c>
      <c r="AE28" s="385">
        <f>'1st Interim-Summary MYP'!I31</f>
        <v>0</v>
      </c>
      <c r="AF28" s="385">
        <f t="shared" si="4"/>
        <v>0</v>
      </c>
      <c r="AG28" s="1177"/>
    </row>
    <row r="29" spans="1:33" ht="15">
      <c r="A29" s="403" t="s">
        <v>25</v>
      </c>
      <c r="B29" s="139"/>
      <c r="C29" s="275" t="s">
        <v>105</v>
      </c>
      <c r="D29" s="374"/>
      <c r="E29" s="375"/>
      <c r="F29" s="524" t="str">
        <f>IF($AE$29&lt;1," ",IF(E29&lt;1," ",(E29)/$AE$29))</f>
        <v xml:space="preserve"> </v>
      </c>
      <c r="G29" s="388"/>
      <c r="H29" s="524" t="str">
        <f>IF($AE$29&lt;1," ",IF(G29&lt;1," ",(G29)/$AE$29))</f>
        <v xml:space="preserve"> </v>
      </c>
      <c r="I29" s="388"/>
      <c r="J29" s="524" t="str">
        <f>IF($AE$29&lt;1," ",IF(I29&lt;1," ",(I29)/$AE$29))</f>
        <v xml:space="preserve"> </v>
      </c>
      <c r="K29" s="388"/>
      <c r="L29" s="524" t="str">
        <f>IF($AE$29&lt;1," ",IF(K29&lt;1," ",(K29)/$AE$29))</f>
        <v xml:space="preserve"> </v>
      </c>
      <c r="M29" s="388"/>
      <c r="N29" s="337" t="str">
        <f>IF($AE$29&lt;1," ",IF(M29&lt;1," ",(M29)/$AE$29))</f>
        <v xml:space="preserve"> </v>
      </c>
      <c r="O29" s="388"/>
      <c r="P29" s="524" t="str">
        <f>IF($AE$29&lt;1," ",IF(O29&lt;1," ",(O29)/$AE$29))</f>
        <v xml:space="preserve"> </v>
      </c>
      <c r="Q29" s="388"/>
      <c r="R29" s="524" t="str">
        <f>IF($AE$29&lt;1," ",IF(Q29&lt;1," ",(Q29)/$AE$29))</f>
        <v xml:space="preserve"> </v>
      </c>
      <c r="S29" s="388"/>
      <c r="T29" s="337" t="str">
        <f>IF($AE$29&lt;1," ",IF(S29&lt;1," ",(S29)/$AE$29))</f>
        <v xml:space="preserve"> </v>
      </c>
      <c r="U29" s="388"/>
      <c r="V29" s="337" t="str">
        <f>IF($AE$29&lt;1," ",IF(U29&lt;1," ",(U29)/$AE$29))</f>
        <v xml:space="preserve"> </v>
      </c>
      <c r="W29" s="388"/>
      <c r="X29" s="337" t="str">
        <f>IF($AE$29&lt;1," ",IF(W29&lt;1," ",(W29)/$AE$29))</f>
        <v xml:space="preserve"> </v>
      </c>
      <c r="Y29" s="388"/>
      <c r="Z29" s="337" t="str">
        <f>IF($AE$29&lt;1," ",IF(Y29&lt;1," ",(Y29)/$AE$29))</f>
        <v xml:space="preserve"> </v>
      </c>
      <c r="AA29" s="388"/>
      <c r="AB29" s="337" t="str">
        <f>IF($AE$29&lt;1," ",IF(AA29&lt;1," ",(AA29)/$AE$29))</f>
        <v xml:space="preserve"> </v>
      </c>
      <c r="AC29" s="1537">
        <f t="shared" si="2"/>
        <v>0</v>
      </c>
      <c r="AD29" s="385">
        <f t="shared" si="3"/>
        <v>0</v>
      </c>
      <c r="AE29" s="385">
        <f>'1st Interim-Summary MYP'!I32</f>
        <v>0</v>
      </c>
      <c r="AF29" s="385">
        <f t="shared" si="4"/>
        <v>0</v>
      </c>
      <c r="AG29" s="1177"/>
    </row>
    <row r="30" spans="1:33" ht="15">
      <c r="A30" s="403" t="s">
        <v>26</v>
      </c>
      <c r="B30" s="139"/>
      <c r="C30" s="275" t="s">
        <v>106</v>
      </c>
      <c r="D30" s="374"/>
      <c r="E30" s="375"/>
      <c r="F30" s="524" t="str">
        <f>IF($AE$30&lt;1," ",IF(E30&lt;1," ",(E30)/$AE$30))</f>
        <v xml:space="preserve"> </v>
      </c>
      <c r="G30" s="388"/>
      <c r="H30" s="524" t="str">
        <f>IF($AE$30&lt;1," ",IF(G30&lt;1," ",(G30)/$AE$30))</f>
        <v xml:space="preserve"> </v>
      </c>
      <c r="I30" s="388"/>
      <c r="J30" s="524" t="str">
        <f>IF($AE$30&lt;1," ",IF(I30&lt;1," ",(I30)/$AE$30))</f>
        <v xml:space="preserve"> </v>
      </c>
      <c r="K30" s="388"/>
      <c r="L30" s="524" t="str">
        <f>IF($AE$30&lt;1," ",IF(K30&lt;1," ",(K30)/$AE$30))</f>
        <v xml:space="preserve"> </v>
      </c>
      <c r="M30" s="388"/>
      <c r="N30" s="337" t="str">
        <f>IF($AE$30&lt;1," ",IF(M30&lt;1," ",(M30)/$AE$30))</f>
        <v xml:space="preserve"> </v>
      </c>
      <c r="O30" s="388"/>
      <c r="P30" s="524" t="str">
        <f>IF($AE$30&lt;1," ",IF(O30&lt;1," ",(O30)/$AE$30))</f>
        <v xml:space="preserve"> </v>
      </c>
      <c r="Q30" s="388"/>
      <c r="R30" s="524" t="str">
        <f>IF($AE$30&lt;1," ",IF(Q30&lt;1," ",(Q30)/$AE$30))</f>
        <v xml:space="preserve"> </v>
      </c>
      <c r="S30" s="388"/>
      <c r="T30" s="337" t="str">
        <f>IF($AE$30&lt;1," ",IF(S30&lt;1," ",(S30)/$AE$30))</f>
        <v xml:space="preserve"> </v>
      </c>
      <c r="U30" s="388"/>
      <c r="V30" s="337" t="str">
        <f>IF($AE$30&lt;1," ",IF(U30&lt;1," ",(U30)/$AE$30))</f>
        <v xml:space="preserve"> </v>
      </c>
      <c r="W30" s="388"/>
      <c r="X30" s="337" t="str">
        <f>IF($AE$30&lt;1," ",IF(W30&lt;1," ",(W30)/$AE$30))</f>
        <v xml:space="preserve"> </v>
      </c>
      <c r="Y30" s="388"/>
      <c r="Z30" s="337" t="str">
        <f>IF($AE$30&lt;1," ",IF(Y30&lt;1," ",(Y30)/$AE$30))</f>
        <v xml:space="preserve"> </v>
      </c>
      <c r="AA30" s="388"/>
      <c r="AB30" s="337" t="str">
        <f>IF($AE$30&lt;1," ",IF(AA30&lt;1," ",(AA30)/$AE$30))</f>
        <v xml:space="preserve"> </v>
      </c>
      <c r="AC30" s="1537">
        <f t="shared" si="2"/>
        <v>0</v>
      </c>
      <c r="AD30" s="385">
        <f t="shared" si="3"/>
        <v>0</v>
      </c>
      <c r="AE30" s="385">
        <f>'1st Interim-Summary MYP'!I33</f>
        <v>0</v>
      </c>
      <c r="AF30" s="385">
        <f t="shared" si="4"/>
        <v>0</v>
      </c>
      <c r="AG30" s="1177"/>
    </row>
    <row r="31" spans="1:33" ht="15">
      <c r="A31" s="403" t="s">
        <v>508</v>
      </c>
      <c r="B31" s="139"/>
      <c r="C31" s="275" t="s">
        <v>107</v>
      </c>
      <c r="D31" s="374"/>
      <c r="E31" s="375"/>
      <c r="F31" s="524" t="str">
        <f>IF($AE$31&lt;1," ",IF(E31&lt;1," ",(E31)/$AE$31))</f>
        <v xml:space="preserve"> </v>
      </c>
      <c r="G31" s="388"/>
      <c r="H31" s="524" t="str">
        <f>IF($AE$31&lt;1," ",IF(G31&lt;1," ",(G31)/$AE$31))</f>
        <v xml:space="preserve"> </v>
      </c>
      <c r="I31" s="388"/>
      <c r="J31" s="524" t="str">
        <f>IF($AE$31&lt;1," ",IF(I31&lt;1," ",(I31)/$AE$31))</f>
        <v xml:space="preserve"> </v>
      </c>
      <c r="K31" s="388"/>
      <c r="L31" s="524" t="str">
        <f>IF($AE$31&lt;1," ",IF(K31&lt;1," ",(K31)/$AE$31))</f>
        <v xml:space="preserve"> </v>
      </c>
      <c r="M31" s="388"/>
      <c r="N31" s="337" t="str">
        <f>IF($AE$31&lt;1," ",IF(M31&lt;1," ",(M31)/$AE$31))</f>
        <v xml:space="preserve"> </v>
      </c>
      <c r="O31" s="388"/>
      <c r="P31" s="524" t="str">
        <f>IF($AE$31&lt;1," ",IF(O31&lt;1," ",(O31)/$AE$31))</f>
        <v xml:space="preserve"> </v>
      </c>
      <c r="Q31" s="388"/>
      <c r="R31" s="524" t="str">
        <f>IF($AE$31&lt;1," ",IF(Q31&lt;1," ",(Q31)/$AE$31))</f>
        <v xml:space="preserve"> </v>
      </c>
      <c r="S31" s="388"/>
      <c r="T31" s="337" t="str">
        <f>IF($AE$31&lt;1," ",IF(S31&lt;1," ",(S31)/$AE$31))</f>
        <v xml:space="preserve"> </v>
      </c>
      <c r="U31" s="388"/>
      <c r="V31" s="337" t="str">
        <f>IF($AE$31&lt;1," ",IF(U31&lt;1," ",(U31)/$AE$31))</f>
        <v xml:space="preserve"> </v>
      </c>
      <c r="W31" s="388"/>
      <c r="X31" s="337" t="str">
        <f>IF($AE$31&lt;1," ",IF(W31&lt;1," ",(W31)/$AE$31))</f>
        <v xml:space="preserve"> </v>
      </c>
      <c r="Y31" s="388"/>
      <c r="Z31" s="337" t="str">
        <f>IF($AE$31&lt;1," ",IF(Y31&lt;1," ",(Y31)/$AE$31))</f>
        <v xml:space="preserve"> </v>
      </c>
      <c r="AA31" s="388"/>
      <c r="AB31" s="337" t="str">
        <f>IF($AE$31&lt;1," ",IF(AA31&lt;1," ",(AA31)/$AE$31))</f>
        <v xml:space="preserve"> </v>
      </c>
      <c r="AC31" s="1537">
        <f t="shared" si="2"/>
        <v>0</v>
      </c>
      <c r="AD31" s="385">
        <f t="shared" si="3"/>
        <v>0</v>
      </c>
      <c r="AE31" s="385">
        <f>'1st Interim-Summary MYP'!I34</f>
        <v>0</v>
      </c>
      <c r="AF31" s="385">
        <f t="shared" si="4"/>
        <v>0</v>
      </c>
      <c r="AG31" s="1177"/>
    </row>
    <row r="32" spans="1:33" ht="15">
      <c r="A32" s="403" t="s">
        <v>507</v>
      </c>
      <c r="B32" s="139"/>
      <c r="C32" s="275">
        <v>6900</v>
      </c>
      <c r="D32" s="1044"/>
      <c r="E32" s="376"/>
      <c r="F32" s="524" t="str">
        <f>IF($AE$32&lt;1," ",IF(E32&lt;1," ",(E32)/$AE$32))</f>
        <v xml:space="preserve"> </v>
      </c>
      <c r="G32" s="388"/>
      <c r="H32" s="524" t="str">
        <f>IF($AE$32&lt;1," ",IF(G32&lt;1," ",(G32)/$AE$32))</f>
        <v xml:space="preserve"> </v>
      </c>
      <c r="I32" s="388"/>
      <c r="J32" s="524" t="str">
        <f>IF($AE$32&lt;1," ",IF(I32&lt;1," ",(I32)/$AE$32))</f>
        <v xml:space="preserve"> </v>
      </c>
      <c r="K32" s="388"/>
      <c r="L32" s="338" t="str">
        <f>IF($AE$32&lt;1," ",IF(K32&lt;1," ",(K32)/$AE$32))</f>
        <v xml:space="preserve"> </v>
      </c>
      <c r="M32" s="376"/>
      <c r="N32" s="337" t="str">
        <f>IF($AE$32&lt;1," ",IF(M32&lt;1," ",(M32)/$AE$32))</f>
        <v xml:space="preserve"> </v>
      </c>
      <c r="O32" s="388"/>
      <c r="P32" s="524" t="str">
        <f>IF($AE$32&lt;1," ",IF(O32&lt;1," ",(O32)/$AE$32))</f>
        <v xml:space="preserve"> </v>
      </c>
      <c r="Q32" s="388"/>
      <c r="R32" s="524" t="str">
        <f>IF($AE$32&lt;1," ",IF(Q32&lt;1," ",(Q32)/$AE$32))</f>
        <v xml:space="preserve"> </v>
      </c>
      <c r="S32" s="388"/>
      <c r="T32" s="337" t="str">
        <f>IF($AE$32&lt;1," ",IF(S32&lt;1," ",(S32)/$AE$32))</f>
        <v xml:space="preserve"> </v>
      </c>
      <c r="U32" s="388"/>
      <c r="V32" s="337" t="str">
        <f>IF($AE$32&lt;1," ",IF(U32&lt;1," ",(U32)/$AE$32))</f>
        <v xml:space="preserve"> </v>
      </c>
      <c r="W32" s="388"/>
      <c r="X32" s="337" t="str">
        <f>IF($AE$32&lt;1," ",IF(W32&lt;1," ",(W32)/$AE$32))</f>
        <v xml:space="preserve"> </v>
      </c>
      <c r="Y32" s="388"/>
      <c r="Z32" s="337" t="str">
        <f>IF($AE$32&lt;1," ",IF(Y32&lt;1," ",(Y32)/$AE$32))</f>
        <v xml:space="preserve"> </v>
      </c>
      <c r="AA32" s="388"/>
      <c r="AB32" s="337" t="str">
        <f>IF($AE$32&lt;1," ",IF(AA32&lt;1," ",(AA32)/$AE$32))</f>
        <v xml:space="preserve"> </v>
      </c>
      <c r="AC32" s="1537">
        <f t="shared" si="2"/>
        <v>0</v>
      </c>
      <c r="AD32" s="385">
        <f t="shared" si="3"/>
        <v>0</v>
      </c>
      <c r="AE32" s="385">
        <f>'1st Interim-Summary MYP'!G35</f>
        <v>0</v>
      </c>
      <c r="AF32" s="385">
        <f t="shared" si="4"/>
        <v>0</v>
      </c>
      <c r="AG32" s="1177"/>
    </row>
    <row r="33" spans="1:34" ht="15">
      <c r="A33" s="403" t="s">
        <v>27</v>
      </c>
      <c r="B33" s="139"/>
      <c r="C33" s="275" t="s">
        <v>108</v>
      </c>
      <c r="D33" s="374"/>
      <c r="E33" s="375"/>
      <c r="F33" s="524" t="str">
        <f>IF($AE$33&lt;1," ",IF(E33&lt;1," ",(E33)/$AE$33))</f>
        <v xml:space="preserve"> </v>
      </c>
      <c r="G33" s="388"/>
      <c r="H33" s="524" t="str">
        <f>IF($AE$33&lt;1," ",IF(G33&lt;1," ",(G33)/$AE$33))</f>
        <v xml:space="preserve"> </v>
      </c>
      <c r="I33" s="388"/>
      <c r="J33" s="524" t="str">
        <f>IF($AE$33&lt;1," ",IF(I33&lt;1," ",(I33)/$AE$33))</f>
        <v xml:space="preserve"> </v>
      </c>
      <c r="K33" s="388"/>
      <c r="L33" s="524" t="str">
        <f>IF($AE$33&lt;1," ",IF(K33&lt;1," ",(K33)/$AE$33))</f>
        <v xml:space="preserve"> </v>
      </c>
      <c r="M33" s="388"/>
      <c r="N33" s="337" t="str">
        <f>IF($AE$33&lt;1," ",IF(M33&lt;1," ",(M33)/$AE$33))</f>
        <v xml:space="preserve"> </v>
      </c>
      <c r="O33" s="388"/>
      <c r="P33" s="524" t="str">
        <f>IF($AE$33&lt;1," ",IF(O33&lt;1," ",(O33)/$AE$33))</f>
        <v xml:space="preserve"> </v>
      </c>
      <c r="Q33" s="388"/>
      <c r="R33" s="524" t="str">
        <f>IF($AE$33&lt;1," ",IF(Q33&lt;1," ",(Q33)/$AE$33))</f>
        <v xml:space="preserve"> </v>
      </c>
      <c r="S33" s="388"/>
      <c r="T33" s="337" t="str">
        <f>IF($AE$33&lt;1," ",IF(S33&lt;1," ",(S33)/$AE$33))</f>
        <v xml:space="preserve"> </v>
      </c>
      <c r="U33" s="388"/>
      <c r="V33" s="337" t="str">
        <f>IF($AE$33&lt;1," ",IF(U33&lt;1," ",(U33)/$AE$33))</f>
        <v xml:space="preserve"> </v>
      </c>
      <c r="W33" s="388"/>
      <c r="X33" s="337" t="str">
        <f>IF($AE$33&lt;1," ",IF(W33&lt;1," ",(W33)/$AE$33))</f>
        <v xml:space="preserve"> </v>
      </c>
      <c r="Y33" s="388"/>
      <c r="Z33" s="337" t="str">
        <f>IF($AE$33&lt;1," ",IF(Y33&lt;1," ",(Y33)/$AE$33))</f>
        <v xml:space="preserve"> </v>
      </c>
      <c r="AA33" s="388"/>
      <c r="AB33" s="337" t="str">
        <f>IF($AE$33&lt;1," ",IF(AA33&lt;1," ",(AA33)/$AE$33))</f>
        <v xml:space="preserve"> </v>
      </c>
      <c r="AC33" s="1537">
        <f t="shared" si="2"/>
        <v>0</v>
      </c>
      <c r="AD33" s="385">
        <f t="shared" si="3"/>
        <v>0</v>
      </c>
      <c r="AE33" s="385">
        <f>'1st Interim-Summary MYP'!I36</f>
        <v>0</v>
      </c>
      <c r="AF33" s="385">
        <f t="shared" si="4"/>
        <v>0</v>
      </c>
      <c r="AG33" s="1177"/>
    </row>
    <row r="34" spans="1:34" ht="15">
      <c r="A34" s="403" t="s">
        <v>146</v>
      </c>
      <c r="B34" s="139"/>
      <c r="C34" s="275" t="s">
        <v>111</v>
      </c>
      <c r="D34" s="374"/>
      <c r="E34" s="375"/>
      <c r="F34" s="524" t="str">
        <f>IF($AE34&lt;1," ",IF(E34&lt;1," ",(E34)/$AE34))</f>
        <v xml:space="preserve"> </v>
      </c>
      <c r="G34" s="388"/>
      <c r="H34" s="524" t="str">
        <f>IF($AE34&lt;1," ",IF(G34&lt;1," ",(G34)/$AE34))</f>
        <v xml:space="preserve"> </v>
      </c>
      <c r="I34" s="388"/>
      <c r="J34" s="524" t="str">
        <f>IF($AE34&lt;1," ",IF(I34&lt;1," ",(I34)/$AE34))</f>
        <v xml:space="preserve"> </v>
      </c>
      <c r="K34" s="388"/>
      <c r="L34" s="524" t="str">
        <f>IF($AE34&lt;1," ",IF(K34&lt;1," ",(K34)/$AE34))</f>
        <v xml:space="preserve"> </v>
      </c>
      <c r="M34" s="388"/>
      <c r="N34" s="337" t="str">
        <f>IF($AE34&lt;1," ",IF(M34&lt;1," ",(M34)/$AE34))</f>
        <v xml:space="preserve"> </v>
      </c>
      <c r="O34" s="388"/>
      <c r="P34" s="524" t="str">
        <f>IF($AE34&lt;1," ",IF(O34&lt;1," ",(O34)/$AE34))</f>
        <v xml:space="preserve"> </v>
      </c>
      <c r="Q34" s="388"/>
      <c r="R34" s="524" t="str">
        <f>IF($AE34&lt;1," ",IF(Q34&lt;1," ",(Q34)/$AE34))</f>
        <v xml:space="preserve"> </v>
      </c>
      <c r="S34" s="388"/>
      <c r="T34" s="337" t="str">
        <f>IF($AE34&lt;1," ",IF(S34&lt;1," ",(S34)/$AE34))</f>
        <v xml:space="preserve"> </v>
      </c>
      <c r="U34" s="388"/>
      <c r="V34" s="337" t="str">
        <f>IF($AE34&lt;1," ",IF(U34&lt;1," ",(U34)/$AE34))</f>
        <v xml:space="preserve"> </v>
      </c>
      <c r="W34" s="388"/>
      <c r="X34" s="337" t="str">
        <f>IF($AE34&lt;1," ",IF(W34&lt;1," ",(W34)/$AE34))</f>
        <v xml:space="preserve"> </v>
      </c>
      <c r="Y34" s="388"/>
      <c r="Z34" s="337" t="str">
        <f>IF($AE34&lt;1," ",IF(Y34&lt;1," ",(Y34)/$AE34))</f>
        <v xml:space="preserve"> </v>
      </c>
      <c r="AA34" s="388"/>
      <c r="AB34" s="337" t="str">
        <f>IF($AE34&lt;1," ",IF(AA34&lt;1," ",(AA34)/$AE34))</f>
        <v xml:space="preserve"> </v>
      </c>
      <c r="AC34" s="1537">
        <f t="shared" si="2"/>
        <v>0</v>
      </c>
      <c r="AD34" s="385">
        <f t="shared" si="3"/>
        <v>0</v>
      </c>
      <c r="AE34" s="385">
        <f>'1st Interim-Summary MYP'!I37</f>
        <v>0</v>
      </c>
      <c r="AF34" s="385">
        <f t="shared" si="4"/>
        <v>0</v>
      </c>
      <c r="AG34" s="1177"/>
    </row>
    <row r="35" spans="1:34" ht="15.4" thickBot="1">
      <c r="A35" s="405" t="s">
        <v>28</v>
      </c>
      <c r="B35" s="380"/>
      <c r="C35" s="381"/>
      <c r="D35" s="381"/>
      <c r="E35" s="760">
        <f>+SUM(E26:E34)</f>
        <v>0</v>
      </c>
      <c r="F35" s="525" t="str">
        <f>IF($AE35&lt;1," ",IF(E35&lt;1," ",(E35)/$AE35))</f>
        <v xml:space="preserve"> </v>
      </c>
      <c r="G35" s="761">
        <f>+SUM(G26:G34)</f>
        <v>0</v>
      </c>
      <c r="H35" s="525" t="str">
        <f>IF($AE35&lt;1," ",IF(G35&lt;1," ",(G35)/$AE35))</f>
        <v xml:space="preserve"> </v>
      </c>
      <c r="I35" s="761">
        <f>+SUM(I26:I34)</f>
        <v>0</v>
      </c>
      <c r="J35" s="525" t="str">
        <f>IF($AE35&lt;1," ",IF(I35&lt;1," ",(I35)/$AE35))</f>
        <v xml:space="preserve"> </v>
      </c>
      <c r="K35" s="761">
        <f>+SUM(K26:K34)</f>
        <v>0</v>
      </c>
      <c r="L35" s="525" t="str">
        <f>IF($AE35&lt;1," ",IF(K35&lt;1," ",(K35)/$AE35))</f>
        <v xml:space="preserve"> </v>
      </c>
      <c r="M35" s="761">
        <f>+SUM(M26:M34)</f>
        <v>0</v>
      </c>
      <c r="N35" s="386" t="str">
        <f>IF($AE35&lt;1," ",IF(M35&lt;1," ",(M35)/$AE35))</f>
        <v xml:space="preserve"> </v>
      </c>
      <c r="O35" s="761">
        <f>+SUM(O26:O34)</f>
        <v>0</v>
      </c>
      <c r="P35" s="525" t="str">
        <f>IF($AE35&lt;1," ",IF(O35&lt;1," ",(O35)/$AE35))</f>
        <v xml:space="preserve"> </v>
      </c>
      <c r="Q35" s="761">
        <f>+SUM(Q26:Q34)</f>
        <v>0</v>
      </c>
      <c r="R35" s="525" t="str">
        <f>IF($AE35&lt;1," ",IF(Q35&lt;1," ",(Q35)/$AE35))</f>
        <v xml:space="preserve"> </v>
      </c>
      <c r="S35" s="761">
        <f>+SUM(S26:S34)</f>
        <v>0</v>
      </c>
      <c r="T35" s="386" t="str">
        <f>IF($AE35&lt;1," ",IF(S35&lt;1," ",(S35)/$AE35))</f>
        <v xml:space="preserve"> </v>
      </c>
      <c r="U35" s="761">
        <f>+SUM(U26:U34)</f>
        <v>0</v>
      </c>
      <c r="V35" s="386" t="str">
        <f>IF($AE35&lt;1," ",IF(U35&lt;1," ",(U35)/$AE35))</f>
        <v xml:space="preserve"> </v>
      </c>
      <c r="W35" s="761">
        <f>+SUM(W26:W34)</f>
        <v>0</v>
      </c>
      <c r="X35" s="386" t="str">
        <f>IF($AE35&lt;1," ",IF(W35&lt;1," ",(W35)/$AE35))</f>
        <v xml:space="preserve"> </v>
      </c>
      <c r="Y35" s="761">
        <f>+SUM(Y26:Y34)</f>
        <v>0</v>
      </c>
      <c r="Z35" s="386" t="str">
        <f>IF($AE35&lt;1," ",IF(Y35&lt;1," ",(Y35)/$AE35))</f>
        <v xml:space="preserve"> </v>
      </c>
      <c r="AA35" s="761">
        <f>+SUM(AA26:AA34)</f>
        <v>0</v>
      </c>
      <c r="AB35" s="386" t="str">
        <f>IF($AE35&lt;1," ",IF(AA35&lt;1," ",(AA35)/$AE35))</f>
        <v xml:space="preserve"> </v>
      </c>
      <c r="AC35" s="1536">
        <f>+SUM(AC26:AC34)</f>
        <v>0</v>
      </c>
      <c r="AD35" s="763">
        <f>+SUM(AD26:AD34)</f>
        <v>0</v>
      </c>
      <c r="AE35" s="763">
        <f>+SUM(AE26:AE34)</f>
        <v>0</v>
      </c>
      <c r="AF35" s="763">
        <f>+SUM(AF26:AF34)</f>
        <v>0</v>
      </c>
      <c r="AG35" s="1177"/>
    </row>
    <row r="36" spans="1:34" ht="15">
      <c r="A36" s="406"/>
      <c r="B36" s="369"/>
      <c r="C36" s="71"/>
      <c r="D36" s="71"/>
      <c r="E36" s="74"/>
      <c r="F36" s="193"/>
      <c r="G36" s="75"/>
      <c r="H36" s="193"/>
      <c r="I36" s="75"/>
      <c r="J36" s="193"/>
      <c r="K36" s="75"/>
      <c r="L36" s="193"/>
      <c r="M36" s="75"/>
      <c r="N36" s="193"/>
      <c r="O36" s="75"/>
      <c r="P36" s="193"/>
      <c r="Q36" s="75"/>
      <c r="R36" s="193"/>
      <c r="S36" s="75"/>
      <c r="T36" s="193"/>
      <c r="U36" s="75"/>
      <c r="V36" s="193"/>
      <c r="W36" s="75"/>
      <c r="X36" s="193"/>
      <c r="Y36" s="75"/>
      <c r="Z36" s="193"/>
      <c r="AA36" s="75"/>
      <c r="AB36" s="193"/>
      <c r="AC36" s="1006"/>
      <c r="AD36" s="1006"/>
      <c r="AE36" s="1006"/>
      <c r="AF36" s="1022"/>
      <c r="AG36" s="1177"/>
    </row>
    <row r="37" spans="1:34" ht="15">
      <c r="A37" s="66" t="s">
        <v>109</v>
      </c>
      <c r="B37" s="179"/>
      <c r="C37" s="371"/>
      <c r="D37" s="371"/>
      <c r="E37" s="372"/>
      <c r="F37" s="478"/>
      <c r="G37" s="516"/>
      <c r="H37" s="478"/>
      <c r="I37" s="516"/>
      <c r="J37" s="478"/>
      <c r="K37" s="516"/>
      <c r="L37" s="478"/>
      <c r="M37" s="516"/>
      <c r="N37" s="478"/>
      <c r="O37" s="516"/>
      <c r="P37" s="478"/>
      <c r="Q37" s="516"/>
      <c r="R37" s="478"/>
      <c r="S37" s="516"/>
      <c r="T37" s="478"/>
      <c r="U37" s="516"/>
      <c r="V37" s="478"/>
      <c r="W37" s="516"/>
      <c r="X37" s="478"/>
      <c r="Y37" s="516"/>
      <c r="Z37" s="478"/>
      <c r="AA37" s="516"/>
      <c r="AB37" s="478"/>
      <c r="AC37" s="1010"/>
      <c r="AD37" s="1010"/>
      <c r="AE37" s="1010"/>
      <c r="AF37" s="1018"/>
      <c r="AG37" s="1177"/>
    </row>
    <row r="38" spans="1:34" ht="15">
      <c r="A38" s="403" t="s">
        <v>124</v>
      </c>
      <c r="B38" s="139"/>
      <c r="C38" s="275">
        <v>8900</v>
      </c>
      <c r="D38" s="392"/>
      <c r="E38" s="375"/>
      <c r="F38" s="524" t="str">
        <f>IF($AE38&lt;1," ",IF(E38&lt;1," ",(E38)/$AE38))</f>
        <v xml:space="preserve"> </v>
      </c>
      <c r="G38" s="388"/>
      <c r="H38" s="524" t="str">
        <f>IF($AE38&lt;1," ",IF(G38&lt;1," ",(G38)/$AE38))</f>
        <v xml:space="preserve"> </v>
      </c>
      <c r="I38" s="388"/>
      <c r="J38" s="524" t="str">
        <f>IF($AE38&lt;1," ",IF(I38&lt;1," ",(I38)/$AE38))</f>
        <v xml:space="preserve"> </v>
      </c>
      <c r="K38" s="388"/>
      <c r="L38" s="524" t="str">
        <f>IF($AE38&lt;1," ",IF(K38&lt;1," ",(K38)/$AE38))</f>
        <v xml:space="preserve"> </v>
      </c>
      <c r="M38" s="388"/>
      <c r="N38" s="337" t="str">
        <f>IF($AE38&lt;1," ",IF(M38&lt;1," ",(M38)/$AE38))</f>
        <v xml:space="preserve"> </v>
      </c>
      <c r="O38" s="388"/>
      <c r="P38" s="337" t="str">
        <f>IF($AE38&lt;1," ",IF(O38&lt;1," ",(O38)/$AE38))</f>
        <v xml:space="preserve"> </v>
      </c>
      <c r="Q38" s="388"/>
      <c r="R38" s="337" t="str">
        <f>IF($AE38&lt;1," ",IF(Q38&lt;1," ",(Q38)/$AE38))</f>
        <v xml:space="preserve"> </v>
      </c>
      <c r="S38" s="388"/>
      <c r="T38" s="337" t="str">
        <f>IF($AE38&lt;1," ",IF(S38&lt;1," ",(S38)/$AE38))</f>
        <v xml:space="preserve"> </v>
      </c>
      <c r="U38" s="388"/>
      <c r="V38" s="337" t="str">
        <f>IF($AE38&lt;1," ",IF(U38&lt;1," ",(U38)/$AE38))</f>
        <v xml:space="preserve"> </v>
      </c>
      <c r="W38" s="388"/>
      <c r="X38" s="337" t="str">
        <f>IF($AE38&lt;1," ",IF(W38&lt;1," ",(W38)/$AE38))</f>
        <v xml:space="preserve"> </v>
      </c>
      <c r="Y38" s="388"/>
      <c r="Z38" s="337" t="str">
        <f>IF($AE38&lt;1," ",IF(Y38&lt;1," ",(Y38)/$AE38))</f>
        <v xml:space="preserve"> </v>
      </c>
      <c r="AA38" s="388"/>
      <c r="AB38" s="337" t="str">
        <f>IF($AE38&lt;1," ",IF(AA38&lt;1," ",(AA38)/$AE38))</f>
        <v xml:space="preserve"> </v>
      </c>
      <c r="AC38" s="1537">
        <f>AE38-(E38+G38+I38+K38+M38+O38+Q38+S38+U38+W38+Y38+AA38)</f>
        <v>0</v>
      </c>
      <c r="AD38" s="385">
        <f>+E38+G38+I38+K38+M38+O38+Q38+S38+U38+W38+Y38+AA38+AC38</f>
        <v>0</v>
      </c>
      <c r="AE38" s="385">
        <f>'1st Interim-Summary MYP'!I43</f>
        <v>0</v>
      </c>
      <c r="AF38" s="385">
        <f>+AE38-AD38</f>
        <v>0</v>
      </c>
      <c r="AG38" s="1177"/>
    </row>
    <row r="39" spans="1:34" ht="15">
      <c r="A39" s="403" t="s">
        <v>30</v>
      </c>
      <c r="B39" s="139"/>
      <c r="C39" s="275">
        <v>7600</v>
      </c>
      <c r="D39" s="392"/>
      <c r="E39" s="375"/>
      <c r="F39" s="524" t="str">
        <f>IF($AE39&lt;1," ",IF(E39&lt;1," ",(E39)/$AE39))</f>
        <v xml:space="preserve"> </v>
      </c>
      <c r="G39" s="388"/>
      <c r="H39" s="524" t="str">
        <f>IF($AE39&lt;1," ",IF(G39&lt;1," ",(G39)/$AE39))</f>
        <v xml:space="preserve"> </v>
      </c>
      <c r="I39" s="388"/>
      <c r="J39" s="524" t="str">
        <f>IF($AE39&lt;1," ",IF(I39&lt;1," ",(I39)/$AE39))</f>
        <v xml:space="preserve"> </v>
      </c>
      <c r="K39" s="388"/>
      <c r="L39" s="524" t="str">
        <f>IF($AE39&lt;1," ",IF(K39&lt;1," ",(K39)/$AE39))</f>
        <v xml:space="preserve"> </v>
      </c>
      <c r="M39" s="388"/>
      <c r="N39" s="337" t="str">
        <f>IF($AE39&lt;1," ",IF(M39&lt;1," ",(M39)/$AE39))</f>
        <v xml:space="preserve"> </v>
      </c>
      <c r="O39" s="388"/>
      <c r="P39" s="337" t="str">
        <f>IF($AE39&lt;1," ",IF(O39&lt;1," ",(O39)/$AE39))</f>
        <v xml:space="preserve"> </v>
      </c>
      <c r="Q39" s="388"/>
      <c r="R39" s="337" t="str">
        <f>IF($AE39&lt;1," ",IF(Q39&lt;1," ",(Q39)/$AE39))</f>
        <v xml:space="preserve"> </v>
      </c>
      <c r="S39" s="388"/>
      <c r="T39" s="337" t="str">
        <f>IF($AE39&lt;1," ",IF(S39&lt;1," ",(S39)/$AE39))</f>
        <v xml:space="preserve"> </v>
      </c>
      <c r="U39" s="388"/>
      <c r="V39" s="337" t="str">
        <f>IF($AE39&lt;1," ",IF(U39&lt;1," ",(U39)/$AE39))</f>
        <v xml:space="preserve"> </v>
      </c>
      <c r="W39" s="388"/>
      <c r="X39" s="337" t="str">
        <f>IF($AE39&lt;1," ",IF(W39&lt;1," ",(W39)/$AE39))</f>
        <v xml:space="preserve"> </v>
      </c>
      <c r="Y39" s="388"/>
      <c r="Z39" s="337" t="str">
        <f>IF($AE39&lt;1," ",IF(Y39&lt;1," ",(Y39)/$AE39))</f>
        <v xml:space="preserve"> </v>
      </c>
      <c r="AA39" s="388"/>
      <c r="AB39" s="337" t="str">
        <f>IF($AE39&lt;1," ",IF(AA39&lt;1," ",(AA39)/$AE39))</f>
        <v xml:space="preserve"> </v>
      </c>
      <c r="AC39" s="1537">
        <f>AE39-(E39+G39+I39+K39+M39+O39+Q39+S39+U39+W39+Y39+AA39)</f>
        <v>0</v>
      </c>
      <c r="AD39" s="385">
        <f>+E39+G39+I39+K39+M39+O39+Q39+S39+U39+W39+Y39+AA39+AC39</f>
        <v>0</v>
      </c>
      <c r="AE39" s="385">
        <f>'1st Interim-Summary MYP'!I44</f>
        <v>0</v>
      </c>
      <c r="AF39" s="385">
        <f>+AE39-AD39</f>
        <v>0</v>
      </c>
      <c r="AG39" s="1177"/>
    </row>
    <row r="40" spans="1:34" ht="15.4" thickBot="1">
      <c r="A40" s="407" t="s">
        <v>31</v>
      </c>
      <c r="B40" s="380"/>
      <c r="C40" s="381"/>
      <c r="D40" s="381"/>
      <c r="E40" s="760">
        <f>+E38-E39</f>
        <v>0</v>
      </c>
      <c r="F40" s="525" t="str">
        <f>IF($AE40&lt;1," ",IF(E40&lt;1," ",(E40)/$AE40))</f>
        <v xml:space="preserve"> </v>
      </c>
      <c r="G40" s="761">
        <f>+G38-G39</f>
        <v>0</v>
      </c>
      <c r="H40" s="525" t="str">
        <f>IF($AE40&lt;1," ",IF(G40&lt;1," ",(G40)/$AE40))</f>
        <v xml:space="preserve"> </v>
      </c>
      <c r="I40" s="761">
        <f>+I38-I39</f>
        <v>0</v>
      </c>
      <c r="J40" s="525" t="str">
        <f>IF($AE40&lt;1," ",IF(I40&lt;1," ",(I40)/$AE40))</f>
        <v xml:space="preserve"> </v>
      </c>
      <c r="K40" s="761">
        <f>+K38-K39</f>
        <v>0</v>
      </c>
      <c r="L40" s="525" t="str">
        <f>IF($AE40&lt;1," ",IF(K40&lt;1," ",(K40)/$AE40))</f>
        <v xml:space="preserve"> </v>
      </c>
      <c r="M40" s="761">
        <f>+M38-M39</f>
        <v>0</v>
      </c>
      <c r="N40" s="386" t="str">
        <f>IF($AE40&lt;1," ",IF(M40&lt;1," ",(M40)/$AE40))</f>
        <v xml:space="preserve"> </v>
      </c>
      <c r="O40" s="761">
        <f>+O38-O39</f>
        <v>0</v>
      </c>
      <c r="P40" s="386" t="str">
        <f>IF($AE40&lt;1," ",IF(O40&lt;1," ",(O40)/$AE40))</f>
        <v xml:space="preserve"> </v>
      </c>
      <c r="Q40" s="761">
        <f>+Q38-Q39</f>
        <v>0</v>
      </c>
      <c r="R40" s="386" t="str">
        <f>IF($AE40&lt;1," ",IF(Q40&lt;1," ",(Q40)/$AE40))</f>
        <v xml:space="preserve"> </v>
      </c>
      <c r="S40" s="761">
        <f>+S38-S39</f>
        <v>0</v>
      </c>
      <c r="T40" s="386" t="str">
        <f>IF($AE40&lt;1," ",IF(S40&lt;1," ",(S40)/$AE40))</f>
        <v xml:space="preserve"> </v>
      </c>
      <c r="U40" s="761">
        <f>+U38-U39</f>
        <v>0</v>
      </c>
      <c r="V40" s="386" t="str">
        <f>IF($AE40&lt;1," ",IF(U40&lt;1," ",(U40)/$AE40))</f>
        <v xml:space="preserve"> </v>
      </c>
      <c r="W40" s="761">
        <f>+W38-W39</f>
        <v>0</v>
      </c>
      <c r="X40" s="386" t="str">
        <f>IF($AE40&lt;1," ",IF(W40&lt;1," ",(W40)/$AE40))</f>
        <v xml:space="preserve"> </v>
      </c>
      <c r="Y40" s="761">
        <f>+Y38-Y39</f>
        <v>0</v>
      </c>
      <c r="Z40" s="386" t="str">
        <f>IF($AE40&lt;1," ",IF(Y40&lt;1," ",(Y40)/$AE40))</f>
        <v xml:space="preserve"> </v>
      </c>
      <c r="AA40" s="761">
        <f>+AA38-AA39</f>
        <v>0</v>
      </c>
      <c r="AB40" s="386" t="str">
        <f>IF($AE40&lt;1," ",IF(AA40&lt;1," ",(AA40)/$AE40))</f>
        <v xml:space="preserve"> </v>
      </c>
      <c r="AC40" s="1536">
        <f>+AC38-AC39</f>
        <v>0</v>
      </c>
      <c r="AD40" s="763">
        <f>+AD38-AD39</f>
        <v>0</v>
      </c>
      <c r="AE40" s="763">
        <f>+AE38-AE39</f>
        <v>0</v>
      </c>
      <c r="AF40" s="763">
        <f>+AF38-AF39</f>
        <v>0</v>
      </c>
      <c r="AG40" s="1177"/>
    </row>
    <row r="41" spans="1:34" ht="15.75"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636">
        <f>'1st Interim-Cash Flow Year 1'!AE44</f>
        <v>0</v>
      </c>
      <c r="E44" s="506"/>
      <c r="F44" s="337" t="str">
        <f t="shared" ref="F44:T51" si="5">IF($D44&lt;1," ",IF(E44&lt;1," ",(E44)/$D44))</f>
        <v xml:space="preserve"> </v>
      </c>
      <c r="G44" s="395"/>
      <c r="H44" s="337" t="str">
        <f t="shared" ref="H44:H50" si="6">IF($D44&lt;1," ",IF(G44&lt;1," ",(G44)/$D44))</f>
        <v xml:space="preserve"> </v>
      </c>
      <c r="I44" s="395"/>
      <c r="J44" s="337" t="str">
        <f t="shared" ref="J44:J50" si="7">IF($D44&lt;1," ",IF(I44&lt;1," ",(I44)/$D44))</f>
        <v xml:space="preserve"> </v>
      </c>
      <c r="K44" s="395"/>
      <c r="L44" s="337" t="str">
        <f t="shared" ref="L44:L50" si="8">IF($D44&lt;1," ",IF(K44&lt;1," ",(K44)/$D44))</f>
        <v xml:space="preserve"> </v>
      </c>
      <c r="M44" s="395"/>
      <c r="N44" s="524" t="str">
        <f t="shared" ref="N44:N50" si="9">IF($D44&lt;1," ",IF(M44&lt;1," ",(M44)/$D44))</f>
        <v xml:space="preserve"> </v>
      </c>
      <c r="O44" s="395"/>
      <c r="P44" s="337" t="str">
        <f t="shared" ref="P44:P50" si="10">IF($D44&lt;1," ",IF(O44&lt;1," ",(O44)/$D44))</f>
        <v xml:space="preserve"> </v>
      </c>
      <c r="Q44" s="395"/>
      <c r="R44" s="524" t="str">
        <f t="shared" ref="R44:R50" si="11">IF($D44&lt;1," ",IF(Q44&lt;1," ",(Q44)/$D44))</f>
        <v xml:space="preserve"> </v>
      </c>
      <c r="S44" s="506"/>
      <c r="T44" s="337" t="str">
        <f t="shared" ref="T44:T50" si="12">IF($D44&lt;1," ",IF(S44&lt;1," ",(S44)/$D44))</f>
        <v xml:space="preserve"> </v>
      </c>
      <c r="U44" s="395"/>
      <c r="V44" s="337" t="str">
        <f t="shared" ref="V44:AB51" si="13">IF($D44&lt;1," ",IF(U44&lt;1," ",(U44)/$D44))</f>
        <v xml:space="preserve"> </v>
      </c>
      <c r="W44" s="395"/>
      <c r="X44" s="337" t="str">
        <f t="shared" ref="X44:X50" si="14">IF($D44&lt;1," ",IF(W44&lt;1," ",(W44)/$D44))</f>
        <v xml:space="preserve"> </v>
      </c>
      <c r="Y44" s="395"/>
      <c r="Z44" s="337" t="str">
        <f t="shared" ref="Z44:Z50" si="15">IF($D44&lt;1," ",IF(Y44&lt;1," ",(Y44)/$D44))</f>
        <v xml:space="preserve"> </v>
      </c>
      <c r="AA44" s="1608"/>
      <c r="AB44" s="337" t="str">
        <f t="shared" ref="AB44:AB50" si="16">IF($D44&lt;1," ",IF(AA44&lt;1," ",(AA44)/$D44))</f>
        <v xml:space="preserve"> </v>
      </c>
      <c r="AC44" s="821"/>
      <c r="AD44" s="1542">
        <f t="shared" ref="AD44:AD50" si="17">+E44+G44+I44+K44+M44+O44+Q44+S44+U44+W44+Y44+AA44</f>
        <v>0</v>
      </c>
      <c r="AE44" s="396">
        <f>D44-AD44</f>
        <v>0</v>
      </c>
      <c r="AF44" s="764"/>
      <c r="AG44" s="1543" t="str">
        <f t="shared" ref="AG44:AG50" si="18">IF(AD44=D44,"","Prior Year Transactions should be zero'd out by Year End")</f>
        <v/>
      </c>
    </row>
    <row r="45" spans="1:34" ht="15.75" customHeight="1">
      <c r="A45" s="408" t="s">
        <v>327</v>
      </c>
      <c r="B45" s="393"/>
      <c r="C45" s="614">
        <v>9210</v>
      </c>
      <c r="D45" s="1637" t="e">
        <f>'1st Interim-Cash Flow Year 1'!AC23+'1st Interim-Cash Flow Year 1'!AE45</f>
        <v>#VALUE!</v>
      </c>
      <c r="E45" s="394"/>
      <c r="F45" s="337" t="e">
        <f t="shared" si="5"/>
        <v>#VALUE!</v>
      </c>
      <c r="G45" s="395"/>
      <c r="H45" s="337" t="e">
        <f t="shared" si="6"/>
        <v>#VALUE!</v>
      </c>
      <c r="I45" s="395"/>
      <c r="J45" s="337" t="e">
        <f t="shared" si="7"/>
        <v>#VALUE!</v>
      </c>
      <c r="K45" s="395"/>
      <c r="L45" s="337" t="e">
        <f t="shared" si="8"/>
        <v>#VALUE!</v>
      </c>
      <c r="M45" s="395"/>
      <c r="N45" s="524" t="e">
        <f t="shared" si="9"/>
        <v>#VALUE!</v>
      </c>
      <c r="O45" s="395"/>
      <c r="P45" s="337" t="e">
        <f t="shared" si="10"/>
        <v>#VALUE!</v>
      </c>
      <c r="Q45" s="395"/>
      <c r="R45" s="524" t="e">
        <f t="shared" si="11"/>
        <v>#VALUE!</v>
      </c>
      <c r="S45" s="506"/>
      <c r="T45" s="337" t="e">
        <f t="shared" si="12"/>
        <v>#VALUE!</v>
      </c>
      <c r="U45" s="395"/>
      <c r="V45" s="337" t="e">
        <f t="shared" si="13"/>
        <v>#VALUE!</v>
      </c>
      <c r="W45" s="395"/>
      <c r="X45" s="337" t="e">
        <f t="shared" si="14"/>
        <v>#VALUE!</v>
      </c>
      <c r="Y45" s="395"/>
      <c r="Z45" s="337" t="e">
        <f t="shared" si="15"/>
        <v>#VALUE!</v>
      </c>
      <c r="AA45" s="395"/>
      <c r="AB45" s="337" t="e">
        <f t="shared" si="16"/>
        <v>#VALUE!</v>
      </c>
      <c r="AC45" s="1539"/>
      <c r="AD45" s="1542">
        <f t="shared" si="17"/>
        <v>0</v>
      </c>
      <c r="AE45" s="396" t="e">
        <f t="shared" ref="AE45:AE51" si="19">D45-AD45</f>
        <v>#VALUE!</v>
      </c>
      <c r="AF45" s="764"/>
      <c r="AG45" s="1543" t="e">
        <f t="shared" si="18"/>
        <v>#VALUE!</v>
      </c>
      <c r="AH45" s="1635" t="e">
        <f>IF(AD45=D45,"","Warning - Prior Year Transactions should be zero'd out by Year End")</f>
        <v>#VALUE!</v>
      </c>
    </row>
    <row r="46" spans="1:34" ht="15">
      <c r="A46" s="408" t="s">
        <v>11</v>
      </c>
      <c r="B46" s="393"/>
      <c r="C46" s="614">
        <v>9330</v>
      </c>
      <c r="D46" s="1637">
        <f>'1st Interim-Cash Flow Year 1'!AE46</f>
        <v>0</v>
      </c>
      <c r="E46" s="394"/>
      <c r="F46" s="337" t="str">
        <f t="shared" si="5"/>
        <v xml:space="preserve"> </v>
      </c>
      <c r="G46" s="395"/>
      <c r="H46" s="337" t="str">
        <f t="shared" si="6"/>
        <v xml:space="preserve"> </v>
      </c>
      <c r="I46" s="395"/>
      <c r="J46" s="337" t="str">
        <f t="shared" si="7"/>
        <v xml:space="preserve"> </v>
      </c>
      <c r="K46" s="395"/>
      <c r="L46" s="337" t="str">
        <f t="shared" si="8"/>
        <v xml:space="preserve"> </v>
      </c>
      <c r="M46" s="395"/>
      <c r="N46" s="524" t="str">
        <f t="shared" si="9"/>
        <v xml:space="preserve"> </v>
      </c>
      <c r="O46" s="395"/>
      <c r="P46" s="337" t="str">
        <f t="shared" si="10"/>
        <v xml:space="preserve"> </v>
      </c>
      <c r="Q46" s="395"/>
      <c r="R46" s="524" t="str">
        <f t="shared" si="11"/>
        <v xml:space="preserve"> </v>
      </c>
      <c r="S46" s="506"/>
      <c r="T46" s="337" t="str">
        <f t="shared" si="12"/>
        <v xml:space="preserve"> </v>
      </c>
      <c r="U46" s="395"/>
      <c r="V46" s="337" t="str">
        <f t="shared" si="13"/>
        <v xml:space="preserve"> </v>
      </c>
      <c r="W46" s="395"/>
      <c r="X46" s="337" t="str">
        <f t="shared" si="14"/>
        <v xml:space="preserve"> </v>
      </c>
      <c r="Y46" s="395"/>
      <c r="Z46" s="337" t="str">
        <f t="shared" si="15"/>
        <v xml:space="preserve"> </v>
      </c>
      <c r="AA46" s="395"/>
      <c r="AB46" s="337" t="str">
        <f t="shared" si="16"/>
        <v xml:space="preserve"> </v>
      </c>
      <c r="AC46" s="1539"/>
      <c r="AD46" s="1542">
        <f>+E46+G46+I46+K46+M46+O46+Q46+S46+U46+W46+Y46+AA46</f>
        <v>0</v>
      </c>
      <c r="AE46" s="396">
        <f t="shared" si="19"/>
        <v>0</v>
      </c>
      <c r="AF46" s="764"/>
      <c r="AG46" s="1543" t="str">
        <f t="shared" si="18"/>
        <v/>
      </c>
      <c r="AH46" s="1635" t="str">
        <f>IF(AD46=D46,"","Warning - Balances should only remain if Beg Bal included Pre-Paids for multiple years.")</f>
        <v/>
      </c>
    </row>
    <row r="47" spans="1:34" ht="15">
      <c r="A47" s="408" t="s">
        <v>513</v>
      </c>
      <c r="B47" s="393"/>
      <c r="C47" s="614"/>
      <c r="D47" s="1637">
        <f>'1st Interim-Cash Flow Year 1'!AE47</f>
        <v>0</v>
      </c>
      <c r="E47" s="394"/>
      <c r="F47" s="337" t="str">
        <f t="shared" si="5"/>
        <v xml:space="preserve"> </v>
      </c>
      <c r="G47" s="395"/>
      <c r="H47" s="337" t="str">
        <f t="shared" si="5"/>
        <v xml:space="preserve"> </v>
      </c>
      <c r="I47" s="395"/>
      <c r="J47" s="337" t="str">
        <f t="shared" si="5"/>
        <v xml:space="preserve"> </v>
      </c>
      <c r="K47" s="395"/>
      <c r="L47" s="337" t="str">
        <f t="shared" si="5"/>
        <v xml:space="preserve"> </v>
      </c>
      <c r="M47" s="395"/>
      <c r="N47" s="524" t="str">
        <f t="shared" si="5"/>
        <v xml:space="preserve"> </v>
      </c>
      <c r="O47" s="395"/>
      <c r="P47" s="337" t="str">
        <f t="shared" si="5"/>
        <v xml:space="preserve"> </v>
      </c>
      <c r="Q47" s="395"/>
      <c r="R47" s="524" t="str">
        <f t="shared" si="5"/>
        <v xml:space="preserve"> </v>
      </c>
      <c r="S47" s="506"/>
      <c r="T47" s="337" t="str">
        <f t="shared" si="5"/>
        <v xml:space="preserve"> </v>
      </c>
      <c r="U47" s="395"/>
      <c r="V47" s="337" t="str">
        <f t="shared" si="13"/>
        <v xml:space="preserve"> </v>
      </c>
      <c r="W47" s="395"/>
      <c r="X47" s="337" t="str">
        <f t="shared" si="13"/>
        <v xml:space="preserve"> </v>
      </c>
      <c r="Y47" s="395"/>
      <c r="Z47" s="337" t="str">
        <f t="shared" si="13"/>
        <v xml:space="preserve"> </v>
      </c>
      <c r="AA47" s="395"/>
      <c r="AB47" s="337" t="str">
        <f t="shared" si="13"/>
        <v xml:space="preserve"> </v>
      </c>
      <c r="AC47" s="1539"/>
      <c r="AD47" s="1542">
        <f>+E47+G47+I47+K47+M47+O47+Q47+S47+U47+W47+Y47+AA47</f>
        <v>0</v>
      </c>
      <c r="AE47" s="396">
        <f t="shared" si="19"/>
        <v>0</v>
      </c>
      <c r="AF47" s="764"/>
      <c r="AG47" s="1543"/>
      <c r="AH47" s="1635"/>
    </row>
    <row r="48" spans="1:34" ht="15">
      <c r="A48" s="408" t="s">
        <v>328</v>
      </c>
      <c r="B48" s="393"/>
      <c r="C48" s="614">
        <v>9510</v>
      </c>
      <c r="D48" s="1637">
        <f>'1st Interim-Cash Flow Year 1'!AC35+'1st Interim-Cash Flow Year 1'!AE48</f>
        <v>0</v>
      </c>
      <c r="E48" s="394"/>
      <c r="F48" s="337" t="str">
        <f t="shared" si="5"/>
        <v xml:space="preserve"> </v>
      </c>
      <c r="G48" s="395"/>
      <c r="H48" s="337" t="str">
        <f t="shared" si="6"/>
        <v xml:space="preserve"> </v>
      </c>
      <c r="I48" s="395"/>
      <c r="J48" s="337" t="str">
        <f t="shared" si="7"/>
        <v xml:space="preserve"> </v>
      </c>
      <c r="K48" s="395"/>
      <c r="L48" s="337" t="str">
        <f t="shared" si="8"/>
        <v xml:space="preserve"> </v>
      </c>
      <c r="M48" s="395"/>
      <c r="N48" s="524" t="str">
        <f t="shared" si="9"/>
        <v xml:space="preserve"> </v>
      </c>
      <c r="O48" s="395"/>
      <c r="P48" s="337" t="str">
        <f t="shared" si="10"/>
        <v xml:space="preserve"> </v>
      </c>
      <c r="Q48" s="395"/>
      <c r="R48" s="524" t="str">
        <f t="shared" si="11"/>
        <v xml:space="preserve"> </v>
      </c>
      <c r="S48" s="506"/>
      <c r="T48" s="337" t="str">
        <f t="shared" si="12"/>
        <v xml:space="preserve"> </v>
      </c>
      <c r="U48" s="395"/>
      <c r="V48" s="337" t="str">
        <f t="shared" si="13"/>
        <v xml:space="preserve"> </v>
      </c>
      <c r="W48" s="395"/>
      <c r="X48" s="337" t="str">
        <f t="shared" si="14"/>
        <v xml:space="preserve"> </v>
      </c>
      <c r="Y48" s="395"/>
      <c r="Z48" s="337" t="str">
        <f t="shared" si="15"/>
        <v xml:space="preserve"> </v>
      </c>
      <c r="AA48" s="395"/>
      <c r="AB48" s="337" t="str">
        <f t="shared" si="16"/>
        <v xml:space="preserve"> </v>
      </c>
      <c r="AC48" s="1539"/>
      <c r="AD48" s="1542">
        <f t="shared" si="17"/>
        <v>0</v>
      </c>
      <c r="AE48" s="396">
        <f t="shared" si="19"/>
        <v>0</v>
      </c>
      <c r="AF48" s="764"/>
      <c r="AG48" s="1543" t="str">
        <f t="shared" si="18"/>
        <v/>
      </c>
      <c r="AH48" s="1635" t="str">
        <f>IF(AD48=D48,"","Warning - Prior Year Transactions should be zero'd out by Year End")</f>
        <v/>
      </c>
    </row>
    <row r="49" spans="1:34" ht="15">
      <c r="A49" s="408" t="s">
        <v>329</v>
      </c>
      <c r="B49" s="393"/>
      <c r="C49" s="615">
        <v>9640</v>
      </c>
      <c r="D49" s="1638">
        <f>'1st Interim-Cash Flow Year 1'!AE49</f>
        <v>0</v>
      </c>
      <c r="E49" s="394"/>
      <c r="F49" s="337" t="str">
        <f t="shared" si="5"/>
        <v xml:space="preserve"> </v>
      </c>
      <c r="G49" s="395"/>
      <c r="H49" s="337" t="str">
        <f t="shared" si="6"/>
        <v xml:space="preserve"> </v>
      </c>
      <c r="I49" s="395"/>
      <c r="J49" s="337" t="str">
        <f t="shared" si="7"/>
        <v xml:space="preserve"> </v>
      </c>
      <c r="K49" s="395"/>
      <c r="L49" s="337" t="str">
        <f t="shared" si="8"/>
        <v xml:space="preserve"> </v>
      </c>
      <c r="M49" s="395"/>
      <c r="N49" s="524" t="str">
        <f t="shared" si="9"/>
        <v xml:space="preserve"> </v>
      </c>
      <c r="O49" s="395"/>
      <c r="P49" s="337" t="str">
        <f t="shared" si="10"/>
        <v xml:space="preserve"> </v>
      </c>
      <c r="Q49" s="395"/>
      <c r="R49" s="524" t="str">
        <f t="shared" si="11"/>
        <v xml:space="preserve"> </v>
      </c>
      <c r="S49" s="506"/>
      <c r="T49" s="337" t="str">
        <f t="shared" si="12"/>
        <v xml:space="preserve"> </v>
      </c>
      <c r="U49" s="395"/>
      <c r="V49" s="337" t="str">
        <f t="shared" si="13"/>
        <v xml:space="preserve"> </v>
      </c>
      <c r="W49" s="395"/>
      <c r="X49" s="337" t="str">
        <f t="shared" si="14"/>
        <v xml:space="preserve"> </v>
      </c>
      <c r="Y49" s="395"/>
      <c r="Z49" s="337" t="str">
        <f t="shared" si="15"/>
        <v xml:space="preserve"> </v>
      </c>
      <c r="AA49" s="395"/>
      <c r="AB49" s="337" t="str">
        <f t="shared" si="16"/>
        <v xml:space="preserve"> </v>
      </c>
      <c r="AC49" s="1539"/>
      <c r="AD49" s="1542">
        <f t="shared" si="17"/>
        <v>0</v>
      </c>
      <c r="AE49" s="396">
        <f t="shared" si="19"/>
        <v>0</v>
      </c>
      <c r="AF49" s="764"/>
      <c r="AG49" s="1543" t="str">
        <f t="shared" si="18"/>
        <v/>
      </c>
      <c r="AH49" s="1635" t="str">
        <f>IF(AD49=D49,"","Warning - Review ending balance to ensure it is payable in the subsequent year.")</f>
        <v/>
      </c>
    </row>
    <row r="50" spans="1:34" ht="15">
      <c r="A50" s="408" t="s">
        <v>330</v>
      </c>
      <c r="B50" s="393"/>
      <c r="C50" s="614">
        <v>9650</v>
      </c>
      <c r="D50" s="1637">
        <f>'1st Interim-Cash Flow Year 1'!AE50</f>
        <v>0</v>
      </c>
      <c r="E50" s="394"/>
      <c r="F50" s="337" t="str">
        <f t="shared" si="5"/>
        <v xml:space="preserve"> </v>
      </c>
      <c r="G50" s="395"/>
      <c r="H50" s="337" t="str">
        <f t="shared" si="6"/>
        <v xml:space="preserve"> </v>
      </c>
      <c r="I50" s="395"/>
      <c r="J50" s="337" t="str">
        <f t="shared" si="7"/>
        <v xml:space="preserve"> </v>
      </c>
      <c r="K50" s="395"/>
      <c r="L50" s="337" t="str">
        <f t="shared" si="8"/>
        <v xml:space="preserve"> </v>
      </c>
      <c r="M50" s="395"/>
      <c r="N50" s="524" t="str">
        <f t="shared" si="9"/>
        <v xml:space="preserve"> </v>
      </c>
      <c r="O50" s="395"/>
      <c r="P50" s="337" t="str">
        <f t="shared" si="10"/>
        <v xml:space="preserve"> </v>
      </c>
      <c r="Q50" s="395"/>
      <c r="R50" s="524" t="str">
        <f t="shared" si="11"/>
        <v xml:space="preserve"> </v>
      </c>
      <c r="S50" s="506"/>
      <c r="T50" s="337" t="str">
        <f t="shared" si="12"/>
        <v xml:space="preserve"> </v>
      </c>
      <c r="U50" s="395"/>
      <c r="V50" s="337" t="str">
        <f t="shared" si="13"/>
        <v xml:space="preserve"> </v>
      </c>
      <c r="W50" s="395"/>
      <c r="X50" s="337" t="str">
        <f t="shared" si="14"/>
        <v xml:space="preserve"> </v>
      </c>
      <c r="Y50" s="395"/>
      <c r="Z50" s="337" t="str">
        <f t="shared" si="15"/>
        <v xml:space="preserve"> </v>
      </c>
      <c r="AA50" s="395"/>
      <c r="AB50" s="337" t="str">
        <f t="shared" si="16"/>
        <v xml:space="preserve"> </v>
      </c>
      <c r="AC50" s="1539"/>
      <c r="AD50" s="1542">
        <f t="shared" si="17"/>
        <v>0</v>
      </c>
      <c r="AE50" s="396">
        <f t="shared" si="19"/>
        <v>0</v>
      </c>
      <c r="AF50" s="764"/>
      <c r="AG50" s="1543" t="str">
        <f t="shared" si="18"/>
        <v/>
      </c>
      <c r="AH50" s="1635" t="str">
        <f>IF(AD50=D50,"","Warning - Balances should only remain if Beg Bal included Deferrals for multiple years.")</f>
        <v/>
      </c>
    </row>
    <row r="51" spans="1:34" ht="15">
      <c r="A51" s="408" t="s">
        <v>514</v>
      </c>
      <c r="B51" s="393"/>
      <c r="C51" s="614"/>
      <c r="D51" s="1637">
        <f>'1st Interim-Cash Flow Year 1'!AE51</f>
        <v>0</v>
      </c>
      <c r="E51" s="394"/>
      <c r="F51" s="337" t="str">
        <f t="shared" si="5"/>
        <v xml:space="preserve"> </v>
      </c>
      <c r="G51" s="395"/>
      <c r="H51" s="337" t="str">
        <f t="shared" si="5"/>
        <v xml:space="preserve"> </v>
      </c>
      <c r="I51" s="395"/>
      <c r="J51" s="337" t="str">
        <f t="shared" si="5"/>
        <v xml:space="preserve"> </v>
      </c>
      <c r="K51" s="395"/>
      <c r="L51" s="337" t="str">
        <f t="shared" si="5"/>
        <v xml:space="preserve"> </v>
      </c>
      <c r="M51" s="395"/>
      <c r="N51" s="524" t="str">
        <f t="shared" si="5"/>
        <v xml:space="preserve"> </v>
      </c>
      <c r="O51" s="395"/>
      <c r="P51" s="337" t="str">
        <f t="shared" si="5"/>
        <v xml:space="preserve"> </v>
      </c>
      <c r="Q51" s="395"/>
      <c r="R51" s="524" t="str">
        <f t="shared" si="5"/>
        <v xml:space="preserve"> </v>
      </c>
      <c r="S51" s="506"/>
      <c r="T51" s="337" t="str">
        <f t="shared" si="5"/>
        <v xml:space="preserve"> </v>
      </c>
      <c r="U51" s="395"/>
      <c r="V51" s="337" t="str">
        <f t="shared" si="13"/>
        <v xml:space="preserve"> </v>
      </c>
      <c r="W51" s="395"/>
      <c r="X51" s="337" t="str">
        <f t="shared" si="13"/>
        <v xml:space="preserve"> </v>
      </c>
      <c r="Y51" s="395"/>
      <c r="Z51" s="337" t="str">
        <f t="shared" si="13"/>
        <v xml:space="preserve"> </v>
      </c>
      <c r="AA51" s="395"/>
      <c r="AB51" s="337" t="str">
        <f t="shared" si="13"/>
        <v xml:space="preserve"> </v>
      </c>
      <c r="AC51" s="1539"/>
      <c r="AD51" s="1542">
        <f>+E51+G51+I51+K51+M51+O51+Q51+S51+U51+W51+Y51+AA51</f>
        <v>0</v>
      </c>
      <c r="AE51" s="396">
        <f t="shared" si="19"/>
        <v>0</v>
      </c>
      <c r="AF51" s="764"/>
      <c r="AG51" s="1543"/>
      <c r="AH51" s="1635"/>
    </row>
    <row r="52" spans="1:34" ht="15.4" thickBot="1">
      <c r="A52" s="69" t="s">
        <v>511</v>
      </c>
      <c r="B52" s="367"/>
      <c r="C52" s="70"/>
      <c r="D52" s="1051" t="e">
        <f>D44+D45+D46+D47-D48-D49-D50-D51</f>
        <v>#VALUE!</v>
      </c>
      <c r="E52" s="762">
        <f>E44+E45+E46+E47-E48-E49-E50-E51</f>
        <v>0</v>
      </c>
      <c r="F52" s="530"/>
      <c r="G52" s="762">
        <f>G44+G45+G46+G47-G48-G49-G50-G51</f>
        <v>0</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763">
        <f>AD44+AD45+AD46+AD47-AD48-AD49-AD50-AD51</f>
        <v>0</v>
      </c>
      <c r="AE52" s="763" t="e">
        <f>AE44+AE45+AE46+AE47-AE48-AE49-AE50-AE51</f>
        <v>#VALUE!</v>
      </c>
      <c r="AF52" s="764"/>
      <c r="AH52" s="134"/>
    </row>
    <row r="53" spans="1:34" ht="15.6" customHeight="1">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F61" si="20">IF($AE55&lt;1," ",IF(E55&lt;1," ",(E55)/$AE55))</f>
        <v xml:space="preserve"> </v>
      </c>
      <c r="G55" s="395"/>
      <c r="H55" s="337" t="str">
        <f t="shared" ref="H55:H61" si="21">IF($AE55&lt;1," ",IF(G55&lt;1," ",(G55)/$AE55))</f>
        <v xml:space="preserve"> </v>
      </c>
      <c r="I55" s="395"/>
      <c r="J55" s="337" t="str">
        <f t="shared" ref="J55:J61" si="22">IF($AE55&lt;1," ",IF(I55&lt;1," ",(I55)/$AE55))</f>
        <v xml:space="preserve"> </v>
      </c>
      <c r="K55" s="395"/>
      <c r="L55" s="337" t="str">
        <f t="shared" ref="L55:L61" si="23">IF($AE55&lt;1," ",IF(K55&lt;1," ",(K55)/$AE55))</f>
        <v xml:space="preserve"> </v>
      </c>
      <c r="M55" s="395"/>
      <c r="N55" s="524" t="str">
        <f t="shared" ref="N55:N61" si="24">IF($AE55&lt;1," ",IF(M55&lt;1," ",(M55)/$AE55))</f>
        <v xml:space="preserve"> </v>
      </c>
      <c r="O55" s="395"/>
      <c r="P55" s="337" t="str">
        <f t="shared" ref="P55:P61" si="25">IF($AE55&lt;1," ",IF(O55&lt;1," ",(O55)/$AE55))</f>
        <v xml:space="preserve"> </v>
      </c>
      <c r="Q55" s="395"/>
      <c r="R55" s="524" t="str">
        <f t="shared" ref="R55:R61" si="26">IF($AE55&lt;1," ",IF(Q55&lt;1," ",(Q55)/$AE55))</f>
        <v xml:space="preserve"> </v>
      </c>
      <c r="S55" s="506"/>
      <c r="T55" s="337" t="str">
        <f t="shared" ref="T55:T61" si="27">IF($AE55&lt;1," ",IF(S55&lt;1," ",(S55)/$AE55))</f>
        <v xml:space="preserve"> </v>
      </c>
      <c r="U55" s="395"/>
      <c r="V55" s="337" t="str">
        <f t="shared" ref="V55:V61" si="28">IF($AE55&lt;1," ",IF(U55&lt;1," ",(U55)/$AE55))</f>
        <v xml:space="preserve"> </v>
      </c>
      <c r="W55" s="395"/>
      <c r="X55" s="337" t="str">
        <f t="shared" ref="X55:X61" si="29">IF($AE55&lt;1," ",IF(W55&lt;1," ",(W55)/$AE55))</f>
        <v xml:space="preserve"> </v>
      </c>
      <c r="Y55" s="395"/>
      <c r="Z55" s="337" t="str">
        <f t="shared" ref="Z55:Z61" si="30">IF($AE55&lt;1," ",IF(Y55&lt;1," ",(Y55)/$AE55))</f>
        <v xml:space="preserve"> </v>
      </c>
      <c r="AA55" s="395"/>
      <c r="AB55" s="337" t="str">
        <f t="shared" ref="AB55:AB61" si="31">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si="20"/>
        <v xml:space="preserve"> </v>
      </c>
      <c r="G56" s="395"/>
      <c r="H56" s="337" t="str">
        <f t="shared" si="21"/>
        <v xml:space="preserve"> </v>
      </c>
      <c r="I56" s="395"/>
      <c r="J56" s="337" t="str">
        <f t="shared" si="22"/>
        <v xml:space="preserve"> </v>
      </c>
      <c r="K56" s="395"/>
      <c r="L56" s="337" t="str">
        <f t="shared" si="23"/>
        <v xml:space="preserve"> </v>
      </c>
      <c r="M56" s="395"/>
      <c r="N56" s="524" t="str">
        <f t="shared" si="24"/>
        <v xml:space="preserve"> </v>
      </c>
      <c r="O56" s="395"/>
      <c r="P56" s="337" t="str">
        <f t="shared" si="25"/>
        <v xml:space="preserve"> </v>
      </c>
      <c r="Q56" s="395"/>
      <c r="R56" s="524" t="str">
        <f t="shared" si="26"/>
        <v xml:space="preserve"> </v>
      </c>
      <c r="S56" s="506"/>
      <c r="T56" s="337" t="str">
        <f t="shared" si="27"/>
        <v xml:space="preserve"> </v>
      </c>
      <c r="U56" s="395"/>
      <c r="V56" s="337" t="str">
        <f t="shared" si="28"/>
        <v xml:space="preserve"> </v>
      </c>
      <c r="W56" s="395"/>
      <c r="X56" s="337" t="str">
        <f t="shared" si="29"/>
        <v xml:space="preserve"> </v>
      </c>
      <c r="Y56" s="395"/>
      <c r="Z56" s="337" t="str">
        <f t="shared" si="30"/>
        <v xml:space="preserve"> </v>
      </c>
      <c r="AA56" s="395"/>
      <c r="AB56" s="337" t="str">
        <f t="shared" si="31"/>
        <v xml:space="preserve"> </v>
      </c>
      <c r="AC56" s="1539"/>
      <c r="AD56" s="1630">
        <f t="shared" ref="AD56:AD61" si="32">E56+G56+I56+K56+M56+O56+Q56+S56+U56+W56+Y56+AA56+AC56</f>
        <v>0</v>
      </c>
      <c r="AE56" s="1631">
        <f t="shared" ref="AE56:AE61" si="33">D56-AD56</f>
        <v>0</v>
      </c>
      <c r="AF56" s="765"/>
      <c r="AG56" s="1177"/>
    </row>
    <row r="57" spans="1:34" ht="15">
      <c r="A57" s="1832"/>
      <c r="B57" s="1833"/>
      <c r="C57" s="374"/>
      <c r="D57" s="1570"/>
      <c r="E57" s="394"/>
      <c r="F57" s="337" t="str">
        <f t="shared" si="20"/>
        <v xml:space="preserve"> </v>
      </c>
      <c r="G57" s="395"/>
      <c r="H57" s="337" t="str">
        <f t="shared" si="21"/>
        <v xml:space="preserve"> </v>
      </c>
      <c r="I57" s="395"/>
      <c r="J57" s="337" t="str">
        <f t="shared" si="22"/>
        <v xml:space="preserve"> </v>
      </c>
      <c r="K57" s="395"/>
      <c r="L57" s="337" t="str">
        <f t="shared" si="23"/>
        <v xml:space="preserve"> </v>
      </c>
      <c r="M57" s="395"/>
      <c r="N57" s="524" t="str">
        <f t="shared" si="24"/>
        <v xml:space="preserve"> </v>
      </c>
      <c r="O57" s="395"/>
      <c r="P57" s="337" t="str">
        <f t="shared" si="25"/>
        <v xml:space="preserve"> </v>
      </c>
      <c r="Q57" s="395"/>
      <c r="R57" s="524" t="str">
        <f t="shared" si="26"/>
        <v xml:space="preserve"> </v>
      </c>
      <c r="S57" s="506"/>
      <c r="T57" s="337" t="str">
        <f t="shared" si="27"/>
        <v xml:space="preserve"> </v>
      </c>
      <c r="U57" s="395"/>
      <c r="V57" s="337" t="str">
        <f t="shared" si="28"/>
        <v xml:space="preserve"> </v>
      </c>
      <c r="W57" s="395"/>
      <c r="X57" s="337" t="str">
        <f t="shared" si="29"/>
        <v xml:space="preserve"> </v>
      </c>
      <c r="Y57" s="395"/>
      <c r="Z57" s="337" t="str">
        <f t="shared" si="30"/>
        <v xml:space="preserve"> </v>
      </c>
      <c r="AA57" s="395"/>
      <c r="AB57" s="337" t="str">
        <f t="shared" si="31"/>
        <v xml:space="preserve"> </v>
      </c>
      <c r="AC57" s="1539"/>
      <c r="AD57" s="1630">
        <f t="shared" si="32"/>
        <v>0</v>
      </c>
      <c r="AE57" s="1631">
        <f t="shared" si="33"/>
        <v>0</v>
      </c>
      <c r="AF57" s="765"/>
      <c r="AG57" s="1177"/>
    </row>
    <row r="58" spans="1:34" ht="15">
      <c r="A58" s="1832"/>
      <c r="B58" s="1833"/>
      <c r="C58" s="374"/>
      <c r="D58" s="1570"/>
      <c r="E58" s="394"/>
      <c r="F58" s="337" t="str">
        <f t="shared" si="20"/>
        <v xml:space="preserve"> </v>
      </c>
      <c r="G58" s="395"/>
      <c r="H58" s="337" t="str">
        <f t="shared" si="21"/>
        <v xml:space="preserve"> </v>
      </c>
      <c r="I58" s="395"/>
      <c r="J58" s="337" t="str">
        <f t="shared" si="22"/>
        <v xml:space="preserve"> </v>
      </c>
      <c r="K58" s="395"/>
      <c r="L58" s="337" t="str">
        <f t="shared" si="23"/>
        <v xml:space="preserve"> </v>
      </c>
      <c r="M58" s="395"/>
      <c r="N58" s="524" t="str">
        <f t="shared" si="24"/>
        <v xml:space="preserve"> </v>
      </c>
      <c r="O58" s="395"/>
      <c r="P58" s="337" t="str">
        <f t="shared" si="25"/>
        <v xml:space="preserve"> </v>
      </c>
      <c r="Q58" s="395"/>
      <c r="R58" s="524" t="str">
        <f t="shared" si="26"/>
        <v xml:space="preserve"> </v>
      </c>
      <c r="S58" s="506"/>
      <c r="T58" s="337" t="str">
        <f t="shared" si="27"/>
        <v xml:space="preserve"> </v>
      </c>
      <c r="U58" s="395"/>
      <c r="V58" s="337" t="str">
        <f t="shared" si="28"/>
        <v xml:space="preserve"> </v>
      </c>
      <c r="W58" s="395"/>
      <c r="X58" s="337" t="str">
        <f t="shared" si="29"/>
        <v xml:space="preserve"> </v>
      </c>
      <c r="Y58" s="395"/>
      <c r="Z58" s="337" t="str">
        <f t="shared" si="30"/>
        <v xml:space="preserve"> </v>
      </c>
      <c r="AA58" s="395"/>
      <c r="AB58" s="337" t="str">
        <f t="shared" si="31"/>
        <v xml:space="preserve"> </v>
      </c>
      <c r="AC58" s="1539"/>
      <c r="AD58" s="1630">
        <f t="shared" si="32"/>
        <v>0</v>
      </c>
      <c r="AE58" s="1631">
        <f t="shared" si="33"/>
        <v>0</v>
      </c>
      <c r="AF58" s="765"/>
      <c r="AG58" s="1177"/>
    </row>
    <row r="59" spans="1:34" ht="15">
      <c r="A59" s="1832"/>
      <c r="B59" s="1833"/>
      <c r="C59" s="374"/>
      <c r="D59" s="1570"/>
      <c r="E59" s="394"/>
      <c r="F59" s="337" t="str">
        <f t="shared" si="20"/>
        <v xml:space="preserve"> </v>
      </c>
      <c r="G59" s="395"/>
      <c r="H59" s="337" t="str">
        <f t="shared" si="21"/>
        <v xml:space="preserve"> </v>
      </c>
      <c r="I59" s="395"/>
      <c r="J59" s="337" t="str">
        <f t="shared" si="22"/>
        <v xml:space="preserve"> </v>
      </c>
      <c r="K59" s="395"/>
      <c r="L59" s="337" t="str">
        <f t="shared" si="23"/>
        <v xml:space="preserve"> </v>
      </c>
      <c r="M59" s="395"/>
      <c r="N59" s="524" t="str">
        <f t="shared" si="24"/>
        <v xml:space="preserve"> </v>
      </c>
      <c r="O59" s="395"/>
      <c r="P59" s="337" t="str">
        <f t="shared" si="25"/>
        <v xml:space="preserve"> </v>
      </c>
      <c r="Q59" s="395"/>
      <c r="R59" s="524" t="str">
        <f t="shared" si="26"/>
        <v xml:space="preserve"> </v>
      </c>
      <c r="S59" s="506"/>
      <c r="T59" s="337" t="str">
        <f t="shared" si="27"/>
        <v xml:space="preserve"> </v>
      </c>
      <c r="U59" s="395"/>
      <c r="V59" s="337" t="str">
        <f t="shared" si="28"/>
        <v xml:space="preserve"> </v>
      </c>
      <c r="W59" s="395"/>
      <c r="X59" s="337" t="str">
        <f t="shared" si="29"/>
        <v xml:space="preserve"> </v>
      </c>
      <c r="Y59" s="395"/>
      <c r="Z59" s="337" t="str">
        <f t="shared" si="30"/>
        <v xml:space="preserve"> </v>
      </c>
      <c r="AA59" s="395"/>
      <c r="AB59" s="337" t="str">
        <f t="shared" si="31"/>
        <v xml:space="preserve"> </v>
      </c>
      <c r="AC59" s="1539"/>
      <c r="AD59" s="1630">
        <f t="shared" si="32"/>
        <v>0</v>
      </c>
      <c r="AE59" s="1631">
        <f t="shared" si="33"/>
        <v>0</v>
      </c>
      <c r="AF59" s="765"/>
      <c r="AG59" s="1177"/>
    </row>
    <row r="60" spans="1:34" ht="15">
      <c r="A60" s="1832"/>
      <c r="B60" s="1833"/>
      <c r="C60" s="374"/>
      <c r="D60" s="1570"/>
      <c r="E60" s="394"/>
      <c r="F60" s="337" t="str">
        <f t="shared" si="20"/>
        <v xml:space="preserve"> </v>
      </c>
      <c r="G60" s="395"/>
      <c r="H60" s="337" t="str">
        <f t="shared" si="21"/>
        <v xml:space="preserve"> </v>
      </c>
      <c r="I60" s="395"/>
      <c r="J60" s="337" t="str">
        <f t="shared" si="22"/>
        <v xml:space="preserve"> </v>
      </c>
      <c r="K60" s="395"/>
      <c r="L60" s="337" t="str">
        <f t="shared" si="23"/>
        <v xml:space="preserve"> </v>
      </c>
      <c r="M60" s="395"/>
      <c r="N60" s="524" t="str">
        <f t="shared" si="24"/>
        <v xml:space="preserve"> </v>
      </c>
      <c r="O60" s="395"/>
      <c r="P60" s="337" t="str">
        <f t="shared" si="25"/>
        <v xml:space="preserve"> </v>
      </c>
      <c r="Q60" s="395"/>
      <c r="R60" s="524" t="str">
        <f t="shared" si="26"/>
        <v xml:space="preserve"> </v>
      </c>
      <c r="S60" s="506"/>
      <c r="T60" s="337" t="str">
        <f t="shared" si="27"/>
        <v xml:space="preserve"> </v>
      </c>
      <c r="U60" s="395"/>
      <c r="V60" s="337" t="str">
        <f t="shared" si="28"/>
        <v xml:space="preserve"> </v>
      </c>
      <c r="W60" s="395"/>
      <c r="X60" s="337" t="str">
        <f t="shared" si="29"/>
        <v xml:space="preserve"> </v>
      </c>
      <c r="Y60" s="395"/>
      <c r="Z60" s="337" t="str">
        <f t="shared" si="30"/>
        <v xml:space="preserve"> </v>
      </c>
      <c r="AA60" s="395"/>
      <c r="AB60" s="337" t="str">
        <f t="shared" si="31"/>
        <v xml:space="preserve"> </v>
      </c>
      <c r="AC60" s="1539"/>
      <c r="AD60" s="1630">
        <f t="shared" si="32"/>
        <v>0</v>
      </c>
      <c r="AE60" s="1631">
        <f t="shared" si="33"/>
        <v>0</v>
      </c>
      <c r="AF60" s="765"/>
      <c r="AG60" s="1177"/>
    </row>
    <row r="61" spans="1:34" ht="15">
      <c r="A61" s="1832"/>
      <c r="B61" s="1833"/>
      <c r="C61" s="374"/>
      <c r="D61" s="1570"/>
      <c r="E61" s="394"/>
      <c r="F61" s="337" t="str">
        <f t="shared" si="20"/>
        <v xml:space="preserve"> </v>
      </c>
      <c r="G61" s="395"/>
      <c r="H61" s="337" t="str">
        <f t="shared" si="21"/>
        <v xml:space="preserve"> </v>
      </c>
      <c r="I61" s="395"/>
      <c r="J61" s="337" t="str">
        <f t="shared" si="22"/>
        <v xml:space="preserve"> </v>
      </c>
      <c r="K61" s="395"/>
      <c r="L61" s="337" t="str">
        <f t="shared" si="23"/>
        <v xml:space="preserve"> </v>
      </c>
      <c r="M61" s="395"/>
      <c r="N61" s="524" t="str">
        <f t="shared" si="24"/>
        <v xml:space="preserve"> </v>
      </c>
      <c r="O61" s="395"/>
      <c r="P61" s="337" t="str">
        <f t="shared" si="25"/>
        <v xml:space="preserve"> </v>
      </c>
      <c r="Q61" s="395"/>
      <c r="R61" s="524" t="str">
        <f t="shared" si="26"/>
        <v xml:space="preserve"> </v>
      </c>
      <c r="S61" s="506"/>
      <c r="T61" s="337" t="str">
        <f t="shared" si="27"/>
        <v xml:space="preserve"> </v>
      </c>
      <c r="U61" s="395"/>
      <c r="V61" s="337" t="str">
        <f t="shared" si="28"/>
        <v xml:space="preserve"> </v>
      </c>
      <c r="W61" s="395"/>
      <c r="X61" s="337" t="str">
        <f t="shared" si="29"/>
        <v xml:space="preserve"> </v>
      </c>
      <c r="Y61" s="395"/>
      <c r="Z61" s="337" t="str">
        <f t="shared" si="30"/>
        <v xml:space="preserve"> </v>
      </c>
      <c r="AA61" s="395"/>
      <c r="AB61" s="337" t="str">
        <f t="shared" si="31"/>
        <v xml:space="preserve"> </v>
      </c>
      <c r="AC61" s="1539"/>
      <c r="AD61" s="1630">
        <f t="shared" si="32"/>
        <v>0</v>
      </c>
      <c r="AE61" s="1631">
        <f t="shared" si="33"/>
        <v>0</v>
      </c>
      <c r="AF61" s="765"/>
      <c r="AG61" s="1177"/>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row>
    <row r="63" spans="1:34" ht="15">
      <c r="A63" s="68"/>
      <c r="B63" s="181"/>
      <c r="C63" s="23"/>
      <c r="D63" s="23"/>
      <c r="E63" s="24"/>
      <c r="F63" s="531"/>
      <c r="G63" s="390"/>
      <c r="H63" s="531"/>
      <c r="I63" s="390"/>
      <c r="J63" s="531"/>
      <c r="K63" s="390"/>
      <c r="L63" s="531"/>
      <c r="M63" s="390"/>
      <c r="N63" s="1031"/>
      <c r="O63" s="390"/>
      <c r="P63" s="51"/>
      <c r="Q63" s="390"/>
      <c r="R63" s="531"/>
      <c r="S63" s="390"/>
      <c r="T63" s="51"/>
      <c r="U63" s="390"/>
      <c r="V63" s="51"/>
      <c r="W63" s="390"/>
      <c r="X63" s="51"/>
      <c r="Y63" s="390"/>
      <c r="Z63" s="51"/>
      <c r="AA63" s="390"/>
      <c r="AB63" s="51"/>
      <c r="AC63" s="1540"/>
      <c r="AD63" s="1018"/>
      <c r="AE63" s="1019"/>
      <c r="AF63" s="1024"/>
      <c r="AG63" s="1177"/>
    </row>
    <row r="64" spans="1:34" ht="15.4" thickBot="1">
      <c r="A64" s="397" t="s">
        <v>112</v>
      </c>
      <c r="B64" s="398"/>
      <c r="C64" s="374"/>
      <c r="D64" s="374"/>
      <c r="E64" s="760">
        <f>+E23-E35+E40+E52+E62</f>
        <v>0</v>
      </c>
      <c r="F64" s="526"/>
      <c r="G64" s="761">
        <f>+G23-G35+G40+G52+G62</f>
        <v>0</v>
      </c>
      <c r="H64" s="526"/>
      <c r="I64" s="761">
        <f>+I23-I35+I40+I52+I62</f>
        <v>0</v>
      </c>
      <c r="J64" s="526"/>
      <c r="K64" s="761">
        <f>+K23-K35+K40+K52+K62</f>
        <v>0</v>
      </c>
      <c r="L64" s="526"/>
      <c r="M64" s="761">
        <f>+M23-M35+M40+M52+M62</f>
        <v>0</v>
      </c>
      <c r="N64" s="382"/>
      <c r="O64" s="761">
        <f>+O23-O35+O40+O52+O62</f>
        <v>0</v>
      </c>
      <c r="P64" s="382"/>
      <c r="Q64" s="761">
        <f>+Q23-Q35+Q40+Q52+Q62</f>
        <v>0</v>
      </c>
      <c r="R64" s="526"/>
      <c r="S64" s="761">
        <f>+S23-S35+S40+S52+S62</f>
        <v>0</v>
      </c>
      <c r="T64" s="382"/>
      <c r="U64" s="761">
        <f>+U23-U35+U40+U52+U62</f>
        <v>0</v>
      </c>
      <c r="V64" s="382"/>
      <c r="W64" s="761">
        <f>+W23-W35+W40+W52+W62</f>
        <v>0</v>
      </c>
      <c r="X64" s="382"/>
      <c r="Y64" s="761">
        <f>+Y23-Y35+Y40+Y52+Y62</f>
        <v>0</v>
      </c>
      <c r="Z64" s="382"/>
      <c r="AA64" s="761">
        <f>+AA23-AA35+AA40+AA52+AA62</f>
        <v>0</v>
      </c>
      <c r="AB64" s="382"/>
      <c r="AC64" s="1536" t="e">
        <f>+AC23-AC35+AC40+AC52+AC62</f>
        <v>#VALUE!</v>
      </c>
      <c r="AD64" s="1629" t="e">
        <f>+AD23-AD35+AD40+AD52+AD62</f>
        <v>#VALUE!</v>
      </c>
      <c r="AE64" s="766"/>
      <c r="AF64" s="767"/>
      <c r="AG64" s="1177"/>
    </row>
    <row r="65" spans="1:33" ht="15.4" thickBot="1">
      <c r="A65" s="69"/>
      <c r="B65" s="367"/>
      <c r="C65" s="70"/>
      <c r="D65" s="70"/>
      <c r="E65" s="48"/>
      <c r="F65" s="530"/>
      <c r="G65" s="391"/>
      <c r="H65" s="530"/>
      <c r="I65" s="391"/>
      <c r="J65" s="530"/>
      <c r="K65" s="391"/>
      <c r="L65" s="530"/>
      <c r="M65" s="391"/>
      <c r="N65" s="194"/>
      <c r="O65" s="391"/>
      <c r="P65" s="194"/>
      <c r="Q65" s="391"/>
      <c r="R65" s="530"/>
      <c r="S65" s="391"/>
      <c r="T65" s="194"/>
      <c r="U65" s="391"/>
      <c r="V65" s="194"/>
      <c r="W65" s="391"/>
      <c r="X65" s="194"/>
      <c r="Y65" s="391"/>
      <c r="Z65" s="194"/>
      <c r="AA65" s="391"/>
      <c r="AB65" s="194"/>
      <c r="AC65" s="1541"/>
      <c r="AD65" s="1634"/>
      <c r="AE65" s="1633"/>
      <c r="AF65" s="767"/>
      <c r="AG65" s="1177"/>
    </row>
    <row r="66" spans="1:33" ht="15.4" thickBot="1">
      <c r="A66" s="69" t="s">
        <v>110</v>
      </c>
      <c r="B66" s="367"/>
      <c r="C66" s="70"/>
      <c r="D66" s="70"/>
      <c r="E66" s="1030">
        <f>+E6+E64</f>
        <v>0</v>
      </c>
      <c r="F66" s="530"/>
      <c r="G66" s="1032">
        <f>+G6+G64</f>
        <v>0</v>
      </c>
      <c r="H66" s="530"/>
      <c r="I66" s="1032">
        <f>+I6+I64</f>
        <v>0</v>
      </c>
      <c r="J66" s="530"/>
      <c r="K66" s="1032">
        <f>+K6+K64</f>
        <v>0</v>
      </c>
      <c r="L66" s="530"/>
      <c r="M66" s="1032">
        <f>+M6+M64</f>
        <v>0</v>
      </c>
      <c r="N66" s="194"/>
      <c r="O66" s="1032">
        <f>+O6+O64</f>
        <v>0</v>
      </c>
      <c r="P66" s="194"/>
      <c r="Q66" s="1032">
        <f>+Q6+Q64</f>
        <v>0</v>
      </c>
      <c r="R66" s="530"/>
      <c r="S66" s="1032">
        <f>+S6+S64</f>
        <v>0</v>
      </c>
      <c r="T66" s="194"/>
      <c r="U66" s="1032">
        <f>+U6+U64</f>
        <v>0</v>
      </c>
      <c r="V66" s="194"/>
      <c r="W66" s="1032">
        <f>+W6+W64</f>
        <v>0</v>
      </c>
      <c r="X66" s="194"/>
      <c r="Y66" s="1032">
        <f>+Y6+Y64</f>
        <v>0</v>
      </c>
      <c r="Z66" s="194"/>
      <c r="AA66" s="1032">
        <f>+AA6+AA64</f>
        <v>0</v>
      </c>
      <c r="AB66" s="194"/>
      <c r="AC66" s="1648" t="e">
        <f>+AC6+AC64+AE52</f>
        <v>#VALUE!</v>
      </c>
      <c r="AD66" s="1020"/>
      <c r="AE66" s="1628"/>
      <c r="AF66" s="1025"/>
      <c r="AG66" s="1177"/>
    </row>
    <row r="68" spans="1:33" ht="13.5">
      <c r="AB68" s="1545" t="s">
        <v>490</v>
      </c>
      <c r="AC68" s="1546" t="e">
        <f>'1st Interim-Summary MYP'!I56</f>
        <v>#VALUE!</v>
      </c>
    </row>
    <row r="69" spans="1:33" ht="14.25" thickBot="1">
      <c r="AB69" s="1650" t="s">
        <v>517</v>
      </c>
      <c r="AC69" s="1548" t="e">
        <f>AC66-AC68</f>
        <v>#VALUE!</v>
      </c>
      <c r="AD69" s="1612" t="e">
        <f>IF(ROUND(D52+E6,0)=ROUND('1st Interim-Summary MYP'!I55,0),"","If not balancing, check to ensure Beg Cash (E6) + Total Beg Balance Sheet (D52) Must equal Beg Fund Balance (1st Interim-Summary MYP I55)")</f>
        <v>#VALUE!</v>
      </c>
    </row>
    <row r="70" spans="1:33" ht="13.15" thickTop="1"/>
    <row r="72" spans="1:33">
      <c r="AB72" s="1639" t="s">
        <v>515</v>
      </c>
      <c r="AC72" s="173" t="e">
        <f>SUM(D44:D47)-SUM(D48:D51)+E6</f>
        <v>#VALUE!</v>
      </c>
    </row>
    <row r="73" spans="1:33">
      <c r="AB73" s="1639" t="s">
        <v>516</v>
      </c>
      <c r="AC73" s="173" t="e">
        <f>'1st Interim-Summary MYP'!I55</f>
        <v>#VALUE!</v>
      </c>
    </row>
    <row r="74" spans="1:33" ht="13.15" thickBot="1">
      <c r="AB74" s="134" t="s">
        <v>96</v>
      </c>
      <c r="AC74" s="1640" t="e">
        <f>AC72-AC73</f>
        <v>#VALUE!</v>
      </c>
    </row>
    <row r="75" spans="1:33" ht="13.15" thickTop="1"/>
    <row r="76" spans="1:33">
      <c r="AC76" s="173" t="e">
        <f>AC74-AC69</f>
        <v>#VALUE!</v>
      </c>
    </row>
  </sheetData>
  <sheetProtection algorithmName="SHA-512" hashValue="ZSg9JllFuE+UrD2UF5MJk+PPN0wYcwPShxrzeYOjs9N9LCjWbaX6T1sf497hDv+h/DDBF/QMs1Q9S8fk+rbISg==" saltValue="08+3S/GsL4ksMa7+7lhhkA==" spinCount="100000" sheet="1" objects="1" scenarios="1"/>
  <mergeCells count="13">
    <mergeCell ref="D41:D43"/>
    <mergeCell ref="AE41:AE43"/>
    <mergeCell ref="F1:L1"/>
    <mergeCell ref="T1:Z1"/>
    <mergeCell ref="G2:K2"/>
    <mergeCell ref="AE53:AE54"/>
    <mergeCell ref="A60:B60"/>
    <mergeCell ref="A61:B61"/>
    <mergeCell ref="A55:B55"/>
    <mergeCell ref="A56:B56"/>
    <mergeCell ref="A57:B57"/>
    <mergeCell ref="A58:B58"/>
    <mergeCell ref="A59:B59"/>
  </mergeCells>
  <conditionalFormatting sqref="F1">
    <cfRule type="containsText" dxfId="127" priority="26" stopIfTrue="1" operator="containsText" text="Enter">
      <formula>NOT(ISERROR(SEARCH("Enter",F1)))</formula>
    </cfRule>
  </conditionalFormatting>
  <conditionalFormatting sqref="T1">
    <cfRule type="containsText" dxfId="126" priority="25" stopIfTrue="1" operator="containsText" text="Enter">
      <formula>NOT(ISERROR(SEARCH("Enter",T1)))</formula>
    </cfRule>
  </conditionalFormatting>
  <conditionalFormatting sqref="AD45">
    <cfRule type="cellIs" dxfId="125" priority="5" stopIfTrue="1" operator="notEqual">
      <formula>$D$45</formula>
    </cfRule>
  </conditionalFormatting>
  <conditionalFormatting sqref="AD46">
    <cfRule type="cellIs" dxfId="124" priority="1" stopIfTrue="1" operator="notEqual">
      <formula>$D$46</formula>
    </cfRule>
  </conditionalFormatting>
  <conditionalFormatting sqref="AD48">
    <cfRule type="cellIs" dxfId="123" priority="4" stopIfTrue="1" operator="notEqual">
      <formula>$D$48</formula>
    </cfRule>
  </conditionalFormatting>
  <conditionalFormatting sqref="AD49">
    <cfRule type="cellIs" dxfId="122" priority="3" stopIfTrue="1" operator="notEqual">
      <formula>$D$49</formula>
    </cfRule>
  </conditionalFormatting>
  <conditionalFormatting sqref="AD50">
    <cfRule type="cellIs" dxfId="121" priority="2" stopIfTrue="1" operator="notEqual">
      <formula>$D$50</formula>
    </cfRule>
  </conditionalFormatting>
  <pageMargins left="0.7" right="0.7" top="0.75" bottom="0.75" header="0.3" footer="0.3"/>
  <pageSetup scale="49" fitToWidth="0" orientation="landscape" r:id="rId1"/>
  <headerFooter>
    <oddHeader xml:space="preserve">&amp;RPage &amp;P of &amp;N
</oddHeader>
  </headerFooter>
  <colBreaks count="1" manualBreakCount="1">
    <brk id="18"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56"/>
  <sheetViews>
    <sheetView workbookViewId="0">
      <pane xSplit="1" ySplit="5" topLeftCell="B144" activePane="bottomRight" state="frozen"/>
      <selection pane="topRight" activeCell="B1" sqref="B1"/>
      <selection pane="bottomLeft" activeCell="A6" sqref="A6"/>
      <selection pane="bottomRight" activeCell="A155" sqref="A155"/>
    </sheetView>
  </sheetViews>
  <sheetFormatPr defaultColWidth="9.1328125" defaultRowHeight="12.75"/>
  <cols>
    <col min="1" max="1" width="56.86328125" style="1192" customWidth="1"/>
    <col min="2" max="2" width="17" style="1192" customWidth="1"/>
    <col min="3" max="3" width="14" style="1192" customWidth="1"/>
    <col min="4" max="4" width="14.86328125" style="1192" customWidth="1"/>
    <col min="5" max="5" width="14" style="1192" customWidth="1"/>
    <col min="6" max="8" width="9.1328125" style="1192"/>
    <col min="9" max="9" width="19" style="1192" customWidth="1"/>
    <col min="10" max="10" width="23.6640625" style="1192" customWidth="1"/>
    <col min="11" max="16384" width="9.1328125" style="1192"/>
  </cols>
  <sheetData>
    <row r="1" spans="1:10">
      <c r="A1" s="1571" t="str">
        <f>'BUDGET-CERTIFICATION'!H1</f>
        <v>Encor Jr./Sr. High School for the Performing and Visual Arts</v>
      </c>
    </row>
    <row r="2" spans="1:10">
      <c r="A2" s="1571" t="s">
        <v>165</v>
      </c>
    </row>
    <row r="3" spans="1:10">
      <c r="A3" s="1571" t="str">
        <f>'Budget-ADA'!K7</f>
        <v>2024-25</v>
      </c>
    </row>
    <row r="4" spans="1:10">
      <c r="A4" s="1571" t="str">
        <f>'BUDGET-CERTIFICATION'!H3</f>
        <v>Hesperia Unified School District</v>
      </c>
    </row>
    <row r="5" spans="1:10">
      <c r="B5" s="1572" t="s">
        <v>371</v>
      </c>
      <c r="C5" s="1572" t="s">
        <v>369</v>
      </c>
      <c r="D5" s="1572" t="s">
        <v>372</v>
      </c>
      <c r="E5" s="1572" t="s">
        <v>491</v>
      </c>
      <c r="H5" s="1572"/>
      <c r="I5" s="1572"/>
      <c r="J5" s="1572"/>
    </row>
    <row r="6" spans="1:10">
      <c r="A6" s="1192" t="s">
        <v>370</v>
      </c>
      <c r="B6" s="1594">
        <f>'Budget-ADA'!J76</f>
        <v>504.33</v>
      </c>
      <c r="C6" s="1594" t="e">
        <f>'1st Interim-ADA'!O76</f>
        <v>#VALUE!</v>
      </c>
      <c r="D6" s="1594" t="e">
        <f>'1st Interim-ADA'!R76</f>
        <v>#VALUE!</v>
      </c>
      <c r="E6" s="1594" t="e">
        <f>'1st Interim-ADA'!U76</f>
        <v>#VALUE!</v>
      </c>
      <c r="H6" s="1573"/>
      <c r="I6" s="1574"/>
      <c r="J6" s="1574"/>
    </row>
    <row r="7" spans="1:10">
      <c r="A7" s="1192" t="s">
        <v>373</v>
      </c>
      <c r="B7" s="1575">
        <f>'Budget-Assumptions'!F24</f>
        <v>561</v>
      </c>
      <c r="C7" s="1576">
        <f>'1st Interim-Assumptions'!G24</f>
        <v>0</v>
      </c>
      <c r="D7" s="1576">
        <f>'1st Interim-Assumptions'!H24</f>
        <v>0</v>
      </c>
      <c r="E7" s="1576">
        <f>'1st Interim-Assumptions'!J24</f>
        <v>0</v>
      </c>
      <c r="H7" s="1573"/>
      <c r="I7" s="1574"/>
      <c r="J7" s="1574"/>
    </row>
    <row r="8" spans="1:10">
      <c r="A8" s="1192" t="s">
        <v>362</v>
      </c>
      <c r="B8" s="1575">
        <f>'Budget-Assumptions'!F27</f>
        <v>324</v>
      </c>
      <c r="C8" s="1576">
        <f>'1st Interim-Assumptions'!G27</f>
        <v>0</v>
      </c>
      <c r="D8" s="1576">
        <f>'1st Interim-Assumptions'!H27</f>
        <v>0</v>
      </c>
      <c r="E8" s="1576">
        <f>'1st Interim-Assumptions'!J27</f>
        <v>0</v>
      </c>
      <c r="H8" s="1573"/>
      <c r="I8" s="1574"/>
      <c r="J8" s="1574"/>
    </row>
    <row r="9" spans="1:10">
      <c r="A9" s="1192" t="s">
        <v>374</v>
      </c>
      <c r="B9" s="1577">
        <f>'Budget-Assumptions'!F28</f>
        <v>0.67720000000000002</v>
      </c>
      <c r="C9" s="1577">
        <f>'1st Interim-Assumptions'!G28</f>
        <v>0</v>
      </c>
      <c r="D9" s="1577">
        <f>'1st Interim-Assumptions'!H28</f>
        <v>0</v>
      </c>
      <c r="E9" s="1577">
        <f>'1st Interim-Assumptions'!J28</f>
        <v>0</v>
      </c>
      <c r="H9" s="1573"/>
      <c r="I9" s="1574"/>
      <c r="J9" s="1574"/>
    </row>
    <row r="10" spans="1:10">
      <c r="H10" s="1573"/>
      <c r="I10" s="1574"/>
      <c r="J10" s="1574"/>
    </row>
    <row r="11" spans="1:10">
      <c r="A11" s="1192" t="s">
        <v>152</v>
      </c>
      <c r="B11" s="1579">
        <f>'Budget-Unrestricted MYP'!E13+'Budget-Unrestricted MYP'!E14+'Budget-Unrestricted MYP'!E15+'Budget-Unrestricted MYP'!E16</f>
        <v>6472272</v>
      </c>
      <c r="C11" s="1579">
        <f>'1st Interim-Assumptions'!G11</f>
        <v>0</v>
      </c>
      <c r="D11" s="1579">
        <f>'1st Interim-Assumptions'!H11</f>
        <v>0</v>
      </c>
      <c r="E11" s="1579">
        <f>'1st Interim-Assumptions'!J11</f>
        <v>0</v>
      </c>
      <c r="H11" s="1573"/>
      <c r="I11" s="1574"/>
      <c r="J11" s="1574"/>
    </row>
    <row r="12" spans="1:10">
      <c r="H12" s="1573"/>
      <c r="I12" s="1574"/>
      <c r="J12" s="1574"/>
    </row>
    <row r="13" spans="1:10">
      <c r="A13" s="1192" t="s">
        <v>375</v>
      </c>
      <c r="C13" s="1594">
        <f>'1st Interim-Assumptions'!G31</f>
        <v>0</v>
      </c>
      <c r="D13" s="1594">
        <f>'1st Interim-Assumptions'!H31</f>
        <v>0</v>
      </c>
      <c r="E13" s="1594">
        <f>'1st Interim-Assumptions'!J31</f>
        <v>0</v>
      </c>
      <c r="H13" s="1573"/>
      <c r="I13" s="1574"/>
      <c r="J13" s="1574"/>
    </row>
    <row r="14" spans="1:10">
      <c r="A14" s="1192" t="s">
        <v>382</v>
      </c>
      <c r="C14" s="1594">
        <f>'1st Interim-Assumptions'!G33</f>
        <v>0</v>
      </c>
      <c r="D14" s="1594">
        <f>'1st Interim-Assumptions'!H33</f>
        <v>0</v>
      </c>
      <c r="E14" s="1594">
        <f>'1st Interim-Assumptions'!J33</f>
        <v>0</v>
      </c>
      <c r="H14" s="1573"/>
      <c r="I14" s="1574"/>
      <c r="J14" s="1574"/>
    </row>
    <row r="15" spans="1:10">
      <c r="A15" s="1192" t="s">
        <v>465</v>
      </c>
      <c r="C15" s="1594">
        <f>'1st Interim-Assumptions'!G32</f>
        <v>0</v>
      </c>
      <c r="D15" s="1594">
        <f>'1st Interim-Assumptions'!H32</f>
        <v>0</v>
      </c>
      <c r="E15" s="1594">
        <f>'1st Interim-Assumptions'!J32</f>
        <v>0</v>
      </c>
      <c r="H15" s="1573"/>
    </row>
    <row r="16" spans="1:10">
      <c r="C16" s="1594"/>
      <c r="D16" s="1594"/>
      <c r="E16" s="1594"/>
      <c r="H16" s="1573"/>
    </row>
    <row r="17" spans="1:5">
      <c r="A17" s="1192" t="s">
        <v>383</v>
      </c>
      <c r="C17" s="1594">
        <f>'1st Interim-Assumptions'!G51</f>
        <v>0</v>
      </c>
      <c r="D17" s="1594">
        <f>'1st Interim-Assumptions'!H51</f>
        <v>0</v>
      </c>
      <c r="E17" s="1594">
        <f>'1st Interim-Assumptions'!J51</f>
        <v>0</v>
      </c>
    </row>
    <row r="18" spans="1:5">
      <c r="A18" s="1192" t="s">
        <v>471</v>
      </c>
      <c r="C18" s="1594">
        <f>'1st Interim-Assumptions'!G52</f>
        <v>0</v>
      </c>
      <c r="D18" s="1594">
        <f>'1st Interim-Assumptions'!H52</f>
        <v>0</v>
      </c>
      <c r="E18" s="1594">
        <f>'1st Interim-Assumptions'!J52</f>
        <v>0</v>
      </c>
    </row>
    <row r="19" spans="1:5">
      <c r="C19" s="1580"/>
      <c r="D19" s="1580"/>
      <c r="E19" s="1580"/>
    </row>
    <row r="20" spans="1:5">
      <c r="A20" s="1192" t="s">
        <v>467</v>
      </c>
      <c r="C20" s="1579">
        <f>'1st Interim-Assumptions'!G36</f>
        <v>0</v>
      </c>
      <c r="D20" s="1579">
        <f>'1st Interim-Assumptions'!H36</f>
        <v>0</v>
      </c>
      <c r="E20" s="1579">
        <f>'1st Interim-Assumptions'!J36</f>
        <v>0</v>
      </c>
    </row>
    <row r="21" spans="1:5">
      <c r="A21" s="1192" t="s">
        <v>466</v>
      </c>
      <c r="C21" s="1579">
        <f>'1st Interim-Assumptions'!G38</f>
        <v>0</v>
      </c>
      <c r="D21" s="1579">
        <f>'1st Interim-Assumptions'!H38</f>
        <v>0</v>
      </c>
      <c r="E21" s="1579">
        <f>'1st Interim-Assumptions'!J38</f>
        <v>0</v>
      </c>
    </row>
    <row r="22" spans="1:5">
      <c r="A22" s="1192" t="s">
        <v>468</v>
      </c>
      <c r="C22" s="1579">
        <f>'1st Interim-Assumptions'!G37</f>
        <v>0</v>
      </c>
      <c r="D22" s="1579">
        <f>'1st Interim-Assumptions'!H37</f>
        <v>0</v>
      </c>
      <c r="E22" s="1579">
        <f>'1st Interim-Assumptions'!J37</f>
        <v>0</v>
      </c>
    </row>
    <row r="23" spans="1:5">
      <c r="A23" s="1583" t="s">
        <v>496</v>
      </c>
      <c r="C23" s="1579">
        <f>'1st Interim-Assumptions'!G40</f>
        <v>0</v>
      </c>
      <c r="D23" s="1579">
        <f>'1st Interim-Assumptions'!H40</f>
        <v>0</v>
      </c>
      <c r="E23" s="1579">
        <f>'1st Interim-Assumptions'!J40</f>
        <v>0</v>
      </c>
    </row>
    <row r="24" spans="1:5">
      <c r="A24" s="1583"/>
      <c r="C24" s="1579"/>
      <c r="D24" s="1579"/>
      <c r="E24" s="1579"/>
    </row>
    <row r="25" spans="1:5">
      <c r="A25" s="1192" t="s">
        <v>469</v>
      </c>
      <c r="C25" s="1579">
        <f>'1st Interim-Assumptions'!G53</f>
        <v>0</v>
      </c>
      <c r="D25" s="1579">
        <f>'1st Interim-Assumptions'!H53</f>
        <v>0</v>
      </c>
      <c r="E25" s="1579">
        <f>'1st Interim-Assumptions'!J53</f>
        <v>0</v>
      </c>
    </row>
    <row r="26" spans="1:5">
      <c r="A26" s="1192" t="s">
        <v>470</v>
      </c>
      <c r="C26" s="1579">
        <f>'1st Interim-Assumptions'!G54</f>
        <v>0</v>
      </c>
      <c r="D26" s="1579">
        <f>'1st Interim-Assumptions'!H54</f>
        <v>0</v>
      </c>
      <c r="E26" s="1579">
        <f>'1st Interim-Assumptions'!J54</f>
        <v>0</v>
      </c>
    </row>
    <row r="27" spans="1:5">
      <c r="A27" s="1583" t="s">
        <v>497</v>
      </c>
      <c r="C27" s="1579">
        <f>'1st Interim-Assumptions'!G56</f>
        <v>0</v>
      </c>
      <c r="D27" s="1579">
        <f>'1st Interim-Assumptions'!H56</f>
        <v>0</v>
      </c>
      <c r="E27" s="1579">
        <f>'1st Interim-Assumptions'!J56</f>
        <v>0</v>
      </c>
    </row>
    <row r="28" spans="1:5">
      <c r="C28" s="1579"/>
      <c r="D28" s="1579"/>
      <c r="E28" s="1579"/>
    </row>
    <row r="29" spans="1:5">
      <c r="A29" s="1583" t="s">
        <v>449</v>
      </c>
      <c r="C29" s="1579">
        <f>'1st Interim-Assumptions'!G41</f>
        <v>0</v>
      </c>
      <c r="D29" s="1579">
        <f>'1st Interim-Assumptions'!H41</f>
        <v>0</v>
      </c>
      <c r="E29" s="1579">
        <f>'1st Interim-Assumptions'!J41</f>
        <v>0</v>
      </c>
    </row>
    <row r="30" spans="1:5">
      <c r="A30" s="1192" t="s">
        <v>450</v>
      </c>
      <c r="C30" s="1579">
        <f>'1st Interim-Assumptions'!G57</f>
        <v>0</v>
      </c>
      <c r="D30" s="1579">
        <f>'1st Interim-Assumptions'!H57</f>
        <v>0</v>
      </c>
      <c r="E30" s="1579">
        <f>'1st Interim-Assumptions'!J57</f>
        <v>0</v>
      </c>
    </row>
    <row r="31" spans="1:5">
      <c r="C31" s="1579"/>
      <c r="D31" s="1579"/>
      <c r="E31" s="1579"/>
    </row>
    <row r="32" spans="1:5">
      <c r="A32" s="1192" t="s">
        <v>439</v>
      </c>
      <c r="C32" s="1590">
        <f>'1st Interim-Assumptions'!G43</f>
        <v>0</v>
      </c>
      <c r="D32" s="1590">
        <f>'1st Interim-Assumptions'!H43</f>
        <v>0</v>
      </c>
      <c r="E32" s="1590">
        <f>'1st Interim-Assumptions'!J43</f>
        <v>0</v>
      </c>
    </row>
    <row r="33" spans="1:5">
      <c r="A33" s="1192" t="s">
        <v>440</v>
      </c>
      <c r="C33" s="1590">
        <f>'1st Interim-Assumptions'!G59</f>
        <v>0</v>
      </c>
      <c r="D33" s="1590">
        <f>'1st Interim-Assumptions'!H59</f>
        <v>0</v>
      </c>
      <c r="E33" s="1590">
        <f>'1st Interim-Assumptions'!J59</f>
        <v>0</v>
      </c>
    </row>
    <row r="34" spans="1:5">
      <c r="A34" s="1192" t="s">
        <v>499</v>
      </c>
      <c r="B34" s="1581"/>
      <c r="C34" s="1574">
        <f>'1st Interim-Assumptions'!G42</f>
        <v>0</v>
      </c>
      <c r="D34" s="1574">
        <f>'1st Interim-Assumptions'!H42</f>
        <v>0</v>
      </c>
      <c r="E34" s="1574">
        <f>'1st Interim-Assumptions'!J42</f>
        <v>0</v>
      </c>
    </row>
    <row r="35" spans="1:5">
      <c r="A35" s="1192" t="s">
        <v>498</v>
      </c>
      <c r="B35" s="1581"/>
      <c r="C35" s="1574">
        <f>'1st Interim-Assumptions'!G57</f>
        <v>0</v>
      </c>
      <c r="D35" s="1574">
        <f>'1st Interim-Assumptions'!H57</f>
        <v>0</v>
      </c>
      <c r="E35" s="1574">
        <f>'1st Interim-Assumptions'!J57</f>
        <v>0</v>
      </c>
    </row>
    <row r="36" spans="1:5">
      <c r="C36" s="1581"/>
      <c r="D36" s="1581"/>
      <c r="E36" s="1581"/>
    </row>
    <row r="37" spans="1:5">
      <c r="A37" s="1584" t="s">
        <v>445</v>
      </c>
      <c r="C37" s="1591">
        <f>'1st Interim-Assumptions'!G67</f>
        <v>0</v>
      </c>
      <c r="D37" s="1591">
        <f>'1st Interim-Assumptions'!H67</f>
        <v>0</v>
      </c>
      <c r="E37" s="1591">
        <f>'1st Interim-Assumptions'!J67</f>
        <v>0</v>
      </c>
    </row>
    <row r="38" spans="1:5">
      <c r="A38" s="1192" t="s">
        <v>446</v>
      </c>
      <c r="C38" s="1592">
        <f>'1st Interim-Assumptions'!G68</f>
        <v>0</v>
      </c>
      <c r="D38" s="1592">
        <f>'1st Interim-Assumptions'!H68</f>
        <v>0</v>
      </c>
      <c r="E38" s="1592">
        <f>'1st Interim-Assumptions'!J68</f>
        <v>0</v>
      </c>
    </row>
    <row r="39" spans="1:5">
      <c r="A39" s="1192" t="s">
        <v>447</v>
      </c>
      <c r="C39" s="1593">
        <f>'1st Interim-Assumptions'!G69</f>
        <v>0</v>
      </c>
      <c r="D39" s="1593">
        <f>'1st Interim-Assumptions'!H69</f>
        <v>0</v>
      </c>
      <c r="E39" s="1593">
        <f>'1st Interim-Assumptions'!J69</f>
        <v>0</v>
      </c>
    </row>
    <row r="40" spans="1:5">
      <c r="A40" s="1192" t="s">
        <v>448</v>
      </c>
      <c r="C40" s="1593">
        <f>'1st Interim-Assumptions'!G70</f>
        <v>0</v>
      </c>
      <c r="D40" s="1593">
        <f>'1st Interim-Assumptions'!H70</f>
        <v>0</v>
      </c>
      <c r="E40" s="1593">
        <f>'1st Interim-Assumptions'!J70</f>
        <v>0</v>
      </c>
    </row>
    <row r="41" spans="1:5">
      <c r="C41" s="1581"/>
      <c r="D41" s="1581"/>
      <c r="E41" s="1581"/>
    </row>
    <row r="42" spans="1:5">
      <c r="A42" s="1192" t="s">
        <v>392</v>
      </c>
      <c r="B42" s="1574"/>
      <c r="C42" s="1574"/>
      <c r="D42" s="1574"/>
      <c r="E42" s="1574"/>
    </row>
    <row r="43" spans="1:5">
      <c r="A43" s="1192" t="s">
        <v>388</v>
      </c>
      <c r="B43" s="1574">
        <f>'Budget-Unrestricted MYP'!E50</f>
        <v>3049473</v>
      </c>
      <c r="C43" s="1574">
        <f>'1st Interim-Unrestricted MYP'!G50</f>
        <v>2481096.0499999998</v>
      </c>
      <c r="D43" s="1574">
        <f>'1st Interim-Unrestricted MYP'!I50</f>
        <v>0</v>
      </c>
      <c r="E43" s="1574">
        <f>'1st Interim-Unrestricted MYP'!K50</f>
        <v>0</v>
      </c>
    </row>
    <row r="44" spans="1:5">
      <c r="A44" s="1192" t="s">
        <v>402</v>
      </c>
      <c r="B44" s="1574">
        <f>'Budget-Unrestricted MYP'!E51</f>
        <v>0</v>
      </c>
      <c r="C44" s="1574">
        <f>'1st Interim-Unrestricted MYP'!G51</f>
        <v>0</v>
      </c>
      <c r="D44" s="1574">
        <f>'1st Interim-Unrestricted MYP'!I51</f>
        <v>0</v>
      </c>
      <c r="E44" s="1574">
        <f>'1st Interim-Unrestricted MYP'!K51</f>
        <v>0</v>
      </c>
    </row>
    <row r="45" spans="1:5">
      <c r="A45" s="1192" t="s">
        <v>233</v>
      </c>
      <c r="B45" s="1574">
        <f>'Budget-Unrestricted MYP'!E52</f>
        <v>0</v>
      </c>
      <c r="C45" s="1588">
        <f>'1st Interim-Unrestricted MYP'!G52</f>
        <v>2481096.0499999998</v>
      </c>
      <c r="D45" s="1574">
        <f>'1st Interim-Unrestricted MYP'!I52</f>
        <v>0</v>
      </c>
      <c r="E45" s="1574">
        <f>'1st Interim-Unrestricted MYP'!K52</f>
        <v>0</v>
      </c>
    </row>
    <row r="46" spans="1:5">
      <c r="A46" s="1192" t="s">
        <v>389</v>
      </c>
      <c r="B46" s="1574">
        <f>'Budget-Unrestricted MYP'!E53</f>
        <v>0</v>
      </c>
      <c r="C46" s="1588">
        <f>'1st Interim-Unrestricted MYP'!G53</f>
        <v>0</v>
      </c>
      <c r="D46" s="1574">
        <f>'1st Interim-Unrestricted MYP'!I53</f>
        <v>0</v>
      </c>
      <c r="E46" s="1574">
        <f>'1st Interim-Unrestricted MYP'!K53</f>
        <v>0</v>
      </c>
    </row>
    <row r="47" spans="1:5">
      <c r="A47" s="1192" t="s">
        <v>390</v>
      </c>
      <c r="B47" s="1574">
        <f>'Budget-Unrestricted MYP'!E54</f>
        <v>0</v>
      </c>
      <c r="C47" s="1574">
        <f>'1st Interim-Unrestricted MYP'!G54</f>
        <v>0</v>
      </c>
      <c r="D47" s="1574">
        <f>'1st Interim-Unrestricted MYP'!I54</f>
        <v>0</v>
      </c>
      <c r="E47" s="1574">
        <f>'1st Interim-Unrestricted MYP'!K54</f>
        <v>0</v>
      </c>
    </row>
    <row r="48" spans="1:5">
      <c r="A48" s="1192" t="s">
        <v>281</v>
      </c>
      <c r="B48" s="1574">
        <f>'Budget-Unrestricted MYP'!E55</f>
        <v>3049473</v>
      </c>
      <c r="C48" s="1588">
        <f>'1st Interim-Unrestricted MYP'!G55</f>
        <v>2481096.0499999998</v>
      </c>
      <c r="D48" s="1574" t="e">
        <f>'1st Interim-Unrestricted MYP'!I55</f>
        <v>#VALUE!</v>
      </c>
      <c r="E48" s="1574" t="e">
        <f>'1st Interim-Unrestricted MYP'!K55</f>
        <v>#VALUE!</v>
      </c>
    </row>
    <row r="49" spans="1:5">
      <c r="A49" s="1192" t="s">
        <v>391</v>
      </c>
      <c r="B49" s="1574">
        <f>'Budget-Unrestricted MYP'!E56</f>
        <v>2481096.0499999998</v>
      </c>
      <c r="C49" s="1588" t="e">
        <f>'1st Interim-Unrestricted MYP'!G56</f>
        <v>#VALUE!</v>
      </c>
      <c r="D49" s="1574" t="e">
        <f>'1st Interim-Unrestricted MYP'!I56</f>
        <v>#VALUE!</v>
      </c>
      <c r="E49" s="1574" t="e">
        <f>'1st Interim-Unrestricted MYP'!K56</f>
        <v>#VALUE!</v>
      </c>
    </row>
    <row r="50" spans="1:5">
      <c r="B50" s="1574"/>
      <c r="C50" s="1588"/>
      <c r="D50" s="1574"/>
      <c r="E50" s="1574"/>
    </row>
    <row r="51" spans="1:5">
      <c r="A51" s="1192" t="s">
        <v>394</v>
      </c>
      <c r="B51" s="1574">
        <f>'Budget-Unrestricted MYP'!E60</f>
        <v>0</v>
      </c>
      <c r="C51" s="1588">
        <f>'1st Interim-Unrestricted MYP'!G60</f>
        <v>0</v>
      </c>
      <c r="D51" s="1574">
        <f>'1st Interim-Unrestricted MYP'!I60</f>
        <v>0</v>
      </c>
      <c r="E51" s="1574">
        <f>'1st Interim-Unrestricted MYP'!K60</f>
        <v>0</v>
      </c>
    </row>
    <row r="52" spans="1:5">
      <c r="A52" s="1192" t="s">
        <v>403</v>
      </c>
      <c r="B52" s="1574">
        <f>'Budget-Unrestricted MYP'!E61</f>
        <v>0</v>
      </c>
      <c r="C52" s="1574">
        <f>'1st Interim-Unrestricted MYP'!G61</f>
        <v>0</v>
      </c>
      <c r="D52" s="1574">
        <f>'1st Interim-Unrestricted MYP'!I61</f>
        <v>0</v>
      </c>
      <c r="E52" s="1574">
        <f>'1st Interim-Unrestricted MYP'!K61</f>
        <v>0</v>
      </c>
    </row>
    <row r="53" spans="1:5">
      <c r="A53" s="1585" t="s">
        <v>395</v>
      </c>
      <c r="B53" s="1589">
        <f>'Budget-Unrestricted MYP'!E62</f>
        <v>0</v>
      </c>
      <c r="C53" s="1574">
        <f>'1st Interim-Unrestricted MYP'!G62</f>
        <v>0</v>
      </c>
      <c r="D53" s="1574">
        <f>'1st Interim-Unrestricted MYP'!I62</f>
        <v>0</v>
      </c>
      <c r="E53" s="1574">
        <f>'1st Interim-Unrestricted MYP'!K62</f>
        <v>0</v>
      </c>
    </row>
    <row r="54" spans="1:5">
      <c r="A54" s="1585" t="s">
        <v>396</v>
      </c>
      <c r="B54" s="1589">
        <f>'Budget-Unrestricted MYP'!E63</f>
        <v>0</v>
      </c>
      <c r="C54" s="1574">
        <f>'1st Interim-Unrestricted MYP'!G63</f>
        <v>0</v>
      </c>
      <c r="D54" s="1574">
        <f>'1st Interim-Unrestricted MYP'!I63</f>
        <v>0</v>
      </c>
      <c r="E54" s="1574">
        <f>'1st Interim-Unrestricted MYP'!K63</f>
        <v>0</v>
      </c>
    </row>
    <row r="55" spans="1:5">
      <c r="A55" s="1585" t="s">
        <v>397</v>
      </c>
      <c r="B55" s="1589">
        <f>'Budget-Unrestricted MYP'!E66</f>
        <v>0</v>
      </c>
      <c r="C55" s="1574">
        <f>'1st Interim-Unrestricted MYP'!G66</f>
        <v>0</v>
      </c>
      <c r="D55" s="1574">
        <f>'1st Interim-Unrestricted MYP'!I66</f>
        <v>0</v>
      </c>
      <c r="E55" s="1574">
        <f>'1st Interim-Unrestricted MYP'!K66</f>
        <v>0</v>
      </c>
    </row>
    <row r="56" spans="1:5">
      <c r="A56" s="1585" t="s">
        <v>398</v>
      </c>
      <c r="B56" s="1589">
        <f>'Budget-Unrestricted MYP'!E67</f>
        <v>0</v>
      </c>
      <c r="C56" s="1574">
        <f>'1st Interim-Unrestricted MYP'!G67</f>
        <v>0</v>
      </c>
      <c r="D56" s="1574">
        <f>'1st Interim-Unrestricted MYP'!I67</f>
        <v>0</v>
      </c>
      <c r="E56" s="1574">
        <f>'1st Interim-Unrestricted MYP'!K67</f>
        <v>0</v>
      </c>
    </row>
    <row r="57" spans="1:5">
      <c r="A57" s="1585" t="s">
        <v>399</v>
      </c>
      <c r="B57" s="1589">
        <f>'Budget-Unrestricted MYP'!E67</f>
        <v>0</v>
      </c>
      <c r="C57" s="1574">
        <f>'1st Interim-Unrestricted MYP'!G67</f>
        <v>0</v>
      </c>
      <c r="D57" s="1574">
        <f>'1st Interim-Unrestricted MYP'!I67</f>
        <v>0</v>
      </c>
      <c r="E57" s="1574">
        <f>'1st Interim-Unrestricted MYP'!K67</f>
        <v>0</v>
      </c>
    </row>
    <row r="58" spans="1:5">
      <c r="A58" s="1585" t="s">
        <v>400</v>
      </c>
      <c r="B58" s="1589">
        <f>'Budget-Unrestricted MYP'!E70</f>
        <v>521502</v>
      </c>
      <c r="C58" s="1574">
        <f>'1st Interim-Unrestricted MYP'!G70</f>
        <v>0</v>
      </c>
      <c r="D58" s="1574">
        <f>'1st Interim-Unrestricted MYP'!I70</f>
        <v>0</v>
      </c>
      <c r="E58" s="1574">
        <f>'1st Interim-Unrestricted MYP'!K70</f>
        <v>0</v>
      </c>
    </row>
    <row r="59" spans="1:5">
      <c r="A59" s="1585" t="s">
        <v>401</v>
      </c>
      <c r="B59" s="1589">
        <f>'Budget-Unrestricted MYP'!E71</f>
        <v>1959594.0499999998</v>
      </c>
      <c r="C59" s="1574" t="e">
        <f>'1st Interim-Unrestricted MYP'!G71</f>
        <v>#VALUE!</v>
      </c>
      <c r="D59" s="1574" t="e">
        <f>'1st Interim-Unrestricted MYP'!I71</f>
        <v>#VALUE!</v>
      </c>
      <c r="E59" s="1574" t="e">
        <f>'1st Interim-Unrestricted MYP'!K71</f>
        <v>#VALUE!</v>
      </c>
    </row>
    <row r="60" spans="1:5">
      <c r="A60" s="1585"/>
      <c r="B60" s="1589"/>
      <c r="C60" s="1574"/>
      <c r="D60" s="1574"/>
      <c r="E60" s="1574"/>
    </row>
    <row r="61" spans="1:5">
      <c r="A61" s="1585" t="s">
        <v>393</v>
      </c>
      <c r="B61" s="1589"/>
      <c r="C61" s="1574"/>
      <c r="D61" s="1574"/>
      <c r="E61" s="1574"/>
    </row>
    <row r="62" spans="1:5">
      <c r="A62" s="1192" t="s">
        <v>388</v>
      </c>
      <c r="B62" s="1574">
        <f>'Budget-Restricted MYP'!E50</f>
        <v>1489457</v>
      </c>
      <c r="C62" s="1574">
        <f>'1st Interim-Restricted MYP'!G50</f>
        <v>2078650</v>
      </c>
      <c r="D62" s="1574">
        <f>'1st Interim-Restricted MYP'!I50</f>
        <v>0</v>
      </c>
      <c r="E62" s="1574">
        <f>'1st Interim-Restricted MYP'!K50</f>
        <v>0</v>
      </c>
    </row>
    <row r="63" spans="1:5">
      <c r="A63" s="1192" t="s">
        <v>402</v>
      </c>
      <c r="B63" s="1574">
        <f>'Budget-Restricted MYP'!E51</f>
        <v>0</v>
      </c>
      <c r="C63" s="1574">
        <f>'1st Interim-Restricted MYP'!G51</f>
        <v>0</v>
      </c>
      <c r="D63" s="1574">
        <f>'1st Interim-Restricted MYP'!I51</f>
        <v>0</v>
      </c>
      <c r="E63" s="1574">
        <f>'1st Interim-Restricted MYP'!K51</f>
        <v>0</v>
      </c>
    </row>
    <row r="64" spans="1:5">
      <c r="A64" s="1192" t="s">
        <v>233</v>
      </c>
      <c r="B64" s="1574">
        <f>B62+B63</f>
        <v>1489457</v>
      </c>
      <c r="C64" s="1574">
        <f>C62+C63</f>
        <v>2078650</v>
      </c>
      <c r="D64" s="1574">
        <f>D62+D63</f>
        <v>0</v>
      </c>
      <c r="E64" s="1574">
        <f>E62+E63</f>
        <v>0</v>
      </c>
    </row>
    <row r="65" spans="1:5">
      <c r="A65" s="1192" t="s">
        <v>389</v>
      </c>
      <c r="B65" s="1574">
        <f>'Budget-Restricted MYP'!E53</f>
        <v>0</v>
      </c>
      <c r="C65" s="1574">
        <f>'1st Interim-Restricted MYP'!G53</f>
        <v>0</v>
      </c>
      <c r="D65" s="1574">
        <f>'1st Interim-Restricted MYP'!I53</f>
        <v>0</v>
      </c>
      <c r="E65" s="1574">
        <f>'1st Interim-Restricted MYP'!K53</f>
        <v>0</v>
      </c>
    </row>
    <row r="66" spans="1:5">
      <c r="A66" s="1192" t="s">
        <v>390</v>
      </c>
      <c r="B66" s="1574">
        <f>'Budget-Restricted MYP'!E54</f>
        <v>0</v>
      </c>
      <c r="C66" s="1574">
        <f>'1st Interim-Restricted MYP'!G54</f>
        <v>0</v>
      </c>
      <c r="D66" s="1574">
        <f>'1st Interim-Restricted MYP'!I54</f>
        <v>0</v>
      </c>
      <c r="E66" s="1574">
        <f>'1st Interim-Restricted MYP'!K54</f>
        <v>0</v>
      </c>
    </row>
    <row r="67" spans="1:5">
      <c r="A67" s="1192" t="s">
        <v>281</v>
      </c>
      <c r="B67" s="1574">
        <f>'Budget-Restricted MYP'!E55</f>
        <v>1489457</v>
      </c>
      <c r="C67" s="1574">
        <f>'1st Interim-Restricted MYP'!G55</f>
        <v>2078650</v>
      </c>
      <c r="D67" s="1574" t="e">
        <f>'1st Interim-Restricted MYP'!I55</f>
        <v>#VALUE!</v>
      </c>
      <c r="E67" s="1574" t="e">
        <f>'1st Interim-Restricted MYP'!K55</f>
        <v>#VALUE!</v>
      </c>
    </row>
    <row r="68" spans="1:5">
      <c r="A68" s="1192" t="s">
        <v>391</v>
      </c>
      <c r="B68" s="1574">
        <f>'Budget-Restricted MYP'!E56</f>
        <v>2078650</v>
      </c>
      <c r="C68" s="1574" t="e">
        <f>'1st Interim-Restricted MYP'!G56</f>
        <v>#VALUE!</v>
      </c>
      <c r="D68" s="1574" t="e">
        <f>'1st Interim-Restricted MYP'!I56</f>
        <v>#VALUE!</v>
      </c>
      <c r="E68" s="1574" t="e">
        <f>'1st Interim-Restricted MYP'!K56</f>
        <v>#VALUE!</v>
      </c>
    </row>
    <row r="69" spans="1:5">
      <c r="B69" s="1574"/>
      <c r="C69" s="1574"/>
      <c r="D69" s="1574"/>
      <c r="E69" s="1574"/>
    </row>
    <row r="70" spans="1:5">
      <c r="A70" s="1192" t="s">
        <v>385</v>
      </c>
      <c r="B70" s="1574">
        <f>'Budget-Unrestricted MYP'!E13</f>
        <v>4337624</v>
      </c>
      <c r="C70" s="1574">
        <f>'1st Interim-Unrestricted MYP'!G13</f>
        <v>0</v>
      </c>
      <c r="D70" s="1574">
        <f>'1st Interim-Unrestricted MYP'!I13</f>
        <v>0</v>
      </c>
      <c r="E70" s="1574">
        <f>'1st Interim-Unrestricted MYP'!K13</f>
        <v>0</v>
      </c>
    </row>
    <row r="71" spans="1:5">
      <c r="A71" s="1192" t="s">
        <v>404</v>
      </c>
      <c r="B71" s="1574">
        <f>'Budget-Unrestricted MYP'!E14</f>
        <v>1910851</v>
      </c>
      <c r="C71" s="1574">
        <f>'1st Interim-Unrestricted MYP'!G15</f>
        <v>0</v>
      </c>
      <c r="D71" s="1574">
        <f>'1st Interim-Unrestricted MYP'!I14</f>
        <v>0</v>
      </c>
      <c r="E71" s="1574">
        <f>'1st Interim-Unrestricted MYP'!K14</f>
        <v>0</v>
      </c>
    </row>
    <row r="72" spans="1:5">
      <c r="A72" s="1192" t="s">
        <v>387</v>
      </c>
      <c r="B72" s="1574">
        <f>'Budget-Unrestricted MYP'!E15</f>
        <v>4192</v>
      </c>
      <c r="C72" s="1574">
        <f>'1st Interim-Unrestricted MYP'!G15</f>
        <v>0</v>
      </c>
      <c r="D72" s="1574">
        <f>'1st Interim-Unrestricted MYP'!I15</f>
        <v>0</v>
      </c>
      <c r="E72" s="1574">
        <f>'1st Interim-Unrestricted MYP'!K15</f>
        <v>0</v>
      </c>
    </row>
    <row r="73" spans="1:5">
      <c r="A73" s="1192" t="s">
        <v>386</v>
      </c>
      <c r="B73" s="1574">
        <f>'Budget-Unrestricted MYP'!E16</f>
        <v>219605</v>
      </c>
      <c r="C73" s="1574">
        <f>'1st Interim-Unrestricted MYP'!G16</f>
        <v>0</v>
      </c>
      <c r="D73" s="1574">
        <f>'1st Interim-Unrestricted MYP'!I16</f>
        <v>0</v>
      </c>
      <c r="E73" s="1574">
        <f>'1st Interim-Unrestricted MYP'!K16</f>
        <v>0</v>
      </c>
    </row>
    <row r="74" spans="1:5">
      <c r="B74" s="1578"/>
      <c r="C74" s="1578"/>
      <c r="D74" s="1578"/>
      <c r="E74" s="1578"/>
    </row>
    <row r="75" spans="1:5">
      <c r="A75" s="1192" t="s">
        <v>459</v>
      </c>
      <c r="B75" s="1587">
        <f>'Budget-Summary MYP'!E74</f>
        <v>0.04</v>
      </c>
      <c r="C75" s="1587" t="e">
        <f>'1st Interim-Summary MYP'!G74</f>
        <v>#VALUE!</v>
      </c>
      <c r="D75" s="1587" t="e">
        <f>'1st Interim-Summary MYP'!I74</f>
        <v>#VALUE!</v>
      </c>
      <c r="E75" s="1587" t="e">
        <f>'1st Interim-Summary MYP'!K74</f>
        <v>#VALUE!</v>
      </c>
    </row>
    <row r="76" spans="1:5">
      <c r="A76" s="1192" t="s">
        <v>475</v>
      </c>
      <c r="B76" s="1587" t="str">
        <f>IF('Budget-Summary MYP'!E75="","",'Budget-Summary MYP'!E75)</f>
        <v/>
      </c>
      <c r="C76" s="1587" t="str">
        <f>IF('1st Interim-Summary MYP'!G75="","",'1st Interim-Summary MYP'!G75)</f>
        <v/>
      </c>
      <c r="D76" s="1587" t="str">
        <f>IF('1st Interim-Summary MYP'!I75="","",'1st Interim-Summary MYP'!I75)</f>
        <v/>
      </c>
      <c r="E76" s="1587" t="str">
        <f>IF('1st Interim-Summary MYP'!K75="","",'1st Interim-Summary MYP'!K75)</f>
        <v/>
      </c>
    </row>
    <row r="77" spans="1:5">
      <c r="A77" s="1192" t="s">
        <v>418</v>
      </c>
      <c r="B77" s="1582">
        <f>'Budget-Summary MYP'!E72</f>
        <v>0.24135072281791789</v>
      </c>
      <c r="C77" s="1582" t="e">
        <f>'1st Interim-Summary MYP'!G72</f>
        <v>#VALUE!</v>
      </c>
      <c r="D77" s="1582" t="e">
        <f>'1st Interim-Summary MYP'!I72</f>
        <v>#VALUE!</v>
      </c>
      <c r="E77" s="1582" t="e">
        <f>'1st Interim-Summary MYP'!K72</f>
        <v>#VALUE!</v>
      </c>
    </row>
    <row r="78" spans="1:5">
      <c r="A78" s="1192" t="s">
        <v>413</v>
      </c>
      <c r="B78" s="1582">
        <f>'Budget-Summary MYP'!E82</f>
        <v>0.08</v>
      </c>
      <c r="C78" s="1582" t="e">
        <f>'1st Interim-Summary MYP'!G82</f>
        <v>#VALUE!</v>
      </c>
      <c r="D78" s="1582" t="e">
        <f>'1st Interim-Summary MYP'!I82</f>
        <v>#VALUE!</v>
      </c>
      <c r="E78" s="1582" t="e">
        <f>'1st Interim-Summary MYP'!K82</f>
        <v>#VALUE!</v>
      </c>
    </row>
    <row r="79" spans="1:5">
      <c r="A79" s="1192" t="s">
        <v>419</v>
      </c>
      <c r="B79" s="1582">
        <f>'Budget-Summary MYP'!E81</f>
        <v>0.08</v>
      </c>
      <c r="C79" s="1582" t="e">
        <f>'1st Interim-Summary MYP'!G81</f>
        <v>#VALUE!</v>
      </c>
      <c r="D79" s="1582" t="e">
        <f>'1st Interim-Summary MYP'!I81</f>
        <v>#VALUE!</v>
      </c>
      <c r="E79" s="1582" t="e">
        <f>'1st Interim-Summary MYP'!K81</f>
        <v>#VALUE!</v>
      </c>
    </row>
    <row r="80" spans="1:5">
      <c r="B80" s="1582"/>
      <c r="C80" s="1582"/>
      <c r="D80" s="1582"/>
      <c r="E80" s="1582"/>
    </row>
    <row r="81" spans="1:5">
      <c r="A81" s="1192" t="s">
        <v>427</v>
      </c>
      <c r="B81" s="1586">
        <f>'Budget-Unrestricted MYP'!E26+'Budget-Unrestricted MYP'!E43</f>
        <v>6512441.0499999998</v>
      </c>
      <c r="C81" s="1586" t="e">
        <f>'1st Interim-Unrestricted MYP'!G26+'1st Interim-Unrestricted MYP'!G43</f>
        <v>#VALUE!</v>
      </c>
      <c r="D81" s="1586" t="e">
        <f>'1st Interim-Unrestricted MYP'!I26+'1st Interim-Unrestricted MYP'!I43</f>
        <v>#VALUE!</v>
      </c>
      <c r="E81" s="1586" t="e">
        <f>'1st Interim-Unrestricted MYP'!K26+'1st Interim-Unrestricted MYP'!K43</f>
        <v>#VALUE!</v>
      </c>
    </row>
    <row r="82" spans="1:5">
      <c r="A82" s="1192" t="s">
        <v>428</v>
      </c>
      <c r="B82" s="1574">
        <f>'Budget-Unrestricted MYP'!E38+'Budget-Unrestricted MYP'!E44</f>
        <v>7080818</v>
      </c>
      <c r="C82" s="1574">
        <f>'1st Interim-Unrestricted MYP'!G38+'1st Interim-Unrestricted MYP'!G44</f>
        <v>0</v>
      </c>
      <c r="D82" s="1574">
        <f>'1st Interim-Unrestricted MYP'!I38+'1st Interim-Unrestricted MYP'!I44</f>
        <v>0</v>
      </c>
      <c r="E82" s="1574">
        <f>'1st Interim-Unrestricted MYP'!K38+'1st Interim-Unrestricted MYP'!K44</f>
        <v>0</v>
      </c>
    </row>
    <row r="83" spans="1:5">
      <c r="B83" s="1574"/>
      <c r="C83" s="1574"/>
      <c r="D83" s="1574"/>
      <c r="E83" s="1574"/>
    </row>
    <row r="84" spans="1:5">
      <c r="A84" s="1192" t="s">
        <v>429</v>
      </c>
      <c r="B84" s="1574">
        <f>'Budget-Restricted MYP'!E26+'Budget-Restricted MYP'!E43</f>
        <v>3788419.3783</v>
      </c>
      <c r="C84" s="1574" t="e">
        <f>'1st Interim-Restricted MYP'!G26+'1st Interim-Restricted MYP'!G43</f>
        <v>#VALUE!</v>
      </c>
      <c r="D84" s="1574" t="e">
        <f>'1st Interim-Restricted MYP'!I26+'1st Interim-Restricted MYP'!I43</f>
        <v>#VALUE!</v>
      </c>
      <c r="E84" s="1574" t="e">
        <f>'1st Interim-Restricted MYP'!K26+'1st Interim-Restricted MYP'!K43</f>
        <v>#VALUE!</v>
      </c>
    </row>
    <row r="85" spans="1:5">
      <c r="A85" s="1192" t="s">
        <v>430</v>
      </c>
      <c r="B85" s="1574">
        <f>'Budget-Restricted MYP'!E38+'Budget-Restricted MYP'!E44</f>
        <v>3199226</v>
      </c>
      <c r="C85" s="1574">
        <f>'1st Interim-Restricted MYP'!G38+'1st Interim-Restricted MYP'!G44</f>
        <v>0</v>
      </c>
      <c r="D85" s="1574">
        <f>'1st Interim-Restricted MYP'!I38+'1st Interim-Restricted MYP'!I44</f>
        <v>0</v>
      </c>
      <c r="E85" s="1574">
        <f>'1st Interim-Restricted MYP'!K38+'1st Interim-Restricted MYP'!K44</f>
        <v>0</v>
      </c>
    </row>
    <row r="86" spans="1:5">
      <c r="B86" s="1579"/>
      <c r="C86" s="1579"/>
      <c r="D86" s="1579"/>
      <c r="E86" s="1579"/>
    </row>
    <row r="87" spans="1:5">
      <c r="A87" s="1192" t="s">
        <v>431</v>
      </c>
      <c r="B87" s="1579"/>
      <c r="C87" s="1595">
        <f>'1st Interim-Restricted MYP'!G150</f>
        <v>0</v>
      </c>
      <c r="D87" s="1595">
        <f>'1st Interim-Restricted MYP'!I150</f>
        <v>0</v>
      </c>
      <c r="E87" s="1595">
        <f>'1st Interim-Restricted MYP'!K150</f>
        <v>0</v>
      </c>
    </row>
    <row r="88" spans="1:5">
      <c r="A88" s="1192" t="s">
        <v>437</v>
      </c>
      <c r="C88" s="1192" t="str">
        <f>T('1st Interim-Restricted MYP'!E151:L151)</f>
        <v/>
      </c>
    </row>
    <row r="89" spans="1:5">
      <c r="A89" s="1192" t="s">
        <v>433</v>
      </c>
      <c r="B89" s="1581"/>
      <c r="C89" s="1574">
        <f>'1st Interim-Restricted MYP'!G152</f>
        <v>0</v>
      </c>
      <c r="D89" s="1574">
        <f>'1st Interim-Restricted MYP'!I152</f>
        <v>0</v>
      </c>
      <c r="E89" s="1574">
        <f>'1st Interim-Restricted MYP'!K152</f>
        <v>0</v>
      </c>
    </row>
    <row r="90" spans="1:5">
      <c r="A90" s="1192" t="s">
        <v>434</v>
      </c>
      <c r="C90" s="1574">
        <f>'1st Interim-Restricted MYP'!G153</f>
        <v>0</v>
      </c>
      <c r="D90" s="1574">
        <f>'1st Interim-Restricted MYP'!I153</f>
        <v>0</v>
      </c>
      <c r="E90" s="1574">
        <f>'1st Interim-Restricted MYP'!K153</f>
        <v>0</v>
      </c>
    </row>
    <row r="91" spans="1:5">
      <c r="A91" s="1192" t="s">
        <v>432</v>
      </c>
      <c r="B91" s="1579"/>
      <c r="C91" s="1579">
        <f>'1st Interim-Restricted MYP'!G154</f>
        <v>0</v>
      </c>
      <c r="D91" s="1579">
        <f>'1st Interim-Restricted MYP'!I154</f>
        <v>0</v>
      </c>
      <c r="E91" s="1579">
        <f>'1st Interim-Restricted MYP'!K154</f>
        <v>0</v>
      </c>
    </row>
    <row r="92" spans="1:5">
      <c r="A92" s="1192" t="s">
        <v>435</v>
      </c>
      <c r="B92" s="1579"/>
      <c r="C92" s="1579">
        <f>'1st Interim-Restricted MYP'!G155</f>
        <v>0</v>
      </c>
      <c r="D92" s="1579">
        <f>'1st Interim-Restricted MYP'!I155</f>
        <v>0</v>
      </c>
      <c r="E92" s="1579">
        <f>'1st Interim-Restricted MYP'!K155</f>
        <v>0</v>
      </c>
    </row>
    <row r="93" spans="1:5">
      <c r="A93" s="1192" t="s">
        <v>436</v>
      </c>
      <c r="B93" s="1579"/>
      <c r="C93" s="1579">
        <f>'1st Interim-Restricted MYP'!G156</f>
        <v>0</v>
      </c>
      <c r="D93" s="1579">
        <f>'1st Interim-Restricted MYP'!I156</f>
        <v>0</v>
      </c>
      <c r="E93" s="1579">
        <f>'1st Interim-Restricted MYP'!K156</f>
        <v>0</v>
      </c>
    </row>
    <row r="94" spans="1:5">
      <c r="B94" s="1579"/>
      <c r="C94" s="1579"/>
      <c r="D94" s="1579"/>
      <c r="E94" s="1579"/>
    </row>
    <row r="95" spans="1:5">
      <c r="A95" s="1192" t="s">
        <v>441</v>
      </c>
      <c r="B95" s="1579"/>
      <c r="C95" s="1579"/>
      <c r="D95" s="1579"/>
      <c r="E95" s="1579"/>
    </row>
    <row r="96" spans="1:5">
      <c r="A96" s="1192" t="s">
        <v>4</v>
      </c>
      <c r="B96" s="1574">
        <f>'Budget-Unrestricted MYP'!E29</f>
        <v>1035762</v>
      </c>
      <c r="C96" s="1574">
        <f>'1st Interim-Unrestricted MYP'!G29</f>
        <v>0</v>
      </c>
      <c r="D96" s="1574">
        <f>'1st Interim-Unrestricted MYP'!I29</f>
        <v>0</v>
      </c>
      <c r="E96" s="1574">
        <f>'1st Interim-Unrestricted MYP'!K29</f>
        <v>0</v>
      </c>
    </row>
    <row r="97" spans="1:5">
      <c r="A97" s="1192" t="s">
        <v>23</v>
      </c>
      <c r="B97" s="1574">
        <f>'Budget-Unrestricted MYP'!E30</f>
        <v>1228331</v>
      </c>
      <c r="C97" s="1574">
        <f>'1st Interim-Unrestricted MYP'!G30</f>
        <v>0</v>
      </c>
      <c r="D97" s="1574">
        <f>'1st Interim-Unrestricted MYP'!I30</f>
        <v>0</v>
      </c>
      <c r="E97" s="1574">
        <f>'1st Interim-Unrestricted MYP'!K30</f>
        <v>0</v>
      </c>
    </row>
    <row r="98" spans="1:5">
      <c r="A98" s="1192" t="s">
        <v>24</v>
      </c>
      <c r="B98" s="1574">
        <f>'Budget-Unrestricted MYP'!E31</f>
        <v>1451838</v>
      </c>
      <c r="C98" s="1574">
        <f>'1st Interim-Unrestricted MYP'!G31</f>
        <v>0</v>
      </c>
      <c r="D98" s="1574">
        <f>'1st Interim-Unrestricted MYP'!I31</f>
        <v>0</v>
      </c>
      <c r="E98" s="1574">
        <f>'1st Interim-Unrestricted MYP'!K31</f>
        <v>0</v>
      </c>
    </row>
    <row r="99" spans="1:5">
      <c r="A99" s="1192" t="s">
        <v>25</v>
      </c>
      <c r="B99" s="1574">
        <f>'Budget-Unrestricted MYP'!E32</f>
        <v>264439</v>
      </c>
      <c r="C99" s="1574">
        <f>'1st Interim-Unrestricted MYP'!G32</f>
        <v>0</v>
      </c>
      <c r="D99" s="1574">
        <f>'1st Interim-Unrestricted MYP'!I32</f>
        <v>0</v>
      </c>
      <c r="E99" s="1574">
        <f>'1st Interim-Unrestricted MYP'!K32</f>
        <v>0</v>
      </c>
    </row>
    <row r="100" spans="1:5">
      <c r="A100" s="1192" t="s">
        <v>26</v>
      </c>
      <c r="B100" s="1574">
        <f>'Budget-Unrestricted MYP'!E33</f>
        <v>3100448</v>
      </c>
      <c r="C100" s="1574">
        <f>'1st Interim-Unrestricted MYP'!G33</f>
        <v>0</v>
      </c>
      <c r="D100" s="1574">
        <f>'1st Interim-Unrestricted MYP'!I33</f>
        <v>0</v>
      </c>
      <c r="E100" s="1574">
        <f>'1st Interim-Unrestricted MYP'!K33</f>
        <v>0</v>
      </c>
    </row>
    <row r="101" spans="1:5">
      <c r="A101" s="1192" t="s">
        <v>5</v>
      </c>
      <c r="B101" s="1574">
        <f>'Budget-Unrestricted MYP'!E34</f>
        <v>0</v>
      </c>
      <c r="C101" s="1574">
        <f>'1st Interim-Unrestricted MYP'!G34</f>
        <v>0</v>
      </c>
      <c r="D101" s="1574">
        <f>'1st Interim-Unrestricted MYP'!I34</f>
        <v>0</v>
      </c>
      <c r="E101" s="1574">
        <f>'1st Interim-Unrestricted MYP'!K34</f>
        <v>0</v>
      </c>
    </row>
    <row r="102" spans="1:5">
      <c r="A102" s="1192" t="s">
        <v>507</v>
      </c>
      <c r="B102" s="1574">
        <f>'Budget-Unrestricted MYP'!E35</f>
        <v>0</v>
      </c>
      <c r="C102" s="1574">
        <f>'1st Interim-Unrestricted MYP'!G35</f>
        <v>0</v>
      </c>
      <c r="D102" s="1574">
        <f>'1st Interim-Unrestricted MYP'!I35</f>
        <v>0</v>
      </c>
      <c r="E102" s="1574">
        <f>'1st Interim-Unrestricted MYP'!K35</f>
        <v>0</v>
      </c>
    </row>
    <row r="103" spans="1:5">
      <c r="A103" s="1192" t="s">
        <v>27</v>
      </c>
      <c r="B103" s="1574">
        <f>'Budget-Unrestricted MYP'!E36</f>
        <v>0</v>
      </c>
      <c r="C103" s="1574">
        <f>'1st Interim-Unrestricted MYP'!G36</f>
        <v>0</v>
      </c>
      <c r="D103" s="1574">
        <f>'1st Interim-Unrestricted MYP'!I36</f>
        <v>0</v>
      </c>
      <c r="E103" s="1574">
        <f>'1st Interim-Unrestricted MYP'!K36</f>
        <v>0</v>
      </c>
    </row>
    <row r="104" spans="1:5">
      <c r="A104" s="1192" t="s">
        <v>146</v>
      </c>
      <c r="B104" s="1574">
        <f>'Budget-Unrestricted MYP'!E37</f>
        <v>0</v>
      </c>
      <c r="C104" s="1574">
        <f>'1st Interim-Unrestricted MYP'!G37</f>
        <v>0</v>
      </c>
      <c r="D104" s="1574">
        <f>'1st Interim-Unrestricted MYP'!I37</f>
        <v>0</v>
      </c>
      <c r="E104" s="1574">
        <f>'1st Interim-Unrestricted MYP'!K37</f>
        <v>0</v>
      </c>
    </row>
    <row r="105" spans="1:5">
      <c r="A105" s="1192" t="s">
        <v>442</v>
      </c>
      <c r="B105" s="1574">
        <f>'Budget-Unrestricted MYP'!E38</f>
        <v>7080818</v>
      </c>
      <c r="C105" s="1574">
        <f>'1st Interim-Unrestricted MYP'!G38</f>
        <v>0</v>
      </c>
      <c r="D105" s="1574">
        <f>'1st Interim-Unrestricted MYP'!I38</f>
        <v>0</v>
      </c>
      <c r="E105" s="1574">
        <f>'1st Interim-Unrestricted MYP'!K38</f>
        <v>0</v>
      </c>
    </row>
    <row r="106" spans="1:5">
      <c r="B106" s="1574"/>
      <c r="C106" s="1574"/>
      <c r="D106" s="1574"/>
      <c r="E106" s="1574"/>
    </row>
    <row r="107" spans="1:5">
      <c r="A107" s="1192" t="s">
        <v>443</v>
      </c>
      <c r="B107" s="1574"/>
      <c r="C107" s="1574"/>
      <c r="D107" s="1574"/>
      <c r="E107" s="1574"/>
    </row>
    <row r="108" spans="1:5">
      <c r="A108" s="1192" t="s">
        <v>4</v>
      </c>
      <c r="B108" s="1574">
        <f>'Budget-Restricted MYP'!E29</f>
        <v>1772225</v>
      </c>
      <c r="C108" s="1574">
        <f>'1st Interim-Restricted MYP'!G29</f>
        <v>0</v>
      </c>
      <c r="D108" s="1574">
        <f>'1st Interim-Restricted MYP'!I29</f>
        <v>0</v>
      </c>
      <c r="E108" s="1574">
        <f>'1st Interim-Restricted MYP'!K29</f>
        <v>0</v>
      </c>
    </row>
    <row r="109" spans="1:5">
      <c r="A109" s="1192" t="s">
        <v>23</v>
      </c>
      <c r="B109" s="1574">
        <f>'Budget-Restricted MYP'!E30</f>
        <v>198435</v>
      </c>
      <c r="C109" s="1574">
        <f>'1st Interim-Restricted MYP'!G30</f>
        <v>0</v>
      </c>
      <c r="D109" s="1574">
        <f>'1st Interim-Restricted MYP'!I30</f>
        <v>0</v>
      </c>
      <c r="E109" s="1574">
        <f>'1st Interim-Restricted MYP'!K30</f>
        <v>0</v>
      </c>
    </row>
    <row r="110" spans="1:5">
      <c r="A110" s="1192" t="s">
        <v>24</v>
      </c>
      <c r="B110" s="1574">
        <f>'Budget-Restricted MYP'!E31</f>
        <v>109209</v>
      </c>
      <c r="C110" s="1574">
        <f>'1st Interim-Restricted MYP'!G31</f>
        <v>0</v>
      </c>
      <c r="D110" s="1574">
        <f>'1st Interim-Restricted MYP'!I31</f>
        <v>0</v>
      </c>
      <c r="E110" s="1574">
        <f>'1st Interim-Restricted MYP'!K31</f>
        <v>0</v>
      </c>
    </row>
    <row r="111" spans="1:5">
      <c r="A111" s="1192" t="s">
        <v>25</v>
      </c>
      <c r="B111" s="1574">
        <f>'Budget-Restricted MYP'!E32</f>
        <v>357561</v>
      </c>
      <c r="C111" s="1574">
        <f>'1st Interim-Restricted MYP'!G32</f>
        <v>0</v>
      </c>
      <c r="D111" s="1574">
        <f>'1st Interim-Restricted MYP'!I32</f>
        <v>0</v>
      </c>
      <c r="E111" s="1574">
        <f>'1st Interim-Restricted MYP'!K32</f>
        <v>0</v>
      </c>
    </row>
    <row r="112" spans="1:5">
      <c r="A112" s="1192" t="s">
        <v>26</v>
      </c>
      <c r="B112" s="1574">
        <f>'Budget-Restricted MYP'!E33</f>
        <v>761796</v>
      </c>
      <c r="C112" s="1574">
        <f>'1st Interim-Restricted MYP'!G33</f>
        <v>0</v>
      </c>
      <c r="D112" s="1574">
        <f>'1st Interim-Restricted MYP'!I33</f>
        <v>0</v>
      </c>
      <c r="E112" s="1574">
        <f>'1st Interim-Restricted MYP'!K33</f>
        <v>0</v>
      </c>
    </row>
    <row r="113" spans="1:5">
      <c r="A113" s="1192" t="s">
        <v>508</v>
      </c>
      <c r="B113" s="1574">
        <f>'Budget-Restricted MYP'!E34</f>
        <v>0</v>
      </c>
      <c r="C113" s="1574">
        <f>'1st Interim-Restricted MYP'!G34</f>
        <v>0</v>
      </c>
      <c r="D113" s="1574">
        <f>'1st Interim-Restricted MYP'!I34</f>
        <v>0</v>
      </c>
      <c r="E113" s="1574">
        <f>'1st Interim-Restricted MYP'!K34</f>
        <v>0</v>
      </c>
    </row>
    <row r="114" spans="1:5">
      <c r="A114" s="1192" t="s">
        <v>507</v>
      </c>
      <c r="B114" s="1574">
        <f>'Budget-Restricted MYP'!E35</f>
        <v>0</v>
      </c>
      <c r="C114" s="1574">
        <f>'1st Interim-Restricted MYP'!G35</f>
        <v>0</v>
      </c>
      <c r="D114" s="1574">
        <f>'1st Interim-Restricted MYP'!I35</f>
        <v>0</v>
      </c>
      <c r="E114" s="1574">
        <f>'1st Interim-Restricted MYP'!K35</f>
        <v>0</v>
      </c>
    </row>
    <row r="115" spans="1:5">
      <c r="A115" s="1192" t="s">
        <v>27</v>
      </c>
      <c r="B115" s="1574">
        <f>'Budget-Restricted MYP'!E36</f>
        <v>0</v>
      </c>
      <c r="C115" s="1574">
        <f>'1st Interim-Restricted MYP'!G36</f>
        <v>0</v>
      </c>
      <c r="D115" s="1574">
        <f>'1st Interim-Restricted MYP'!I36</f>
        <v>0</v>
      </c>
      <c r="E115" s="1574">
        <f>'1st Interim-Restricted MYP'!K36</f>
        <v>0</v>
      </c>
    </row>
    <row r="116" spans="1:5">
      <c r="A116" s="1192" t="s">
        <v>146</v>
      </c>
      <c r="B116" s="1574">
        <f>'Budget-Restricted MYP'!E37</f>
        <v>0</v>
      </c>
      <c r="C116" s="1574">
        <f>'1st Interim-Restricted MYP'!G37</f>
        <v>0</v>
      </c>
      <c r="D116" s="1574">
        <f>'1st Interim-Restricted MYP'!I37</f>
        <v>0</v>
      </c>
      <c r="E116" s="1574">
        <f>'1st Interim-Restricted MYP'!K37</f>
        <v>0</v>
      </c>
    </row>
    <row r="117" spans="1:5">
      <c r="A117" s="1192" t="s">
        <v>442</v>
      </c>
      <c r="B117" s="1574">
        <f>'Budget-Restricted MYP'!E38</f>
        <v>3199226</v>
      </c>
      <c r="C117" s="1574">
        <f>'1st Interim-Restricted MYP'!G38</f>
        <v>0</v>
      </c>
      <c r="D117" s="1574">
        <f>'1st Interim-Restricted MYP'!I38</f>
        <v>0</v>
      </c>
      <c r="E117" s="1574">
        <f>'1st Interim-Restricted MYP'!K38</f>
        <v>0</v>
      </c>
    </row>
    <row r="118" spans="1:5">
      <c r="B118" s="1574"/>
      <c r="C118" s="1574"/>
      <c r="D118" s="1574"/>
      <c r="E118" s="1574"/>
    </row>
    <row r="119" spans="1:5">
      <c r="A119" s="1192" t="s">
        <v>336</v>
      </c>
      <c r="B119" s="1574"/>
      <c r="C119" s="1574">
        <f>'1st Interim-Assumptions'!G73</f>
        <v>0</v>
      </c>
      <c r="D119" s="1574">
        <f>'1st Interim-Assumptions'!H73</f>
        <v>0</v>
      </c>
      <c r="E119" s="1574">
        <f>'1st Interim-Assumptions'!J73</f>
        <v>0</v>
      </c>
    </row>
    <row r="120" spans="1:5">
      <c r="A120" s="1192" t="s">
        <v>337</v>
      </c>
      <c r="B120" s="1574"/>
      <c r="C120" s="1574">
        <f>'1st Interim-Assumptions'!G74</f>
        <v>0</v>
      </c>
      <c r="D120" s="1574">
        <f>'1st Interim-Assumptions'!H74</f>
        <v>0</v>
      </c>
      <c r="E120" s="1574">
        <f>'1st Interim-Assumptions'!J74</f>
        <v>0</v>
      </c>
    </row>
    <row r="121" spans="1:5">
      <c r="A121" s="1192" t="s">
        <v>338</v>
      </c>
      <c r="B121" s="1574"/>
      <c r="C121" s="1574">
        <f>'1st Interim-Assumptions'!G75</f>
        <v>0</v>
      </c>
      <c r="D121" s="1574">
        <f>'1st Interim-Assumptions'!H75</f>
        <v>0</v>
      </c>
      <c r="E121" s="1574">
        <f>'1st Interim-Assumptions'!J75</f>
        <v>0</v>
      </c>
    </row>
    <row r="122" spans="1:5">
      <c r="A122" s="1192" t="s">
        <v>158</v>
      </c>
      <c r="B122" s="1574"/>
      <c r="C122" s="1574">
        <f>'1st Interim-Assumptions'!G76</f>
        <v>0</v>
      </c>
      <c r="D122" s="1574">
        <f>'1st Interim-Assumptions'!H76</f>
        <v>0</v>
      </c>
      <c r="E122" s="1574">
        <f>'1st Interim-Assumptions'!J76</f>
        <v>0</v>
      </c>
    </row>
    <row r="123" spans="1:5">
      <c r="C123" s="1579"/>
      <c r="D123" s="1579"/>
      <c r="E123" s="1579"/>
    </row>
    <row r="124" spans="1:5">
      <c r="A124" s="1192" t="s">
        <v>41</v>
      </c>
      <c r="C124" s="1579">
        <f>'1st Interim-Assumptions'!G82</f>
        <v>0</v>
      </c>
      <c r="D124" s="1579">
        <f>'1st Interim-Assumptions'!H82</f>
        <v>0</v>
      </c>
      <c r="E124" s="1579">
        <f>'1st Interim-Assumptions'!J82</f>
        <v>0</v>
      </c>
    </row>
    <row r="125" spans="1:5">
      <c r="A125" s="1192" t="s">
        <v>232</v>
      </c>
      <c r="C125" s="1574">
        <f>'1st Interim-Assumptions'!G83</f>
        <v>0</v>
      </c>
      <c r="D125" s="1574">
        <f>'1st Interim-Assumptions'!H83</f>
        <v>0</v>
      </c>
      <c r="E125" s="1574">
        <f>'1st Interim-Assumptions'!J83</f>
        <v>0</v>
      </c>
    </row>
    <row r="126" spans="1:5">
      <c r="A126" s="1192" t="s">
        <v>500</v>
      </c>
      <c r="C126" s="1579">
        <f>'1st Interim-Assumptions'!G84</f>
        <v>0</v>
      </c>
      <c r="D126" s="1579">
        <f>'1st Interim-Assumptions'!H84</f>
        <v>0</v>
      </c>
      <c r="E126" s="1579">
        <f>'1st Interim-Assumptions'!J84</f>
        <v>0</v>
      </c>
    </row>
    <row r="127" spans="1:5">
      <c r="C127" s="1579"/>
      <c r="D127" s="1579"/>
      <c r="E127" s="1579"/>
    </row>
    <row r="128" spans="1:5">
      <c r="A128" s="1192" t="s">
        <v>474</v>
      </c>
      <c r="C128" s="1579"/>
      <c r="D128" s="1579"/>
      <c r="E128" s="1579"/>
    </row>
    <row r="129" spans="1:5">
      <c r="A129" s="1192" t="str">
        <f>T('1st Interim-DEBT'!A15)</f>
        <v>State School Building Loans</v>
      </c>
      <c r="C129" s="1579">
        <f>'1st Interim-DEBT'!E15+'1st Interim-DEBT'!F15</f>
        <v>0</v>
      </c>
      <c r="D129" s="1579">
        <f>'1st Interim-DEBT'!G15+'1st Interim-DEBT'!H15</f>
        <v>0</v>
      </c>
      <c r="E129" s="1579">
        <f>'1st Interim-DEBT'!I15+'1st Interim-DEBT'!J15</f>
        <v>0</v>
      </c>
    </row>
    <row r="130" spans="1:5">
      <c r="A130" s="1192" t="str">
        <f>T('1st Interim-DEBT'!A16)</f>
        <v>Charter School Start-up Loans</v>
      </c>
      <c r="C130" s="1574">
        <f>'1st Interim-DEBT'!E16+'1st Interim-DEBT'!F16</f>
        <v>0</v>
      </c>
      <c r="D130" s="1574">
        <f>'1st Interim-DEBT'!G16+'1st Interim-DEBT'!H16</f>
        <v>0</v>
      </c>
      <c r="E130" s="1574">
        <f>'1st Interim-DEBT'!I16+'1st Interim-DEBT'!J16</f>
        <v>0</v>
      </c>
    </row>
    <row r="131" spans="1:5">
      <c r="A131" s="1192" t="str">
        <f>T('1st Interim-DEBT'!A17)</f>
        <v>Other Post Employment Benefits</v>
      </c>
      <c r="C131" s="1574">
        <f>'1st Interim-DEBT'!E17+'1st Interim-DEBT'!F17</f>
        <v>0</v>
      </c>
      <c r="D131" s="1574">
        <f>'1st Interim-DEBT'!G17+'1st Interim-DEBT'!H17</f>
        <v>0</v>
      </c>
      <c r="E131" s="1574">
        <f>'1st Interim-DEBT'!I17+'1st Interim-DEBT'!J17</f>
        <v>0</v>
      </c>
    </row>
    <row r="132" spans="1:5">
      <c r="A132" s="1192" t="str">
        <f>T('1st Interim-DEBT'!A18)</f>
        <v>Compensated Absences</v>
      </c>
      <c r="C132" s="1574">
        <f>'1st Interim-DEBT'!E18+'1st Interim-DEBT'!F18</f>
        <v>0</v>
      </c>
      <c r="D132" s="1574">
        <f>'1st Interim-DEBT'!G18+'1st Interim-DEBT'!H18</f>
        <v>0</v>
      </c>
      <c r="E132" s="1574">
        <f>'1st Interim-DEBT'!I18+'1st Interim-DEBT'!J18</f>
        <v>0</v>
      </c>
    </row>
    <row r="133" spans="1:5">
      <c r="A133" s="1192" t="str">
        <f>T('1st Interim-DEBT'!A19)</f>
        <v>Bank Line of Credit Loans</v>
      </c>
      <c r="C133" s="1574">
        <f>'1st Interim-DEBT'!E19+'1st Interim-DEBT'!F19</f>
        <v>0</v>
      </c>
      <c r="D133" s="1574">
        <f>'1st Interim-DEBT'!G19+'1st Interim-DEBT'!H19</f>
        <v>0</v>
      </c>
      <c r="E133" s="1574">
        <f>'1st Interim-DEBT'!I19+'1st Interim-DEBT'!J19</f>
        <v>0</v>
      </c>
    </row>
    <row r="134" spans="1:5">
      <c r="A134" s="1192" t="str">
        <f>T('1st Interim-DEBT'!A20)</f>
        <v>Municipal Lease</v>
      </c>
      <c r="C134" s="1574">
        <f>'1st Interim-DEBT'!E20+'1st Interim-DEBT'!F20</f>
        <v>0</v>
      </c>
      <c r="D134" s="1574">
        <f>'1st Interim-DEBT'!G20+'1st Interim-DEBT'!H20</f>
        <v>0</v>
      </c>
      <c r="E134" s="1574">
        <f>'1st Interim-DEBT'!I20+'1st Interim-DEBT'!J20</f>
        <v>0</v>
      </c>
    </row>
    <row r="135" spans="1:5">
      <c r="A135" s="1192" t="str">
        <f>T('1st Interim-DEBT'!A21)</f>
        <v>Capital Lease</v>
      </c>
      <c r="C135" s="1574">
        <f>'1st Interim-DEBT'!E21+'1st Interim-DEBT'!F21</f>
        <v>0</v>
      </c>
      <c r="D135" s="1574">
        <f>'1st Interim-DEBT'!G21+'1st Interim-DEBT'!H21</f>
        <v>0</v>
      </c>
      <c r="E135" s="1574">
        <f>'1st Interim-DEBT'!I21+'1st Interim-DEBT'!J21</f>
        <v>0</v>
      </c>
    </row>
    <row r="136" spans="1:5">
      <c r="A136" s="1192" t="str">
        <f>T('1st Interim-DEBT'!A22)</f>
        <v>Capital Lease</v>
      </c>
      <c r="C136" s="1574">
        <f>'1st Interim-DEBT'!E22+'1st Interim-DEBT'!F22</f>
        <v>0</v>
      </c>
      <c r="D136" s="1574">
        <f>'1st Interim-DEBT'!G22+'1st Interim-DEBT'!H22</f>
        <v>0</v>
      </c>
      <c r="E136" s="1574">
        <f>'1st Interim-DEBT'!I22+'1st Interim-DEBT'!J22</f>
        <v>0</v>
      </c>
    </row>
    <row r="137" spans="1:5">
      <c r="A137" s="1192" t="str">
        <f>T('1st Interim-DEBT'!A23)</f>
        <v>Capital Lease</v>
      </c>
      <c r="C137" s="1574">
        <f>'1st Interim-DEBT'!E23+'1st Interim-DEBT'!F23</f>
        <v>0</v>
      </c>
      <c r="D137" s="1574">
        <f>'1st Interim-DEBT'!G23+'1st Interim-DEBT'!H23</f>
        <v>0</v>
      </c>
      <c r="E137" s="1574">
        <f>'1st Interim-DEBT'!I23+'1st Interim-DEBT'!J23</f>
        <v>0</v>
      </c>
    </row>
    <row r="138" spans="1:5">
      <c r="A138" s="1192" t="str">
        <f>T('1st Interim-DEBT'!A24)</f>
        <v>Inter-Agency Borrowing</v>
      </c>
      <c r="C138" s="1574">
        <f>'1st Interim-DEBT'!E24+'1st Interim-DEBT'!F24</f>
        <v>0</v>
      </c>
      <c r="D138" s="1574">
        <f>'1st Interim-DEBT'!G24+'1st Interim-DEBT'!H24</f>
        <v>0</v>
      </c>
      <c r="E138" s="1574">
        <f>'1st Interim-DEBT'!I24+'1st Interim-DEBT'!J24</f>
        <v>0</v>
      </c>
    </row>
    <row r="139" spans="1:5">
      <c r="A139" s="1192" t="str">
        <f>T('1st Interim-DEBT'!A25)</f>
        <v>Other</v>
      </c>
      <c r="C139" s="1574">
        <f>'1st Interim-DEBT'!E25+'1st Interim-DEBT'!F25</f>
        <v>0</v>
      </c>
      <c r="D139" s="1574">
        <f>'1st Interim-DEBT'!G25+'1st Interim-DEBT'!H25</f>
        <v>0</v>
      </c>
      <c r="E139" s="1574">
        <f>'1st Interim-DEBT'!I25+'1st Interim-DEBT'!J25</f>
        <v>0</v>
      </c>
    </row>
    <row r="140" spans="1:5">
      <c r="A140" s="1192" t="str">
        <f>T('1st Interim-DEBT'!A26)</f>
        <v/>
      </c>
      <c r="C140" s="1578"/>
      <c r="D140" s="1578"/>
      <c r="E140" s="1578"/>
    </row>
    <row r="141" spans="1:5">
      <c r="A141" s="1192" t="s">
        <v>472</v>
      </c>
      <c r="C141" s="1578"/>
      <c r="D141" s="1578"/>
      <c r="E141" s="1578"/>
    </row>
    <row r="142" spans="1:5">
      <c r="A142" s="1192" t="s">
        <v>473</v>
      </c>
      <c r="C142" s="1574">
        <f>'1st Interim-Cash Flow Year 1'!E6</f>
        <v>0</v>
      </c>
      <c r="D142" s="1574">
        <f>'1st Interim-Cash Flow Year 2'!E6</f>
        <v>0</v>
      </c>
    </row>
    <row r="143" spans="1:5">
      <c r="A143" s="1192" t="s">
        <v>79</v>
      </c>
      <c r="C143" s="1574">
        <f>'1st Interim-Cash Flow Year 1'!E66</f>
        <v>0</v>
      </c>
      <c r="D143" s="1574">
        <f>'1st Interim-Cash Flow Year 2'!E66</f>
        <v>0</v>
      </c>
    </row>
    <row r="144" spans="1:5">
      <c r="A144" s="1192" t="s">
        <v>81</v>
      </c>
      <c r="C144" s="1574">
        <f>'1st Interim-Cash Flow Year 1'!G66</f>
        <v>0</v>
      </c>
      <c r="D144" s="1574">
        <f>'1st Interim-Cash Flow Year 2'!G66</f>
        <v>0</v>
      </c>
    </row>
    <row r="145" spans="1:4">
      <c r="A145" s="1192" t="s">
        <v>83</v>
      </c>
      <c r="C145" s="1579">
        <f>'1st Interim-Cash Flow Year 1'!I66</f>
        <v>0</v>
      </c>
      <c r="D145" s="1579">
        <f>'1st Interim-Cash Flow Year 2'!I66</f>
        <v>0</v>
      </c>
    </row>
    <row r="146" spans="1:4">
      <c r="A146" s="1192" t="s">
        <v>84</v>
      </c>
      <c r="C146" s="1579">
        <f>'1st Interim-Cash Flow Year 1'!K66</f>
        <v>0</v>
      </c>
      <c r="D146" s="1579">
        <f>'1st Interim-Cash Flow Year 2'!K66</f>
        <v>0</v>
      </c>
    </row>
    <row r="147" spans="1:4">
      <c r="A147" s="1192" t="s">
        <v>85</v>
      </c>
      <c r="C147" s="1579">
        <f>'1st Interim-Cash Flow Year 1'!M66</f>
        <v>0</v>
      </c>
      <c r="D147" s="1579">
        <f>'1st Interim-Cash Flow Year 2'!M66</f>
        <v>0</v>
      </c>
    </row>
    <row r="148" spans="1:4">
      <c r="A148" s="1192" t="s">
        <v>86</v>
      </c>
      <c r="C148" s="1579">
        <f>'1st Interim-Cash Flow Year 1'!O66</f>
        <v>0</v>
      </c>
      <c r="D148" s="1579">
        <f>'1st Interim-Cash Flow Year 2'!O66</f>
        <v>0</v>
      </c>
    </row>
    <row r="149" spans="1:4">
      <c r="A149" s="1192" t="s">
        <v>87</v>
      </c>
      <c r="C149" s="1579">
        <f>'1st Interim-Cash Flow Year 1'!Q66</f>
        <v>0</v>
      </c>
      <c r="D149" s="1579">
        <f>'1st Interim-Cash Flow Year 2'!Q66</f>
        <v>0</v>
      </c>
    </row>
    <row r="150" spans="1:4">
      <c r="A150" s="1192" t="s">
        <v>88</v>
      </c>
      <c r="C150" s="1579">
        <f>'1st Interim-Cash Flow Year 1'!S66</f>
        <v>0</v>
      </c>
      <c r="D150" s="1579">
        <f>'1st Interim-Cash Flow Year 2'!S66</f>
        <v>0</v>
      </c>
    </row>
    <row r="151" spans="1:4">
      <c r="A151" s="1192" t="s">
        <v>89</v>
      </c>
      <c r="C151" s="1579">
        <f>'1st Interim-Cash Flow Year 1'!U66</f>
        <v>0</v>
      </c>
      <c r="D151" s="1579">
        <f>'1st Interim-Cash Flow Year 2'!U66</f>
        <v>0</v>
      </c>
    </row>
    <row r="152" spans="1:4">
      <c r="A152" s="1192" t="s">
        <v>90</v>
      </c>
      <c r="C152" s="1579">
        <f>'1st Interim-Cash Flow Year 1'!W66</f>
        <v>0</v>
      </c>
      <c r="D152" s="1579">
        <f>'1st Interim-Cash Flow Year 2'!W66</f>
        <v>0</v>
      </c>
    </row>
    <row r="153" spans="1:4">
      <c r="A153" s="1192" t="s">
        <v>91</v>
      </c>
      <c r="C153" s="1579">
        <f>'1st Interim-Cash Flow Year 1'!Y66</f>
        <v>0</v>
      </c>
      <c r="D153" s="1579">
        <f>'1st Interim-Cash Flow Year 2'!Y66</f>
        <v>0</v>
      </c>
    </row>
    <row r="154" spans="1:4">
      <c r="A154" s="1192" t="s">
        <v>92</v>
      </c>
      <c r="C154" s="1579">
        <f>'1st Interim-Cash Flow Year 1'!AA66</f>
        <v>0</v>
      </c>
      <c r="D154" s="1579">
        <f>'1st Interim-Cash Flow Year 2'!AA66</f>
        <v>0</v>
      </c>
    </row>
    <row r="155" spans="1:4">
      <c r="A155" s="1192" t="s">
        <v>518</v>
      </c>
      <c r="C155" s="1579" t="e">
        <f>'1st Interim-Cash Flow Year 1'!AC69</f>
        <v>#VALUE!</v>
      </c>
      <c r="D155" s="1579" t="e">
        <f>'1st Interim-Cash Flow Year 2'!AC69</f>
        <v>#VALUE!</v>
      </c>
    </row>
    <row r="156" spans="1:4">
      <c r="C156" s="1579"/>
      <c r="D156" s="1579"/>
    </row>
  </sheetData>
  <sheetProtection algorithmName="SHA-512" hashValue="Q5emb+yI8pFRSodq0ySiovL6l/obe/uRajfA8xyUwZ+fPC9DVr7aXv7mDVCjt9tfUyB6q86W6LI0HEbpxD6BJQ==" saltValue="VCiLbdg9Ux8XLGV0tvUC3g==" spinCount="100000" sheet="1" objects="1" scenarios="1"/>
  <conditionalFormatting sqref="A77">
    <cfRule type="expression" dxfId="120" priority="2" stopIfTrue="1">
      <formula>$E$87=""</formula>
    </cfRule>
  </conditionalFormatting>
  <conditionalFormatting sqref="A78">
    <cfRule type="expression" dxfId="119" priority="1" stopIfTrue="1">
      <formula>$E$87&lt;&gt;0</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5"/>
  </sheetPr>
  <dimension ref="A1:W91"/>
  <sheetViews>
    <sheetView showGridLines="0" zoomScale="85" zoomScaleNormal="85" workbookViewId="0">
      <pane xSplit="7" ySplit="9" topLeftCell="H10" activePane="bottomRight" state="frozen"/>
      <selection activeCell="J13" sqref="J13"/>
      <selection pane="topRight" activeCell="J13" sqref="J13"/>
      <selection pane="bottomLeft" activeCell="J13" sqref="J13"/>
      <selection pane="bottomRight" activeCell="G10" sqref="G10"/>
    </sheetView>
  </sheetViews>
  <sheetFormatPr defaultColWidth="5" defaultRowHeight="12" customHeight="1"/>
  <cols>
    <col min="1" max="1" width="2.86328125" style="5" customWidth="1"/>
    <col min="2" max="2" width="9.1328125" style="7" customWidth="1"/>
    <col min="3" max="8" width="9.1328125" style="5" customWidth="1"/>
    <col min="9" max="19" width="14" style="5" customWidth="1"/>
    <col min="20" max="20" width="14" style="28" customWidth="1"/>
    <col min="21" max="22" width="14" style="5" customWidth="1"/>
    <col min="23" max="23" width="71.86328125" style="1178" customWidth="1"/>
    <col min="24" max="16384" width="5" style="5"/>
  </cols>
  <sheetData>
    <row r="1" spans="1:23" ht="15">
      <c r="A1" s="43" t="s">
        <v>39</v>
      </c>
      <c r="B1" s="44"/>
      <c r="C1" s="45"/>
      <c r="D1" s="45"/>
      <c r="E1" s="45"/>
      <c r="F1" s="45"/>
      <c r="G1" s="45"/>
      <c r="H1" s="445"/>
      <c r="I1" s="1687" t="str">
        <f>IF('INTERIM-CERTIFICATION'!$M$1="","CHARTER NAME: Enter Charter Name on INTERIM-CERTIFICATION Worksheet",(CONCATENATE("CHARTER NAME: ",'INTERIM-CERTIFICATION'!$M$1)))</f>
        <v>CHARTER NAME: Encor Jr./Sr. High School for the Performing and Visual Arts</v>
      </c>
      <c r="J1" s="1687"/>
      <c r="K1" s="1687"/>
      <c r="L1" s="1687"/>
      <c r="M1" s="1687"/>
      <c r="N1" s="1687"/>
      <c r="O1" s="96"/>
      <c r="P1" s="96"/>
      <c r="Q1" s="96"/>
      <c r="R1" s="201"/>
      <c r="S1" s="201"/>
      <c r="T1" s="254"/>
      <c r="U1" s="254"/>
      <c r="V1" s="446"/>
    </row>
    <row r="2" spans="1:23" ht="15.4" thickBot="1">
      <c r="A2" s="447"/>
      <c r="B2" s="33"/>
      <c r="C2" s="34"/>
      <c r="D2" s="34"/>
      <c r="E2" s="34"/>
      <c r="F2" s="34"/>
      <c r="G2" s="34"/>
      <c r="H2" s="410"/>
      <c r="I2" s="1688" t="str">
        <f>IF('INTERIM-CERTIFICATION'!$M$5="","CHARTER #: Enter Charter # on INTERIM-CERTIFICATION Worksheet",(_xlfn.CONCAT("CHARTER #: ",'INTERIM-CERTIFICATION'!$M$5)))</f>
        <v>CHARTER #: 0971</v>
      </c>
      <c r="J2" s="1688"/>
      <c r="K2" s="1688"/>
      <c r="L2" s="1688"/>
      <c r="M2" s="1688"/>
      <c r="N2" s="1688"/>
      <c r="O2" s="202"/>
      <c r="P2" s="11"/>
      <c r="Q2" s="11"/>
      <c r="R2" s="11"/>
      <c r="S2" s="11"/>
      <c r="T2"/>
      <c r="U2"/>
      <c r="V2" s="448"/>
    </row>
    <row r="3" spans="1:23" ht="15.4" thickTop="1">
      <c r="A3" s="447"/>
      <c r="B3" s="33"/>
      <c r="C3" s="34"/>
      <c r="D3" s="34"/>
      <c r="E3" s="34"/>
      <c r="F3" s="34"/>
      <c r="G3" s="34"/>
      <c r="H3" s="35"/>
      <c r="I3" s="89"/>
      <c r="J3" s="35"/>
      <c r="K3" s="35"/>
      <c r="L3" s="35"/>
      <c r="M3" s="35"/>
      <c r="N3" s="35"/>
      <c r="O3" s="35"/>
      <c r="P3" s="35"/>
      <c r="Q3" s="35"/>
      <c r="R3" s="35"/>
      <c r="S3" s="35"/>
      <c r="T3"/>
      <c r="U3"/>
      <c r="V3" s="448"/>
    </row>
    <row r="4" spans="1:23" s="1343" customFormat="1" ht="15">
      <c r="A4" s="40"/>
      <c r="B4" s="36"/>
      <c r="C4"/>
      <c r="D4"/>
      <c r="E4" s="37"/>
      <c r="F4" s="37"/>
      <c r="G4" s="37"/>
      <c r="H4" s="37"/>
      <c r="I4" s="37"/>
      <c r="J4" s="92" t="str">
        <f>"Fiscal Year "&amp;'Budget-ADA'!K7&amp;" Second Interim Report"</f>
        <v>Fiscal Year 2024-25 Second Interim Report</v>
      </c>
      <c r="K4" s="37"/>
      <c r="L4" s="37"/>
      <c r="M4" s="37"/>
      <c r="N4" s="37"/>
      <c r="O4" s="37"/>
      <c r="P4" s="37"/>
      <c r="Q4" s="37"/>
      <c r="R4" s="37"/>
      <c r="S4" s="37"/>
      <c r="T4"/>
      <c r="U4" s="86"/>
      <c r="V4" s="449"/>
      <c r="W4" s="1179"/>
    </row>
    <row r="5" spans="1:23" s="1343" customFormat="1" ht="15">
      <c r="A5" s="40"/>
      <c r="B5" s="36"/>
      <c r="C5" s="36"/>
      <c r="D5"/>
      <c r="E5" s="37"/>
      <c r="F5" s="37"/>
      <c r="G5" s="37"/>
      <c r="H5" s="37"/>
      <c r="I5" s="37"/>
      <c r="J5" s="37" t="str">
        <f>"Projected ADA as of January 31, "&amp;'Budget-DEBT'!$D$13+1&amp;""</f>
        <v>Projected ADA as of January 31, 2025</v>
      </c>
      <c r="K5" s="37"/>
      <c r="L5" s="37"/>
      <c r="M5" s="37"/>
      <c r="N5" s="37"/>
      <c r="O5" s="37"/>
      <c r="P5" s="37"/>
      <c r="Q5" s="37"/>
      <c r="R5" s="37"/>
      <c r="S5" s="37"/>
      <c r="T5"/>
      <c r="U5" s="86"/>
      <c r="V5" s="449"/>
      <c r="W5" s="1179"/>
    </row>
    <row r="6" spans="1:23" s="1343" customFormat="1" ht="15.4" thickBot="1">
      <c r="A6" s="1879" t="str">
        <f>Instructions!H1</f>
        <v>Form Revised (revision date here if revised)</v>
      </c>
      <c r="B6" s="1880"/>
      <c r="C6" s="1880"/>
      <c r="D6" s="1880"/>
      <c r="E6" s="1880"/>
      <c r="F6" s="1880"/>
      <c r="G6" s="1880"/>
      <c r="H6" s="1880"/>
      <c r="I6" s="104"/>
      <c r="J6" s="103"/>
      <c r="K6" s="232"/>
      <c r="L6" s="232"/>
      <c r="M6" s="232"/>
      <c r="N6" s="232"/>
      <c r="O6" s="232"/>
      <c r="P6" s="232"/>
      <c r="Q6" s="1"/>
      <c r="R6" s="1"/>
      <c r="S6" s="1"/>
      <c r="T6"/>
      <c r="U6"/>
      <c r="V6" s="449"/>
      <c r="W6" s="1179"/>
    </row>
    <row r="7" spans="1:23" s="1343" customFormat="1" ht="16.5" customHeight="1">
      <c r="A7" s="1708" t="str">
        <f>IF('BUDGET-CERTIFICATION'!$H$3="","Charter Authorizer: Enter Charter Authorizer on INTERIM-CERTIFICATION Worksheet",(_xlfn.CONCAT("Charter Authorizer: ",'BUDGET-CERTIFICATION'!$H$3)))</f>
        <v>Charter Authorizer: Hesperia Unified School District</v>
      </c>
      <c r="B7" s="1709"/>
      <c r="C7" s="1709"/>
      <c r="D7" s="1709"/>
      <c r="E7" s="1709"/>
      <c r="F7" s="1709"/>
      <c r="G7" s="1710"/>
      <c r="H7" s="238"/>
      <c r="I7" s="1695" t="str">
        <f>'Budget-ADA'!I7</f>
        <v>2023-24</v>
      </c>
      <c r="J7" s="1853"/>
      <c r="K7" s="425"/>
      <c r="L7" s="426" t="str">
        <f>""&amp;'Budget-ADA'!$K$7&amp;" Adopted Budget"</f>
        <v>2024-25 Adopted Budget</v>
      </c>
      <c r="M7" s="427"/>
      <c r="N7" s="425"/>
      <c r="O7" s="426" t="str">
        <f>""&amp;'Budget-ADA'!$K$7&amp;" Second Interim"</f>
        <v>2024-25 Second Interim</v>
      </c>
      <c r="P7" s="427"/>
      <c r="Q7" s="425"/>
      <c r="R7" s="426" t="str">
        <f>""&amp;'Budget-ADA'!$N$7&amp;" Second Interim"</f>
        <v>2025-26 Second Interim</v>
      </c>
      <c r="S7" s="427"/>
      <c r="T7" s="425"/>
      <c r="U7" s="426" t="str">
        <f>""&amp;'Budget-ADA'!$Q$7&amp;" Second Interim"</f>
        <v>2026-27 Second Interim</v>
      </c>
      <c r="V7" s="428"/>
      <c r="W7" s="1179"/>
    </row>
    <row r="8" spans="1:23" s="1343" customFormat="1" ht="20.65" thickBot="1">
      <c r="A8" s="1711"/>
      <c r="B8" s="1712"/>
      <c r="C8" s="1712"/>
      <c r="D8" s="1712"/>
      <c r="E8" s="1712"/>
      <c r="F8" s="1712"/>
      <c r="G8" s="1713"/>
      <c r="H8" s="40"/>
      <c r="I8" s="422" t="s">
        <v>193</v>
      </c>
      <c r="J8" s="423" t="s">
        <v>196</v>
      </c>
      <c r="K8" s="429" t="s">
        <v>194</v>
      </c>
      <c r="L8" s="430" t="s">
        <v>196</v>
      </c>
      <c r="M8" s="1849" t="s">
        <v>228</v>
      </c>
      <c r="N8" s="429" t="s">
        <v>194</v>
      </c>
      <c r="O8" s="430" t="s">
        <v>196</v>
      </c>
      <c r="P8" s="1849" t="s">
        <v>229</v>
      </c>
      <c r="Q8" s="429" t="s">
        <v>194</v>
      </c>
      <c r="R8" s="430" t="s">
        <v>196</v>
      </c>
      <c r="S8" s="1849" t="s">
        <v>228</v>
      </c>
      <c r="T8" s="429" t="s">
        <v>194</v>
      </c>
      <c r="U8" s="430" t="s">
        <v>196</v>
      </c>
      <c r="V8" s="1847" t="s">
        <v>228</v>
      </c>
      <c r="W8" s="1179"/>
    </row>
    <row r="9" spans="1:23" ht="15.4" thickBot="1">
      <c r="A9" s="413" t="s">
        <v>2</v>
      </c>
      <c r="B9" s="414"/>
      <c r="C9" s="414"/>
      <c r="D9" s="414"/>
      <c r="E9" s="415"/>
      <c r="F9" s="416"/>
      <c r="G9" s="415"/>
      <c r="H9" s="421" t="s">
        <v>37</v>
      </c>
      <c r="I9" s="229" t="s">
        <v>167</v>
      </c>
      <c r="J9" s="88"/>
      <c r="K9" s="85" t="s">
        <v>167</v>
      </c>
      <c r="L9" s="88"/>
      <c r="M9" s="1850"/>
      <c r="N9" s="85" t="s">
        <v>167</v>
      </c>
      <c r="O9" s="88"/>
      <c r="P9" s="1850"/>
      <c r="Q9" s="85" t="s">
        <v>167</v>
      </c>
      <c r="R9" s="88"/>
      <c r="S9" s="1850"/>
      <c r="T9" s="85" t="s">
        <v>167</v>
      </c>
      <c r="U9" s="88"/>
      <c r="V9" s="1848"/>
    </row>
    <row r="10" spans="1:23" ht="15.75" thickTop="1" thickBot="1">
      <c r="A10" s="411" t="s">
        <v>334</v>
      </c>
      <c r="B10" s="412"/>
      <c r="C10" s="412"/>
      <c r="D10" s="45"/>
      <c r="E10" s="45"/>
      <c r="F10" s="45"/>
      <c r="G10" s="984"/>
      <c r="H10" s="548"/>
      <c r="I10" s="549"/>
      <c r="J10" s="548"/>
      <c r="K10" s="548"/>
      <c r="L10" s="548"/>
      <c r="M10" s="548"/>
      <c r="N10" s="548"/>
      <c r="O10" s="548"/>
      <c r="P10" s="548"/>
      <c r="Q10" s="548"/>
      <c r="R10" s="548"/>
      <c r="S10" s="548"/>
      <c r="T10" s="548"/>
      <c r="U10" s="548"/>
      <c r="V10" s="550"/>
    </row>
    <row r="11" spans="1:23" ht="15">
      <c r="A11" s="42" t="s">
        <v>171</v>
      </c>
      <c r="B11" s="239"/>
      <c r="C11"/>
      <c r="D11" s="34"/>
      <c r="E11" s="34"/>
      <c r="F11" s="34"/>
      <c r="G11" s="34"/>
      <c r="H11" s="551"/>
      <c r="I11" s="435"/>
      <c r="J11" s="239"/>
      <c r="K11" s="239"/>
      <c r="L11" s="239"/>
      <c r="M11" s="239"/>
      <c r="N11" s="239"/>
      <c r="O11" s="239"/>
      <c r="P11" s="239"/>
      <c r="Q11" s="239"/>
      <c r="R11" s="239"/>
      <c r="S11" s="239"/>
      <c r="T11" s="239"/>
      <c r="U11" s="239"/>
      <c r="V11" s="434"/>
    </row>
    <row r="12" spans="1:23" ht="15">
      <c r="A12" s="67"/>
      <c r="B12" s="243"/>
      <c r="C12" s="244" t="s">
        <v>168</v>
      </c>
      <c r="D12" s="241"/>
      <c r="E12" s="241"/>
      <c r="F12" s="241"/>
      <c r="G12" s="241"/>
      <c r="H12" s="242" t="s">
        <v>172</v>
      </c>
      <c r="I12" s="424">
        <f>'Budget-ADA'!I12</f>
        <v>0</v>
      </c>
      <c r="J12" s="771"/>
      <c r="K12" s="252">
        <f>'Budget-ADA'!K12</f>
        <v>0</v>
      </c>
      <c r="L12" s="771"/>
      <c r="M12" s="248" t="str">
        <f>'Budget-ADA'!M12</f>
        <v xml:space="preserve"> </v>
      </c>
      <c r="N12" s="246"/>
      <c r="O12" s="771"/>
      <c r="P12" s="247" t="str">
        <f t="shared" ref="P12:P23" si="0">IF(K12&lt;1," ",IF(N12&lt;1," ",(N12-K12)/K12))</f>
        <v xml:space="preserve"> </v>
      </c>
      <c r="Q12" s="246"/>
      <c r="R12" s="771"/>
      <c r="S12" s="247" t="str">
        <f t="shared" ref="S12:S23" si="1">IF(N12&lt;1," ",IF(Q12&lt;1," ",(Q12-N12)/N12))</f>
        <v xml:space="preserve"> </v>
      </c>
      <c r="T12" s="246"/>
      <c r="U12" s="771"/>
      <c r="V12" s="249" t="str">
        <f t="shared" ref="V12:V23" si="2">IF(Q12&lt;1," ",IF(T12&lt;1," ",(T12-Q12)/Q12))</f>
        <v xml:space="preserve"> </v>
      </c>
    </row>
    <row r="13" spans="1:23" ht="15">
      <c r="A13" s="235"/>
      <c r="B13" s="243"/>
      <c r="C13" s="139" t="s">
        <v>181</v>
      </c>
      <c r="D13" s="241"/>
      <c r="E13" s="241"/>
      <c r="F13" s="241"/>
      <c r="G13" s="241"/>
      <c r="H13" s="242" t="s">
        <v>173</v>
      </c>
      <c r="I13" s="424">
        <f>'Budget-ADA'!I13</f>
        <v>0</v>
      </c>
      <c r="J13" s="648"/>
      <c r="K13" s="252">
        <f>'Budget-ADA'!K13</f>
        <v>0</v>
      </c>
      <c r="L13" s="648"/>
      <c r="M13" s="248" t="str">
        <f>'Budget-ADA'!M13</f>
        <v xml:space="preserve"> </v>
      </c>
      <c r="N13" s="246"/>
      <c r="O13" s="648"/>
      <c r="P13" s="247" t="str">
        <f t="shared" si="0"/>
        <v xml:space="preserve"> </v>
      </c>
      <c r="Q13" s="246"/>
      <c r="R13" s="648"/>
      <c r="S13" s="247" t="str">
        <f t="shared" si="1"/>
        <v xml:space="preserve"> </v>
      </c>
      <c r="T13" s="246"/>
      <c r="U13" s="648"/>
      <c r="V13" s="249" t="str">
        <f t="shared" si="2"/>
        <v xml:space="preserve"> </v>
      </c>
    </row>
    <row r="14" spans="1:23" ht="15">
      <c r="A14" s="67"/>
      <c r="B14" s="243"/>
      <c r="C14" s="244" t="s">
        <v>169</v>
      </c>
      <c r="D14" s="241"/>
      <c r="E14" s="241"/>
      <c r="F14" s="241"/>
      <c r="G14" s="241"/>
      <c r="H14" s="242" t="s">
        <v>174</v>
      </c>
      <c r="I14" s="424">
        <f>'Budget-ADA'!I14</f>
        <v>0</v>
      </c>
      <c r="J14" s="648"/>
      <c r="K14" s="252">
        <f>'Budget-ADA'!K14</f>
        <v>0</v>
      </c>
      <c r="L14" s="648"/>
      <c r="M14" s="248" t="str">
        <f>'Budget-ADA'!M14</f>
        <v xml:space="preserve"> </v>
      </c>
      <c r="N14" s="246"/>
      <c r="O14" s="648"/>
      <c r="P14" s="247" t="str">
        <f t="shared" si="0"/>
        <v xml:space="preserve"> </v>
      </c>
      <c r="Q14" s="246"/>
      <c r="R14" s="648"/>
      <c r="S14" s="247" t="str">
        <f t="shared" si="1"/>
        <v xml:space="preserve"> </v>
      </c>
      <c r="T14" s="246"/>
      <c r="U14" s="648"/>
      <c r="V14" s="249" t="str">
        <f t="shared" si="2"/>
        <v xml:space="preserve"> </v>
      </c>
    </row>
    <row r="15" spans="1:23" ht="15">
      <c r="A15" s="67"/>
      <c r="B15" s="243"/>
      <c r="C15" s="139" t="s">
        <v>182</v>
      </c>
      <c r="D15" s="241"/>
      <c r="E15" s="241"/>
      <c r="F15" s="241"/>
      <c r="G15" s="241"/>
      <c r="H15" s="242" t="s">
        <v>175</v>
      </c>
      <c r="I15" s="424">
        <f>'Budget-ADA'!I15</f>
        <v>0</v>
      </c>
      <c r="J15" s="648"/>
      <c r="K15" s="252">
        <f>'Budget-ADA'!K15</f>
        <v>0</v>
      </c>
      <c r="L15" s="648"/>
      <c r="M15" s="248" t="str">
        <f>'Budget-ADA'!M15</f>
        <v xml:space="preserve"> </v>
      </c>
      <c r="N15" s="246"/>
      <c r="O15" s="648"/>
      <c r="P15" s="247" t="str">
        <f t="shared" si="0"/>
        <v xml:space="preserve"> </v>
      </c>
      <c r="Q15" s="246"/>
      <c r="R15" s="648"/>
      <c r="S15" s="247" t="str">
        <f t="shared" si="1"/>
        <v xml:space="preserve"> </v>
      </c>
      <c r="T15" s="246"/>
      <c r="U15" s="648"/>
      <c r="V15" s="249" t="str">
        <f t="shared" si="2"/>
        <v xml:space="preserve"> </v>
      </c>
    </row>
    <row r="16" spans="1:23" ht="15">
      <c r="A16" s="67"/>
      <c r="B16" s="243"/>
      <c r="C16" s="244" t="s">
        <v>170</v>
      </c>
      <c r="D16" s="241"/>
      <c r="E16" s="241"/>
      <c r="F16" s="241"/>
      <c r="G16" s="241"/>
      <c r="H16" s="242" t="s">
        <v>176</v>
      </c>
      <c r="I16" s="424">
        <f>'Budget-ADA'!I16</f>
        <v>0</v>
      </c>
      <c r="J16" s="648"/>
      <c r="K16" s="252">
        <f>'Budget-ADA'!K16</f>
        <v>0</v>
      </c>
      <c r="L16" s="648"/>
      <c r="M16" s="248" t="str">
        <f>'Budget-ADA'!M16</f>
        <v xml:space="preserve"> </v>
      </c>
      <c r="N16" s="246"/>
      <c r="O16" s="648"/>
      <c r="P16" s="247" t="str">
        <f t="shared" si="0"/>
        <v xml:space="preserve"> </v>
      </c>
      <c r="Q16" s="246"/>
      <c r="R16" s="648"/>
      <c r="S16" s="247" t="str">
        <f t="shared" si="1"/>
        <v xml:space="preserve"> </v>
      </c>
      <c r="T16" s="246"/>
      <c r="U16" s="648"/>
      <c r="V16" s="249" t="str">
        <f t="shared" si="2"/>
        <v xml:space="preserve"> </v>
      </c>
    </row>
    <row r="17" spans="1:22" ht="15">
      <c r="A17" s="67"/>
      <c r="B17" s="243"/>
      <c r="C17" s="139" t="s">
        <v>183</v>
      </c>
      <c r="D17" s="241"/>
      <c r="E17" s="241"/>
      <c r="F17" s="241"/>
      <c r="G17" s="241"/>
      <c r="H17" s="242" t="s">
        <v>187</v>
      </c>
      <c r="I17" s="424">
        <f>'Budget-ADA'!I17</f>
        <v>0</v>
      </c>
      <c r="J17" s="648"/>
      <c r="K17" s="252">
        <f>'Budget-ADA'!K17</f>
        <v>0</v>
      </c>
      <c r="L17" s="648"/>
      <c r="M17" s="248" t="str">
        <f>'Budget-ADA'!M17</f>
        <v xml:space="preserve"> </v>
      </c>
      <c r="N17" s="246"/>
      <c r="O17" s="648"/>
      <c r="P17" s="247" t="str">
        <f t="shared" si="0"/>
        <v xml:space="preserve"> </v>
      </c>
      <c r="Q17" s="246"/>
      <c r="R17" s="648"/>
      <c r="S17" s="247" t="str">
        <f t="shared" si="1"/>
        <v xml:space="preserve"> </v>
      </c>
      <c r="T17" s="246"/>
      <c r="U17" s="648"/>
      <c r="V17" s="249" t="str">
        <f t="shared" si="2"/>
        <v xml:space="preserve"> </v>
      </c>
    </row>
    <row r="18" spans="1:22" ht="15">
      <c r="A18" s="67"/>
      <c r="B18" s="243"/>
      <c r="C18" s="244" t="s">
        <v>184</v>
      </c>
      <c r="D18" s="241"/>
      <c r="E18" s="241"/>
      <c r="F18" s="241"/>
      <c r="G18" s="241"/>
      <c r="H18" s="242" t="s">
        <v>188</v>
      </c>
      <c r="I18" s="424">
        <f>'Budget-ADA'!I18</f>
        <v>0</v>
      </c>
      <c r="J18" s="648"/>
      <c r="K18" s="252">
        <f>'Budget-ADA'!K18</f>
        <v>0</v>
      </c>
      <c r="L18" s="648"/>
      <c r="M18" s="248" t="str">
        <f>'Budget-ADA'!M18</f>
        <v xml:space="preserve"> </v>
      </c>
      <c r="N18" s="246"/>
      <c r="O18" s="648"/>
      <c r="P18" s="247" t="str">
        <f t="shared" si="0"/>
        <v xml:space="preserve"> </v>
      </c>
      <c r="Q18" s="246"/>
      <c r="R18" s="648"/>
      <c r="S18" s="247" t="str">
        <f t="shared" si="1"/>
        <v xml:space="preserve"> </v>
      </c>
      <c r="T18" s="246"/>
      <c r="U18" s="648"/>
      <c r="V18" s="249" t="str">
        <f t="shared" si="2"/>
        <v xml:space="preserve"> </v>
      </c>
    </row>
    <row r="19" spans="1:22" ht="15">
      <c r="A19" s="67"/>
      <c r="B19" s="243"/>
      <c r="C19" s="139" t="s">
        <v>185</v>
      </c>
      <c r="D19" s="241"/>
      <c r="E19" s="241"/>
      <c r="F19" s="241"/>
      <c r="G19" s="241"/>
      <c r="H19" s="242" t="s">
        <v>189</v>
      </c>
      <c r="I19" s="424">
        <f>'Budget-ADA'!I19</f>
        <v>0</v>
      </c>
      <c r="J19" s="648"/>
      <c r="K19" s="252">
        <f>'Budget-ADA'!K19</f>
        <v>0</v>
      </c>
      <c r="L19" s="648"/>
      <c r="M19" s="248" t="str">
        <f>'Budget-ADA'!M19</f>
        <v xml:space="preserve"> </v>
      </c>
      <c r="N19" s="246"/>
      <c r="O19" s="648"/>
      <c r="P19" s="247" t="str">
        <f t="shared" si="0"/>
        <v xml:space="preserve"> </v>
      </c>
      <c r="Q19" s="246"/>
      <c r="R19" s="648"/>
      <c r="S19" s="247" t="str">
        <f t="shared" si="1"/>
        <v xml:space="preserve"> </v>
      </c>
      <c r="T19" s="246"/>
      <c r="U19" s="648"/>
      <c r="V19" s="249" t="str">
        <f t="shared" si="2"/>
        <v xml:space="preserve"> </v>
      </c>
    </row>
    <row r="20" spans="1:22" ht="18.75" customHeight="1">
      <c r="A20" s="67"/>
      <c r="B20" s="1679" t="s">
        <v>358</v>
      </c>
      <c r="C20" s="1680"/>
      <c r="D20" s="1680"/>
      <c r="E20" s="1680"/>
      <c r="F20" s="1680"/>
      <c r="G20" s="1681"/>
      <c r="H20" s="242" t="s">
        <v>190</v>
      </c>
      <c r="I20" s="424">
        <f>'Budget-ADA'!I20</f>
        <v>0</v>
      </c>
      <c r="J20" s="251">
        <f>IF(('Budget-ADA'!J20="Cell G10 CANNOT be blank"), "Missing Data, BUDGET-ADA Tab, cell G10",'Budget-ADA'!J20)</f>
        <v>0</v>
      </c>
      <c r="K20" s="252">
        <f>'Budget-ADA'!K20</f>
        <v>0</v>
      </c>
      <c r="L20" s="439">
        <f>IF(('Budget-ADA'!L20="Cell G10 CANNOT be blank"), "Missing Data, BUDGET-ADA Tab, cell G10",'Budget-ADA'!L20)</f>
        <v>0</v>
      </c>
      <c r="M20" s="438" t="str">
        <f>'Budget-ADA'!M20</f>
        <v xml:space="preserve"> </v>
      </c>
      <c r="N20" s="250">
        <f>N12+N14+N16+N18</f>
        <v>0</v>
      </c>
      <c r="O20" s="648"/>
      <c r="P20" s="248" t="str">
        <f t="shared" si="0"/>
        <v xml:space="preserve"> </v>
      </c>
      <c r="Q20" s="250">
        <f>Q12+Q14+Q16+Q18</f>
        <v>0</v>
      </c>
      <c r="R20" s="648"/>
      <c r="S20" s="248" t="str">
        <f t="shared" si="1"/>
        <v xml:space="preserve"> </v>
      </c>
      <c r="T20" s="250">
        <f>T12+T14+T16+T18</f>
        <v>0</v>
      </c>
      <c r="U20" s="648"/>
      <c r="V20" s="431" t="str">
        <f t="shared" si="2"/>
        <v xml:space="preserve"> </v>
      </c>
    </row>
    <row r="21" spans="1:22" ht="15">
      <c r="A21" s="67"/>
      <c r="B21" s="1679" t="s">
        <v>359</v>
      </c>
      <c r="C21" s="1680"/>
      <c r="D21" s="1680"/>
      <c r="E21" s="1680"/>
      <c r="F21" s="1680"/>
      <c r="G21" s="1681"/>
      <c r="H21" s="242" t="s">
        <v>191</v>
      </c>
      <c r="I21" s="424">
        <f>'Budget-ADA'!I21</f>
        <v>0</v>
      </c>
      <c r="J21" s="251">
        <f>'Budget-ADA'!J21</f>
        <v>0</v>
      </c>
      <c r="K21" s="252">
        <f>'Budget-ADA'!K21</f>
        <v>0</v>
      </c>
      <c r="L21" s="439">
        <f>'Budget-ADA'!L21</f>
        <v>0</v>
      </c>
      <c r="M21" s="438" t="str">
        <f>'Budget-ADA'!M21</f>
        <v xml:space="preserve"> </v>
      </c>
      <c r="N21" s="250">
        <f>N13+N15+N17+N19</f>
        <v>0</v>
      </c>
      <c r="O21" s="439">
        <f>N21</f>
        <v>0</v>
      </c>
      <c r="P21" s="248" t="str">
        <f t="shared" si="0"/>
        <v xml:space="preserve"> </v>
      </c>
      <c r="Q21" s="250">
        <f>Q13+Q15+Q17+Q19</f>
        <v>0</v>
      </c>
      <c r="R21" s="439">
        <f>Q21</f>
        <v>0</v>
      </c>
      <c r="S21" s="248" t="str">
        <f t="shared" si="1"/>
        <v xml:space="preserve"> </v>
      </c>
      <c r="T21" s="250">
        <f>T13+T15+T17+T19</f>
        <v>0</v>
      </c>
      <c r="U21" s="439">
        <f>T21</f>
        <v>0</v>
      </c>
      <c r="V21" s="431" t="str">
        <f t="shared" si="2"/>
        <v xml:space="preserve"> </v>
      </c>
    </row>
    <row r="22" spans="1:22" ht="47.25" customHeight="1">
      <c r="A22" s="67"/>
      <c r="B22" s="1679" t="s">
        <v>356</v>
      </c>
      <c r="C22" s="1680"/>
      <c r="D22" s="1680"/>
      <c r="E22" s="1680"/>
      <c r="F22" s="1680"/>
      <c r="G22" s="1681"/>
      <c r="H22" s="242" t="s">
        <v>355</v>
      </c>
      <c r="I22" s="424">
        <f>'Budget-ADA'!I22</f>
        <v>0</v>
      </c>
      <c r="J22" s="439">
        <f>'Budget-ADA'!J22</f>
        <v>0</v>
      </c>
      <c r="K22" s="252">
        <f>'Budget-ADA'!K22</f>
        <v>0</v>
      </c>
      <c r="L22" s="439">
        <f>'Budget-ADA'!L22</f>
        <v>0</v>
      </c>
      <c r="M22" s="248" t="str">
        <f>'Budget-ADA'!M22</f>
        <v xml:space="preserve"> </v>
      </c>
      <c r="N22" s="250">
        <f>N20-N21</f>
        <v>0</v>
      </c>
      <c r="O22" s="439" t="str">
        <f>IF($G$10="","Cell G10 CANNOT be blank",N22*$G$10)</f>
        <v>Cell G10 CANNOT be blank</v>
      </c>
      <c r="P22" s="248" t="str">
        <f t="shared" si="0"/>
        <v xml:space="preserve"> </v>
      </c>
      <c r="Q22" s="252">
        <f>Q20-Q21</f>
        <v>0</v>
      </c>
      <c r="R22" s="439" t="str">
        <f>IF($G$10="","Cell G10 CANNOT be blank",Q22*$G$10)</f>
        <v>Cell G10 CANNOT be blank</v>
      </c>
      <c r="S22" s="248" t="str">
        <f t="shared" si="1"/>
        <v xml:space="preserve"> </v>
      </c>
      <c r="T22" s="252">
        <f>T20-T21</f>
        <v>0</v>
      </c>
      <c r="U22" s="439" t="str">
        <f>IF($G$10="","Cell G10 CANNOT be blank",T22*$G$10)</f>
        <v>Cell G10 CANNOT be blank</v>
      </c>
      <c r="V22" s="431" t="str">
        <f t="shared" si="2"/>
        <v xml:space="preserve"> </v>
      </c>
    </row>
    <row r="23" spans="1:22" ht="31.5" customHeight="1">
      <c r="A23" s="67"/>
      <c r="B23" s="1701" t="s">
        <v>186</v>
      </c>
      <c r="C23" s="1702"/>
      <c r="D23" s="1702"/>
      <c r="E23" s="1702"/>
      <c r="F23" s="1702"/>
      <c r="G23" s="1703"/>
      <c r="H23" s="242" t="s">
        <v>192</v>
      </c>
      <c r="I23" s="424">
        <f>'Budget-ADA'!I23</f>
        <v>0</v>
      </c>
      <c r="J23" s="648"/>
      <c r="K23" s="252">
        <f>'Budget-ADA'!K23</f>
        <v>0</v>
      </c>
      <c r="L23" s="648"/>
      <c r="M23" s="248" t="str">
        <f>'Budget-ADA'!M23</f>
        <v xml:space="preserve"> </v>
      </c>
      <c r="N23" s="246"/>
      <c r="O23" s="648"/>
      <c r="P23" s="247" t="str">
        <f t="shared" si="0"/>
        <v xml:space="preserve"> </v>
      </c>
      <c r="Q23" s="246"/>
      <c r="R23" s="648"/>
      <c r="S23" s="247" t="str">
        <f t="shared" si="1"/>
        <v xml:space="preserve"> </v>
      </c>
      <c r="T23" s="246"/>
      <c r="U23" s="648"/>
      <c r="V23" s="431" t="str">
        <f t="shared" si="2"/>
        <v xml:space="preserve"> </v>
      </c>
    </row>
    <row r="24" spans="1:22" ht="15">
      <c r="A24" s="67"/>
      <c r="B24" s="556"/>
      <c r="C24" s="432"/>
      <c r="D24" s="432"/>
      <c r="E24" s="432"/>
      <c r="F24" s="432"/>
      <c r="G24" s="432"/>
      <c r="H24" s="552"/>
      <c r="I24" s="553"/>
      <c r="J24" s="553"/>
      <c r="K24" s="553"/>
      <c r="L24" s="553"/>
      <c r="M24" s="557"/>
      <c r="N24" s="105"/>
      <c r="O24" s="553"/>
      <c r="P24" s="557"/>
      <c r="Q24" s="105"/>
      <c r="R24" s="553"/>
      <c r="S24" s="557"/>
      <c r="T24" s="564"/>
      <c r="U24" s="553"/>
      <c r="V24" s="558"/>
    </row>
    <row r="25" spans="1:22" ht="15">
      <c r="A25" s="42" t="s">
        <v>177</v>
      </c>
      <c r="B25" s="239"/>
      <c r="C25"/>
      <c r="D25" s="34"/>
      <c r="E25" s="34"/>
      <c r="F25" s="34"/>
      <c r="G25" s="34"/>
      <c r="H25" s="559"/>
      <c r="I25" s="90"/>
      <c r="J25" s="38"/>
      <c r="K25" s="38"/>
      <c r="L25" s="38"/>
      <c r="M25" s="38"/>
      <c r="N25" s="38"/>
      <c r="O25" s="38"/>
      <c r="P25" s="38"/>
      <c r="Q25" s="38"/>
      <c r="R25" s="38"/>
      <c r="S25" s="38"/>
      <c r="T25" s="38"/>
      <c r="U25" s="38"/>
      <c r="V25" s="234"/>
    </row>
    <row r="26" spans="1:22" ht="15">
      <c r="A26" s="67"/>
      <c r="B26" s="243"/>
      <c r="C26" s="244" t="s">
        <v>168</v>
      </c>
      <c r="D26" s="241"/>
      <c r="E26" s="241"/>
      <c r="F26" s="241"/>
      <c r="G26" s="241"/>
      <c r="H26" s="242" t="s">
        <v>172</v>
      </c>
      <c r="I26" s="424">
        <f>'Budget-ADA'!I26</f>
        <v>0</v>
      </c>
      <c r="J26" s="771"/>
      <c r="K26" s="252">
        <f>'Budget-ADA'!K26</f>
        <v>0</v>
      </c>
      <c r="L26" s="771"/>
      <c r="M26" s="248" t="str">
        <f>'Budget-ADA'!M26</f>
        <v xml:space="preserve"> </v>
      </c>
      <c r="N26" s="246"/>
      <c r="O26" s="771"/>
      <c r="P26" s="247" t="str">
        <f t="shared" ref="P26:P36" si="3">IF(K26&lt;1," ",IF(N26&lt;1," ",(N26-K26)/K26))</f>
        <v xml:space="preserve"> </v>
      </c>
      <c r="Q26" s="246"/>
      <c r="R26" s="771"/>
      <c r="S26" s="247" t="str">
        <f t="shared" ref="S26:S36" si="4">IF(N26&lt;1," ",IF(Q26&lt;1," ",(Q26-N26)/N26))</f>
        <v xml:space="preserve"> </v>
      </c>
      <c r="T26" s="246"/>
      <c r="U26" s="771"/>
      <c r="V26" s="249" t="str">
        <f t="shared" ref="V26:V36" si="5">IF(Q26&lt;1," ",IF(T26&lt;1," ",(T26-Q26)/Q26))</f>
        <v xml:space="preserve"> </v>
      </c>
    </row>
    <row r="27" spans="1:22" ht="15">
      <c r="A27" s="67"/>
      <c r="B27" s="243"/>
      <c r="C27" s="139" t="s">
        <v>181</v>
      </c>
      <c r="D27" s="241"/>
      <c r="E27" s="241"/>
      <c r="F27" s="241"/>
      <c r="G27" s="241"/>
      <c r="H27" s="242" t="s">
        <v>173</v>
      </c>
      <c r="I27" s="424">
        <f>'Budget-ADA'!I27</f>
        <v>0</v>
      </c>
      <c r="J27" s="648"/>
      <c r="K27" s="252">
        <f>'Budget-ADA'!K27</f>
        <v>0</v>
      </c>
      <c r="L27" s="648"/>
      <c r="M27" s="248" t="str">
        <f>'Budget-ADA'!M27</f>
        <v xml:space="preserve"> </v>
      </c>
      <c r="N27" s="246"/>
      <c r="O27" s="648"/>
      <c r="P27" s="247" t="str">
        <f t="shared" si="3"/>
        <v xml:space="preserve"> </v>
      </c>
      <c r="Q27" s="246"/>
      <c r="R27" s="648"/>
      <c r="S27" s="247" t="str">
        <f t="shared" si="4"/>
        <v xml:space="preserve"> </v>
      </c>
      <c r="T27" s="246"/>
      <c r="U27" s="648"/>
      <c r="V27" s="249" t="str">
        <f t="shared" si="5"/>
        <v xml:space="preserve"> </v>
      </c>
    </row>
    <row r="28" spans="1:22" ht="15">
      <c r="A28" s="67"/>
      <c r="B28" s="243"/>
      <c r="C28" s="244" t="s">
        <v>169</v>
      </c>
      <c r="D28" s="241"/>
      <c r="E28" s="241"/>
      <c r="F28" s="241"/>
      <c r="G28" s="241"/>
      <c r="H28" s="242" t="s">
        <v>174</v>
      </c>
      <c r="I28" s="424">
        <f>'Budget-ADA'!I28</f>
        <v>0</v>
      </c>
      <c r="J28" s="648"/>
      <c r="K28" s="252">
        <f>'Budget-ADA'!K28</f>
        <v>0</v>
      </c>
      <c r="L28" s="648"/>
      <c r="M28" s="248" t="str">
        <f>'Budget-ADA'!M28</f>
        <v xml:space="preserve"> </v>
      </c>
      <c r="N28" s="246"/>
      <c r="O28" s="648"/>
      <c r="P28" s="247" t="str">
        <f t="shared" si="3"/>
        <v xml:space="preserve"> </v>
      </c>
      <c r="Q28" s="246"/>
      <c r="R28" s="648"/>
      <c r="S28" s="247" t="str">
        <f t="shared" si="4"/>
        <v xml:space="preserve"> </v>
      </c>
      <c r="T28" s="246"/>
      <c r="U28" s="648"/>
      <c r="V28" s="249" t="str">
        <f t="shared" si="5"/>
        <v xml:space="preserve"> </v>
      </c>
    </row>
    <row r="29" spans="1:22" ht="15">
      <c r="A29" s="67"/>
      <c r="B29" s="243"/>
      <c r="C29" s="139" t="s">
        <v>182</v>
      </c>
      <c r="D29" s="241"/>
      <c r="E29" s="241"/>
      <c r="F29" s="241"/>
      <c r="G29" s="241"/>
      <c r="H29" s="242" t="s">
        <v>175</v>
      </c>
      <c r="I29" s="424">
        <f>'Budget-ADA'!I29</f>
        <v>0</v>
      </c>
      <c r="J29" s="648"/>
      <c r="K29" s="252">
        <f>'Budget-ADA'!K29</f>
        <v>0</v>
      </c>
      <c r="L29" s="648"/>
      <c r="M29" s="248" t="str">
        <f>'Budget-ADA'!M29</f>
        <v xml:space="preserve"> </v>
      </c>
      <c r="N29" s="246"/>
      <c r="O29" s="648"/>
      <c r="P29" s="247" t="str">
        <f t="shared" si="3"/>
        <v xml:space="preserve"> </v>
      </c>
      <c r="Q29" s="246"/>
      <c r="R29" s="648"/>
      <c r="S29" s="247" t="str">
        <f t="shared" si="4"/>
        <v xml:space="preserve"> </v>
      </c>
      <c r="T29" s="246"/>
      <c r="U29" s="648"/>
      <c r="V29" s="249" t="str">
        <f t="shared" si="5"/>
        <v xml:space="preserve"> </v>
      </c>
    </row>
    <row r="30" spans="1:22" ht="15">
      <c r="A30" s="67"/>
      <c r="B30" s="243"/>
      <c r="C30" s="244" t="s">
        <v>170</v>
      </c>
      <c r="D30" s="241"/>
      <c r="E30" s="241"/>
      <c r="F30" s="241"/>
      <c r="G30" s="241"/>
      <c r="H30" s="242" t="s">
        <v>176</v>
      </c>
      <c r="I30" s="424">
        <f>'Budget-ADA'!I30</f>
        <v>0</v>
      </c>
      <c r="J30" s="648"/>
      <c r="K30" s="252">
        <f>'Budget-ADA'!K30</f>
        <v>0</v>
      </c>
      <c r="L30" s="648"/>
      <c r="M30" s="248" t="str">
        <f>'Budget-ADA'!M30</f>
        <v xml:space="preserve"> </v>
      </c>
      <c r="N30" s="246"/>
      <c r="O30" s="648"/>
      <c r="P30" s="247" t="str">
        <f t="shared" si="3"/>
        <v xml:space="preserve"> </v>
      </c>
      <c r="Q30" s="246"/>
      <c r="R30" s="648"/>
      <c r="S30" s="247" t="str">
        <f t="shared" si="4"/>
        <v xml:space="preserve"> </v>
      </c>
      <c r="T30" s="246"/>
      <c r="U30" s="648"/>
      <c r="V30" s="249" t="str">
        <f t="shared" si="5"/>
        <v xml:space="preserve"> </v>
      </c>
    </row>
    <row r="31" spans="1:22" ht="15">
      <c r="A31" s="67"/>
      <c r="B31" s="243"/>
      <c r="C31" s="139" t="s">
        <v>183</v>
      </c>
      <c r="D31" s="241"/>
      <c r="E31" s="241"/>
      <c r="F31" s="241"/>
      <c r="G31" s="241"/>
      <c r="H31" s="242" t="s">
        <v>187</v>
      </c>
      <c r="I31" s="424">
        <f>'Budget-ADA'!I31</f>
        <v>0</v>
      </c>
      <c r="J31" s="648"/>
      <c r="K31" s="252">
        <f>'Budget-ADA'!K31</f>
        <v>0</v>
      </c>
      <c r="L31" s="648"/>
      <c r="M31" s="248" t="str">
        <f>'Budget-ADA'!M31</f>
        <v xml:space="preserve"> </v>
      </c>
      <c r="N31" s="246"/>
      <c r="O31" s="648"/>
      <c r="P31" s="247" t="str">
        <f t="shared" si="3"/>
        <v xml:space="preserve"> </v>
      </c>
      <c r="Q31" s="246"/>
      <c r="R31" s="648"/>
      <c r="S31" s="247" t="str">
        <f t="shared" si="4"/>
        <v xml:space="preserve"> </v>
      </c>
      <c r="T31" s="246"/>
      <c r="U31" s="648"/>
      <c r="V31" s="249" t="str">
        <f t="shared" si="5"/>
        <v xml:space="preserve"> </v>
      </c>
    </row>
    <row r="32" spans="1:22" ht="15">
      <c r="A32" s="67"/>
      <c r="B32" s="243"/>
      <c r="C32" s="244" t="s">
        <v>184</v>
      </c>
      <c r="D32" s="241"/>
      <c r="E32" s="241"/>
      <c r="F32" s="241"/>
      <c r="G32" s="241"/>
      <c r="H32" s="242" t="s">
        <v>188</v>
      </c>
      <c r="I32" s="424">
        <f>'Budget-ADA'!I32</f>
        <v>0</v>
      </c>
      <c r="J32" s="648"/>
      <c r="K32" s="252">
        <f>'Budget-ADA'!K32</f>
        <v>0</v>
      </c>
      <c r="L32" s="648"/>
      <c r="M32" s="248" t="str">
        <f>'Budget-ADA'!M32</f>
        <v xml:space="preserve"> </v>
      </c>
      <c r="N32" s="246"/>
      <c r="O32" s="648"/>
      <c r="P32" s="247" t="str">
        <f t="shared" si="3"/>
        <v xml:space="preserve"> </v>
      </c>
      <c r="Q32" s="246"/>
      <c r="R32" s="648"/>
      <c r="S32" s="247" t="str">
        <f t="shared" si="4"/>
        <v xml:space="preserve"> </v>
      </c>
      <c r="T32" s="246"/>
      <c r="U32" s="648"/>
      <c r="V32" s="249" t="str">
        <f t="shared" si="5"/>
        <v xml:space="preserve"> </v>
      </c>
    </row>
    <row r="33" spans="1:22" ht="15.75" customHeight="1">
      <c r="A33" s="67"/>
      <c r="B33" s="243"/>
      <c r="C33" s="641" t="s">
        <v>185</v>
      </c>
      <c r="D33" s="241"/>
      <c r="E33" s="241"/>
      <c r="F33" s="241"/>
      <c r="G33" s="241"/>
      <c r="H33" s="242" t="s">
        <v>189</v>
      </c>
      <c r="I33" s="424">
        <f>'Budget-ADA'!I33</f>
        <v>0</v>
      </c>
      <c r="J33" s="648"/>
      <c r="K33" s="252">
        <f>'Budget-ADA'!K33</f>
        <v>0</v>
      </c>
      <c r="L33" s="648"/>
      <c r="M33" s="248" t="str">
        <f>'Budget-ADA'!M33</f>
        <v xml:space="preserve"> </v>
      </c>
      <c r="N33" s="246"/>
      <c r="O33" s="648"/>
      <c r="P33" s="247" t="str">
        <f t="shared" si="3"/>
        <v xml:space="preserve"> </v>
      </c>
      <c r="Q33" s="246"/>
      <c r="R33" s="648"/>
      <c r="S33" s="247" t="str">
        <f t="shared" si="4"/>
        <v xml:space="preserve"> </v>
      </c>
      <c r="T33" s="246"/>
      <c r="U33" s="648"/>
      <c r="V33" s="249" t="str">
        <f t="shared" si="5"/>
        <v xml:space="preserve"> </v>
      </c>
    </row>
    <row r="34" spans="1:22" ht="18.75" customHeight="1">
      <c r="A34" s="67"/>
      <c r="B34" s="1679" t="s">
        <v>358</v>
      </c>
      <c r="C34" s="1680"/>
      <c r="D34" s="1680"/>
      <c r="E34" s="1680"/>
      <c r="F34" s="1680"/>
      <c r="G34" s="1681"/>
      <c r="H34" s="242" t="s">
        <v>190</v>
      </c>
      <c r="I34" s="424">
        <f>'Budget-ADA'!I34</f>
        <v>0</v>
      </c>
      <c r="J34" s="251">
        <f>IF(('Budget-ADA'!J34="Cell G10 CANNOT be blank"), "Missing Data, BUDGET-ADA Tab, cell G10",'Budget-ADA'!J34)</f>
        <v>0</v>
      </c>
      <c r="K34" s="252">
        <f>'Budget-ADA'!K34</f>
        <v>0</v>
      </c>
      <c r="L34" s="439">
        <f>IF(('Budget-ADA'!L34="Cell G10 CANNOT be blank"), "Missing Data, BUDGET-ADA Tab, cell G10",'Budget-ADA'!L34)</f>
        <v>0</v>
      </c>
      <c r="M34" s="438" t="str">
        <f>'Budget-ADA'!M34</f>
        <v xml:space="preserve"> </v>
      </c>
      <c r="N34" s="250">
        <f>N26+N28+N30+N32</f>
        <v>0</v>
      </c>
      <c r="O34" s="648"/>
      <c r="P34" s="248" t="str">
        <f t="shared" si="3"/>
        <v xml:space="preserve"> </v>
      </c>
      <c r="Q34" s="250">
        <f>Q26+Q28+Q30+Q32</f>
        <v>0</v>
      </c>
      <c r="R34" s="648"/>
      <c r="S34" s="248" t="str">
        <f t="shared" si="4"/>
        <v xml:space="preserve"> </v>
      </c>
      <c r="T34" s="250">
        <f>T26+T28+T30+T32</f>
        <v>0</v>
      </c>
      <c r="U34" s="648"/>
      <c r="V34" s="431" t="str">
        <f t="shared" si="5"/>
        <v xml:space="preserve"> </v>
      </c>
    </row>
    <row r="35" spans="1:22" ht="15">
      <c r="A35" s="67"/>
      <c r="B35" s="1679" t="s">
        <v>359</v>
      </c>
      <c r="C35" s="1680"/>
      <c r="D35" s="1680"/>
      <c r="E35" s="1680"/>
      <c r="F35" s="1680"/>
      <c r="G35" s="1681"/>
      <c r="H35" s="242" t="s">
        <v>191</v>
      </c>
      <c r="I35" s="424">
        <f>'Budget-ADA'!I35</f>
        <v>0</v>
      </c>
      <c r="J35" s="251">
        <f>'Budget-ADA'!J35</f>
        <v>0</v>
      </c>
      <c r="K35" s="252">
        <f>'Budget-ADA'!K35</f>
        <v>0</v>
      </c>
      <c r="L35" s="439">
        <f>'Budget-ADA'!L35</f>
        <v>0</v>
      </c>
      <c r="M35" s="438" t="str">
        <f>'Budget-ADA'!M35</f>
        <v xml:space="preserve"> </v>
      </c>
      <c r="N35" s="250">
        <f>N27+N29+N31+N33</f>
        <v>0</v>
      </c>
      <c r="O35" s="439">
        <f>N35</f>
        <v>0</v>
      </c>
      <c r="P35" s="248" t="str">
        <f t="shared" si="3"/>
        <v xml:space="preserve"> </v>
      </c>
      <c r="Q35" s="250">
        <f>Q27+Q29+Q31+Q33</f>
        <v>0</v>
      </c>
      <c r="R35" s="439">
        <f>Q35</f>
        <v>0</v>
      </c>
      <c r="S35" s="248" t="str">
        <f t="shared" si="4"/>
        <v xml:space="preserve"> </v>
      </c>
      <c r="T35" s="250">
        <f>T27+T29+T31+T33</f>
        <v>0</v>
      </c>
      <c r="U35" s="439">
        <f>T35</f>
        <v>0</v>
      </c>
      <c r="V35" s="431" t="str">
        <f t="shared" si="5"/>
        <v xml:space="preserve"> </v>
      </c>
    </row>
    <row r="36" spans="1:22" ht="47.25" customHeight="1">
      <c r="A36" s="67"/>
      <c r="B36" s="1679" t="s">
        <v>356</v>
      </c>
      <c r="C36" s="1680"/>
      <c r="D36" s="1680"/>
      <c r="E36" s="1680"/>
      <c r="F36" s="1680"/>
      <c r="G36" s="1681"/>
      <c r="H36" s="242" t="s">
        <v>355</v>
      </c>
      <c r="I36" s="424">
        <f>'Budget-ADA'!I36</f>
        <v>0</v>
      </c>
      <c r="J36" s="439">
        <f>'Budget-ADA'!J36</f>
        <v>0</v>
      </c>
      <c r="K36" s="252">
        <f>'Budget-ADA'!K36</f>
        <v>0</v>
      </c>
      <c r="L36" s="439">
        <f>'Budget-ADA'!L36</f>
        <v>0</v>
      </c>
      <c r="M36" s="248" t="str">
        <f>'Budget-ADA'!M36</f>
        <v xml:space="preserve"> </v>
      </c>
      <c r="N36" s="250">
        <f>N34-N35</f>
        <v>0</v>
      </c>
      <c r="O36" s="439" t="str">
        <f>IF($G$10="","Cell G10 CANNOT be blank",N36*$G$10)</f>
        <v>Cell G10 CANNOT be blank</v>
      </c>
      <c r="P36" s="248" t="str">
        <f t="shared" si="3"/>
        <v xml:space="preserve"> </v>
      </c>
      <c r="Q36" s="252">
        <f>Q34-Q35</f>
        <v>0</v>
      </c>
      <c r="R36" s="439" t="str">
        <f>IF($G$10="","Cell G10 CANNOT be blank",Q36*$G$10)</f>
        <v>Cell G10 CANNOT be blank</v>
      </c>
      <c r="S36" s="248" t="str">
        <f t="shared" si="4"/>
        <v xml:space="preserve"> </v>
      </c>
      <c r="T36" s="252">
        <f>T34-T35</f>
        <v>0</v>
      </c>
      <c r="U36" s="439" t="str">
        <f>IF($G$10="","Cell G10 CANNOT be blank",T36*$G$10)</f>
        <v>Cell G10 CANNOT be blank</v>
      </c>
      <c r="V36" s="431" t="str">
        <f t="shared" si="5"/>
        <v xml:space="preserve"> </v>
      </c>
    </row>
    <row r="37" spans="1:22" ht="15">
      <c r="A37" s="67"/>
      <c r="B37" s="556"/>
      <c r="C37" s="432"/>
      <c r="D37" s="432"/>
      <c r="E37" s="432"/>
      <c r="F37" s="432"/>
      <c r="G37" s="432"/>
      <c r="H37" s="552"/>
      <c r="I37" s="553"/>
      <c r="J37" s="554"/>
      <c r="K37" s="554"/>
      <c r="L37" s="554"/>
      <c r="M37" s="554"/>
      <c r="N37" s="554"/>
      <c r="O37" s="554"/>
      <c r="P37" s="554"/>
      <c r="Q37" s="554"/>
      <c r="R37" s="554"/>
      <c r="S37" s="554"/>
      <c r="T37" s="554"/>
      <c r="U37" s="554"/>
      <c r="V37" s="555"/>
    </row>
    <row r="38" spans="1:22" ht="15">
      <c r="A38" s="42" t="s">
        <v>178</v>
      </c>
      <c r="B38" s="433"/>
      <c r="C38" s="150"/>
      <c r="D38" s="240"/>
      <c r="E38" s="240"/>
      <c r="F38" s="240"/>
      <c r="G38" s="240"/>
      <c r="H38" s="551"/>
      <c r="I38" s="435"/>
      <c r="J38" s="239"/>
      <c r="K38" s="435"/>
      <c r="L38" s="239"/>
      <c r="M38" s="560"/>
      <c r="N38" s="435"/>
      <c r="O38" s="239"/>
      <c r="P38" s="239"/>
      <c r="Q38" s="435"/>
      <c r="R38" s="239"/>
      <c r="S38" s="239"/>
      <c r="T38" s="435"/>
      <c r="U38" s="239"/>
      <c r="V38" s="434"/>
    </row>
    <row r="39" spans="1:22" ht="15">
      <c r="A39" s="437"/>
      <c r="B39" s="243"/>
      <c r="C39" s="244" t="s">
        <v>168</v>
      </c>
      <c r="D39" s="241"/>
      <c r="E39" s="241"/>
      <c r="F39" s="241"/>
      <c r="G39" s="241"/>
      <c r="H39" s="242" t="s">
        <v>172</v>
      </c>
      <c r="I39" s="424">
        <f>'Budget-ADA'!I39</f>
        <v>192.37</v>
      </c>
      <c r="J39" s="771"/>
      <c r="K39" s="252">
        <f>'Budget-ADA'!K39</f>
        <v>182</v>
      </c>
      <c r="L39" s="771"/>
      <c r="M39" s="248">
        <f>'Budget-ADA'!M39</f>
        <v>-5.3906534282892368E-2</v>
      </c>
      <c r="N39" s="246"/>
      <c r="O39" s="771"/>
      <c r="P39" s="247" t="str">
        <f t="shared" ref="P39:P49" si="6">IF(K39&lt;1," ",IF(N39&lt;1," ",(N39-K39)/K39))</f>
        <v xml:space="preserve"> </v>
      </c>
      <c r="Q39" s="246"/>
      <c r="R39" s="771"/>
      <c r="S39" s="247" t="str">
        <f t="shared" ref="S39:S49" si="7">IF(N39&lt;1," ",IF(Q39&lt;1," ",(Q39-N39)/N39))</f>
        <v xml:space="preserve"> </v>
      </c>
      <c r="T39" s="246"/>
      <c r="U39" s="771"/>
      <c r="V39" s="249" t="str">
        <f t="shared" ref="V39:V49" si="8">IF(Q39&lt;1," ",IF(T39&lt;1," ",(T39-Q39)/Q39))</f>
        <v xml:space="preserve"> </v>
      </c>
    </row>
    <row r="40" spans="1:22" ht="15">
      <c r="A40" s="41"/>
      <c r="B40" s="243"/>
      <c r="C40" s="139" t="s">
        <v>181</v>
      </c>
      <c r="D40" s="241"/>
      <c r="E40" s="241"/>
      <c r="F40" s="241"/>
      <c r="G40" s="241"/>
      <c r="H40" s="242" t="s">
        <v>173</v>
      </c>
      <c r="I40" s="424">
        <f>'Budget-ADA'!I40</f>
        <v>192.37</v>
      </c>
      <c r="J40" s="648"/>
      <c r="K40" s="252">
        <f>'Budget-ADA'!K40</f>
        <v>182</v>
      </c>
      <c r="L40" s="648"/>
      <c r="M40" s="248">
        <f>'Budget-ADA'!M40</f>
        <v>-5.3906534282892368E-2</v>
      </c>
      <c r="N40" s="246"/>
      <c r="O40" s="648"/>
      <c r="P40" s="247" t="str">
        <f t="shared" si="6"/>
        <v xml:space="preserve"> </v>
      </c>
      <c r="Q40" s="246"/>
      <c r="R40" s="648"/>
      <c r="S40" s="247" t="str">
        <f t="shared" si="7"/>
        <v xml:space="preserve"> </v>
      </c>
      <c r="T40" s="246"/>
      <c r="U40" s="648"/>
      <c r="V40" s="249" t="str">
        <f t="shared" si="8"/>
        <v xml:space="preserve"> </v>
      </c>
    </row>
    <row r="41" spans="1:22" ht="15">
      <c r="A41" s="41"/>
      <c r="B41" s="243"/>
      <c r="C41" s="244" t="s">
        <v>169</v>
      </c>
      <c r="D41" s="241"/>
      <c r="E41" s="241"/>
      <c r="F41" s="241"/>
      <c r="G41" s="241"/>
      <c r="H41" s="242" t="s">
        <v>174</v>
      </c>
      <c r="I41" s="424">
        <f>'Budget-ADA'!I41</f>
        <v>0</v>
      </c>
      <c r="J41" s="648"/>
      <c r="K41" s="252">
        <f>'Budget-ADA'!K41</f>
        <v>0</v>
      </c>
      <c r="L41" s="648"/>
      <c r="M41" s="248" t="str">
        <f>'Budget-ADA'!M41</f>
        <v xml:space="preserve"> </v>
      </c>
      <c r="N41" s="246"/>
      <c r="O41" s="648"/>
      <c r="P41" s="247" t="str">
        <f t="shared" si="6"/>
        <v xml:space="preserve"> </v>
      </c>
      <c r="Q41" s="246"/>
      <c r="R41" s="648"/>
      <c r="S41" s="247" t="str">
        <f t="shared" si="7"/>
        <v xml:space="preserve"> </v>
      </c>
      <c r="T41" s="246"/>
      <c r="U41" s="648"/>
      <c r="V41" s="249" t="str">
        <f t="shared" si="8"/>
        <v xml:space="preserve"> </v>
      </c>
    </row>
    <row r="42" spans="1:22" ht="15">
      <c r="A42" s="41"/>
      <c r="B42" s="243"/>
      <c r="C42" s="139" t="s">
        <v>182</v>
      </c>
      <c r="D42" s="241"/>
      <c r="E42" s="241"/>
      <c r="F42" s="241"/>
      <c r="G42" s="241"/>
      <c r="H42" s="242" t="s">
        <v>175</v>
      </c>
      <c r="I42" s="424">
        <f>'Budget-ADA'!I42</f>
        <v>0</v>
      </c>
      <c r="J42" s="648"/>
      <c r="K42" s="252">
        <f>'Budget-ADA'!K42</f>
        <v>0</v>
      </c>
      <c r="L42" s="648"/>
      <c r="M42" s="248" t="str">
        <f>'Budget-ADA'!M42</f>
        <v xml:space="preserve"> </v>
      </c>
      <c r="N42" s="246"/>
      <c r="O42" s="648"/>
      <c r="P42" s="247" t="str">
        <f t="shared" si="6"/>
        <v xml:space="preserve"> </v>
      </c>
      <c r="Q42" s="246"/>
      <c r="R42" s="648"/>
      <c r="S42" s="247" t="str">
        <f t="shared" si="7"/>
        <v xml:space="preserve"> </v>
      </c>
      <c r="T42" s="246"/>
      <c r="U42" s="648"/>
      <c r="V42" s="249" t="str">
        <f t="shared" si="8"/>
        <v xml:space="preserve"> </v>
      </c>
    </row>
    <row r="43" spans="1:22" ht="15">
      <c r="A43" s="41"/>
      <c r="B43" s="243"/>
      <c r="C43" s="244" t="s">
        <v>170</v>
      </c>
      <c r="D43" s="241"/>
      <c r="E43" s="241"/>
      <c r="F43" s="241"/>
      <c r="G43" s="241"/>
      <c r="H43" s="242" t="s">
        <v>176</v>
      </c>
      <c r="I43" s="424">
        <f>'Budget-ADA'!I43</f>
        <v>0</v>
      </c>
      <c r="J43" s="648"/>
      <c r="K43" s="252">
        <f>'Budget-ADA'!K43</f>
        <v>0</v>
      </c>
      <c r="L43" s="648"/>
      <c r="M43" s="248" t="str">
        <f>'Budget-ADA'!M43</f>
        <v xml:space="preserve"> </v>
      </c>
      <c r="N43" s="246"/>
      <c r="O43" s="648"/>
      <c r="P43" s="247" t="str">
        <f t="shared" si="6"/>
        <v xml:space="preserve"> </v>
      </c>
      <c r="Q43" s="246"/>
      <c r="R43" s="648"/>
      <c r="S43" s="247" t="str">
        <f t="shared" si="7"/>
        <v xml:space="preserve"> </v>
      </c>
      <c r="T43" s="246"/>
      <c r="U43" s="648"/>
      <c r="V43" s="249" t="str">
        <f t="shared" si="8"/>
        <v xml:space="preserve"> </v>
      </c>
    </row>
    <row r="44" spans="1:22" ht="15">
      <c r="A44" s="41"/>
      <c r="B44" s="243"/>
      <c r="C44" s="139" t="s">
        <v>183</v>
      </c>
      <c r="D44" s="241"/>
      <c r="E44" s="241"/>
      <c r="F44" s="241"/>
      <c r="G44" s="241"/>
      <c r="H44" s="242" t="s">
        <v>187</v>
      </c>
      <c r="I44" s="424">
        <f>'Budget-ADA'!I44</f>
        <v>0</v>
      </c>
      <c r="J44" s="648"/>
      <c r="K44" s="252">
        <f>'Budget-ADA'!K44</f>
        <v>0</v>
      </c>
      <c r="L44" s="648"/>
      <c r="M44" s="248" t="str">
        <f>'Budget-ADA'!M44</f>
        <v xml:space="preserve"> </v>
      </c>
      <c r="N44" s="246"/>
      <c r="O44" s="648"/>
      <c r="P44" s="247" t="str">
        <f t="shared" si="6"/>
        <v xml:space="preserve"> </v>
      </c>
      <c r="Q44" s="246"/>
      <c r="R44" s="648"/>
      <c r="S44" s="247" t="str">
        <f t="shared" si="7"/>
        <v xml:space="preserve"> </v>
      </c>
      <c r="T44" s="246"/>
      <c r="U44" s="648"/>
      <c r="V44" s="249" t="str">
        <f t="shared" si="8"/>
        <v xml:space="preserve"> </v>
      </c>
    </row>
    <row r="45" spans="1:22" ht="15">
      <c r="A45" s="41"/>
      <c r="B45" s="243"/>
      <c r="C45" s="244" t="s">
        <v>184</v>
      </c>
      <c r="D45" s="241"/>
      <c r="E45" s="241"/>
      <c r="F45" s="241"/>
      <c r="G45" s="241"/>
      <c r="H45" s="242" t="s">
        <v>188</v>
      </c>
      <c r="I45" s="424">
        <f>'Budget-ADA'!I45</f>
        <v>0</v>
      </c>
      <c r="J45" s="648"/>
      <c r="K45" s="252">
        <f>'Budget-ADA'!K45</f>
        <v>0</v>
      </c>
      <c r="L45" s="648"/>
      <c r="M45" s="248" t="str">
        <f>'Budget-ADA'!M45</f>
        <v xml:space="preserve"> </v>
      </c>
      <c r="N45" s="246"/>
      <c r="O45" s="648"/>
      <c r="P45" s="247" t="str">
        <f t="shared" si="6"/>
        <v xml:space="preserve"> </v>
      </c>
      <c r="Q45" s="246"/>
      <c r="R45" s="648"/>
      <c r="S45" s="247" t="str">
        <f t="shared" si="7"/>
        <v xml:space="preserve"> </v>
      </c>
      <c r="T45" s="246"/>
      <c r="U45" s="648"/>
      <c r="V45" s="249" t="str">
        <f t="shared" si="8"/>
        <v xml:space="preserve"> </v>
      </c>
    </row>
    <row r="46" spans="1:22" ht="15">
      <c r="A46" s="41"/>
      <c r="B46" s="243"/>
      <c r="C46" s="139" t="s">
        <v>185</v>
      </c>
      <c r="D46" s="241"/>
      <c r="E46" s="241"/>
      <c r="F46" s="241"/>
      <c r="G46" s="241"/>
      <c r="H46" s="242" t="s">
        <v>189</v>
      </c>
      <c r="I46" s="424">
        <f>'Budget-ADA'!I46</f>
        <v>0</v>
      </c>
      <c r="J46" s="648"/>
      <c r="K46" s="252">
        <f>'Budget-ADA'!K46</f>
        <v>0</v>
      </c>
      <c r="L46" s="648"/>
      <c r="M46" s="248" t="str">
        <f>'Budget-ADA'!M46</f>
        <v xml:space="preserve"> </v>
      </c>
      <c r="N46" s="246"/>
      <c r="O46" s="648"/>
      <c r="P46" s="247" t="str">
        <f t="shared" si="6"/>
        <v xml:space="preserve"> </v>
      </c>
      <c r="Q46" s="246"/>
      <c r="R46" s="648"/>
      <c r="S46" s="247" t="str">
        <f t="shared" si="7"/>
        <v xml:space="preserve"> </v>
      </c>
      <c r="T46" s="246"/>
      <c r="U46" s="648"/>
      <c r="V46" s="249" t="str">
        <f t="shared" si="8"/>
        <v xml:space="preserve"> </v>
      </c>
    </row>
    <row r="47" spans="1:22" ht="18.75" customHeight="1">
      <c r="A47" s="67"/>
      <c r="B47" s="1679" t="s">
        <v>358</v>
      </c>
      <c r="C47" s="1680"/>
      <c r="D47" s="1680"/>
      <c r="E47" s="1680"/>
      <c r="F47" s="1680"/>
      <c r="G47" s="1681"/>
      <c r="H47" s="242" t="s">
        <v>190</v>
      </c>
      <c r="I47" s="424">
        <f>'Budget-ADA'!I47</f>
        <v>192.37</v>
      </c>
      <c r="J47" s="251">
        <f>IF(('Budget-ADA'!J47="Cell G10 CANNOT be blank"), "Missing Data, BUDGET-ADA Tab, cell G10",'Budget-ADA'!J47)</f>
        <v>0</v>
      </c>
      <c r="K47" s="252">
        <f>'Budget-ADA'!K47</f>
        <v>182</v>
      </c>
      <c r="L47" s="439">
        <f>IF(('Budget-ADA'!L47="Cell G10 CANNOT be blank"), "Missing Data, BUDGET-ADA Tab, cell G10",'Budget-ADA'!L47)</f>
        <v>0</v>
      </c>
      <c r="M47" s="438">
        <f>'Budget-ADA'!M47</f>
        <v>-5.3906534282892368E-2</v>
      </c>
      <c r="N47" s="250">
        <f>N39+N41+N43+N45</f>
        <v>0</v>
      </c>
      <c r="O47" s="648"/>
      <c r="P47" s="248" t="str">
        <f t="shared" si="6"/>
        <v xml:space="preserve"> </v>
      </c>
      <c r="Q47" s="250">
        <f>Q39+Q41+Q43+Q45</f>
        <v>0</v>
      </c>
      <c r="R47" s="648"/>
      <c r="S47" s="248" t="str">
        <f t="shared" si="7"/>
        <v xml:space="preserve"> </v>
      </c>
      <c r="T47" s="250">
        <f>T39+T41+T43+T45</f>
        <v>0</v>
      </c>
      <c r="U47" s="648"/>
      <c r="V47" s="431" t="str">
        <f t="shared" si="8"/>
        <v xml:space="preserve"> </v>
      </c>
    </row>
    <row r="48" spans="1:22" ht="15">
      <c r="A48" s="67"/>
      <c r="B48" s="1679" t="s">
        <v>359</v>
      </c>
      <c r="C48" s="1680"/>
      <c r="D48" s="1680"/>
      <c r="E48" s="1680"/>
      <c r="F48" s="1680"/>
      <c r="G48" s="1681"/>
      <c r="H48" s="242" t="s">
        <v>191</v>
      </c>
      <c r="I48" s="424">
        <f>'Budget-ADA'!I48</f>
        <v>192.37</v>
      </c>
      <c r="J48" s="251">
        <f>'Budget-ADA'!J48</f>
        <v>192.37</v>
      </c>
      <c r="K48" s="252">
        <f>'Budget-ADA'!K48</f>
        <v>182</v>
      </c>
      <c r="L48" s="439">
        <f>'Budget-ADA'!L48</f>
        <v>182</v>
      </c>
      <c r="M48" s="438">
        <f>'Budget-ADA'!M48</f>
        <v>-5.3906534282892368E-2</v>
      </c>
      <c r="N48" s="250">
        <f>N40+N42+N44+N46</f>
        <v>0</v>
      </c>
      <c r="O48" s="439">
        <f>N48</f>
        <v>0</v>
      </c>
      <c r="P48" s="248" t="str">
        <f t="shared" si="6"/>
        <v xml:space="preserve"> </v>
      </c>
      <c r="Q48" s="250">
        <f>Q40+Q42+Q44+Q46</f>
        <v>0</v>
      </c>
      <c r="R48" s="439">
        <f>Q48</f>
        <v>0</v>
      </c>
      <c r="S48" s="248" t="str">
        <f t="shared" si="7"/>
        <v xml:space="preserve"> </v>
      </c>
      <c r="T48" s="250">
        <f>T40+T42+T44+T46</f>
        <v>0</v>
      </c>
      <c r="U48" s="439">
        <f>T48</f>
        <v>0</v>
      </c>
      <c r="V48" s="431" t="str">
        <f t="shared" si="8"/>
        <v xml:space="preserve"> </v>
      </c>
    </row>
    <row r="49" spans="1:22" ht="47.25" customHeight="1">
      <c r="A49" s="67"/>
      <c r="B49" s="1679" t="s">
        <v>356</v>
      </c>
      <c r="C49" s="1680"/>
      <c r="D49" s="1680"/>
      <c r="E49" s="1680"/>
      <c r="F49" s="1680"/>
      <c r="G49" s="1681"/>
      <c r="H49" s="242" t="s">
        <v>355</v>
      </c>
      <c r="I49" s="424">
        <f>'Budget-ADA'!I49</f>
        <v>0</v>
      </c>
      <c r="J49" s="439">
        <f>'Budget-ADA'!J49</f>
        <v>0</v>
      </c>
      <c r="K49" s="252">
        <f>'Budget-ADA'!K49</f>
        <v>0</v>
      </c>
      <c r="L49" s="439">
        <f>'Budget-ADA'!L49</f>
        <v>0</v>
      </c>
      <c r="M49" s="248" t="str">
        <f>'Budget-ADA'!M49</f>
        <v xml:space="preserve"> </v>
      </c>
      <c r="N49" s="250">
        <f>N47-N48</f>
        <v>0</v>
      </c>
      <c r="O49" s="439" t="str">
        <f>IF($G$10="","Cell G10 CANNOT be blank",N49*$G$10)</f>
        <v>Cell G10 CANNOT be blank</v>
      </c>
      <c r="P49" s="248" t="str">
        <f t="shared" si="6"/>
        <v xml:space="preserve"> </v>
      </c>
      <c r="Q49" s="252">
        <f>Q47-Q48</f>
        <v>0</v>
      </c>
      <c r="R49" s="439" t="str">
        <f>IF($G$10="","Cell G10 CANNOT be blank",Q49*$G$10)</f>
        <v>Cell G10 CANNOT be blank</v>
      </c>
      <c r="S49" s="248" t="str">
        <f t="shared" si="7"/>
        <v xml:space="preserve"> </v>
      </c>
      <c r="T49" s="252">
        <f>T47-T48</f>
        <v>0</v>
      </c>
      <c r="U49" s="439" t="str">
        <f>IF($G$10="","Cell G10 CANNOT be blank",T49*$G$10)</f>
        <v>Cell G10 CANNOT be blank</v>
      </c>
      <c r="V49" s="431" t="str">
        <f t="shared" si="8"/>
        <v xml:space="preserve"> </v>
      </c>
    </row>
    <row r="50" spans="1:22" ht="15">
      <c r="A50" s="41"/>
      <c r="B50" s="432"/>
      <c r="C50" s="432"/>
      <c r="D50" s="432"/>
      <c r="E50" s="432"/>
      <c r="F50" s="432"/>
      <c r="G50" s="432"/>
      <c r="H50" s="552"/>
      <c r="I50" s="90"/>
      <c r="J50" s="38"/>
      <c r="K50" s="38"/>
      <c r="L50" s="38"/>
      <c r="M50" s="38"/>
      <c r="N50" s="38"/>
      <c r="O50" s="38"/>
      <c r="P50" s="38"/>
      <c r="Q50" s="38"/>
      <c r="R50" s="38"/>
      <c r="S50" s="38"/>
      <c r="T50" s="38"/>
      <c r="U50" s="38"/>
      <c r="V50" s="234"/>
    </row>
    <row r="51" spans="1:22" ht="15">
      <c r="A51" s="42" t="s">
        <v>179</v>
      </c>
      <c r="B51" s="433"/>
      <c r="C51" s="150"/>
      <c r="D51" s="240"/>
      <c r="E51" s="240"/>
      <c r="F51" s="240"/>
      <c r="G51" s="240"/>
      <c r="H51" s="551"/>
      <c r="I51" s="435"/>
      <c r="J51" s="239"/>
      <c r="K51" s="435"/>
      <c r="L51" s="239"/>
      <c r="M51" s="560"/>
      <c r="N51" s="435"/>
      <c r="O51" s="239"/>
      <c r="P51" s="239"/>
      <c r="Q51" s="435"/>
      <c r="R51" s="239"/>
      <c r="S51" s="239"/>
      <c r="T51" s="435"/>
      <c r="U51" s="239"/>
      <c r="V51" s="434"/>
    </row>
    <row r="52" spans="1:22" ht="15">
      <c r="A52" s="437"/>
      <c r="B52" s="243"/>
      <c r="C52" s="244" t="s">
        <v>168</v>
      </c>
      <c r="D52" s="241"/>
      <c r="E52" s="241"/>
      <c r="F52" s="241"/>
      <c r="G52" s="241"/>
      <c r="H52" s="242" t="s">
        <v>172</v>
      </c>
      <c r="I52" s="424">
        <f>'Budget-ADA'!I52</f>
        <v>311.95999999999998</v>
      </c>
      <c r="J52" s="771"/>
      <c r="K52" s="252">
        <f>'Budget-ADA'!K52</f>
        <v>318.5</v>
      </c>
      <c r="L52" s="771"/>
      <c r="M52" s="248">
        <f>'Budget-ADA'!M52</f>
        <v>2.096422618284402E-2</v>
      </c>
      <c r="N52" s="246"/>
      <c r="O52" s="771"/>
      <c r="P52" s="247" t="str">
        <f t="shared" ref="P52:P62" si="9">IF(K52&lt;1," ",IF(N52&lt;1," ",(N52-K52)/K52))</f>
        <v xml:space="preserve"> </v>
      </c>
      <c r="Q52" s="246"/>
      <c r="R52" s="771"/>
      <c r="S52" s="247" t="str">
        <f t="shared" ref="S52:S62" si="10">IF(N52&lt;1," ",IF(Q52&lt;1," ",(Q52-N52)/N52))</f>
        <v xml:space="preserve"> </v>
      </c>
      <c r="T52" s="246"/>
      <c r="U52" s="771"/>
      <c r="V52" s="249" t="str">
        <f t="shared" ref="V52:V62" si="11">IF(Q52&lt;1," ",IF(T52&lt;1," ",(T52-Q52)/Q52))</f>
        <v xml:space="preserve"> </v>
      </c>
    </row>
    <row r="53" spans="1:22" ht="15">
      <c r="A53" s="41"/>
      <c r="B53" s="243"/>
      <c r="C53" s="139" t="s">
        <v>181</v>
      </c>
      <c r="D53" s="241"/>
      <c r="E53" s="241"/>
      <c r="F53" s="241"/>
      <c r="G53" s="241"/>
      <c r="H53" s="242" t="s">
        <v>173</v>
      </c>
      <c r="I53" s="424">
        <f>'Budget-ADA'!I53</f>
        <v>311.95999999999998</v>
      </c>
      <c r="J53" s="648"/>
      <c r="K53" s="252">
        <f>'Budget-ADA'!K53</f>
        <v>318.5</v>
      </c>
      <c r="L53" s="648"/>
      <c r="M53" s="248">
        <f>'Budget-ADA'!M53</f>
        <v>2.096422618284402E-2</v>
      </c>
      <c r="N53" s="246"/>
      <c r="O53" s="648"/>
      <c r="P53" s="247" t="str">
        <f t="shared" si="9"/>
        <v xml:space="preserve"> </v>
      </c>
      <c r="Q53" s="246"/>
      <c r="R53" s="648"/>
      <c r="S53" s="247" t="str">
        <f t="shared" si="10"/>
        <v xml:space="preserve"> </v>
      </c>
      <c r="T53" s="246"/>
      <c r="U53" s="648"/>
      <c r="V53" s="249" t="str">
        <f t="shared" si="11"/>
        <v xml:space="preserve"> </v>
      </c>
    </row>
    <row r="54" spans="1:22" ht="15">
      <c r="A54" s="41"/>
      <c r="B54" s="243"/>
      <c r="C54" s="244" t="s">
        <v>169</v>
      </c>
      <c r="D54" s="241"/>
      <c r="E54" s="241"/>
      <c r="F54" s="241"/>
      <c r="G54" s="241"/>
      <c r="H54" s="242" t="s">
        <v>174</v>
      </c>
      <c r="I54" s="424">
        <f>'Budget-ADA'!I54</f>
        <v>0</v>
      </c>
      <c r="J54" s="648"/>
      <c r="K54" s="252">
        <f>'Budget-ADA'!K54</f>
        <v>0</v>
      </c>
      <c r="L54" s="648"/>
      <c r="M54" s="248" t="str">
        <f>'Budget-ADA'!M54</f>
        <v xml:space="preserve"> </v>
      </c>
      <c r="N54" s="246"/>
      <c r="O54" s="648"/>
      <c r="P54" s="247" t="str">
        <f t="shared" si="9"/>
        <v xml:space="preserve"> </v>
      </c>
      <c r="Q54" s="246"/>
      <c r="R54" s="648"/>
      <c r="S54" s="247" t="str">
        <f t="shared" si="10"/>
        <v xml:space="preserve"> </v>
      </c>
      <c r="T54" s="246"/>
      <c r="U54" s="648"/>
      <c r="V54" s="249" t="str">
        <f t="shared" si="11"/>
        <v xml:space="preserve"> </v>
      </c>
    </row>
    <row r="55" spans="1:22" ht="15">
      <c r="A55" s="41"/>
      <c r="B55" s="243"/>
      <c r="C55" s="139" t="s">
        <v>182</v>
      </c>
      <c r="D55" s="241"/>
      <c r="E55" s="241"/>
      <c r="F55" s="241"/>
      <c r="G55" s="241"/>
      <c r="H55" s="242" t="s">
        <v>175</v>
      </c>
      <c r="I55" s="424">
        <f>'Budget-ADA'!I55</f>
        <v>0</v>
      </c>
      <c r="J55" s="648"/>
      <c r="K55" s="252">
        <f>'Budget-ADA'!K55</f>
        <v>0</v>
      </c>
      <c r="L55" s="648"/>
      <c r="M55" s="248" t="str">
        <f>'Budget-ADA'!M55</f>
        <v xml:space="preserve"> </v>
      </c>
      <c r="N55" s="246"/>
      <c r="O55" s="648"/>
      <c r="P55" s="247" t="str">
        <f t="shared" si="9"/>
        <v xml:space="preserve"> </v>
      </c>
      <c r="Q55" s="246"/>
      <c r="R55" s="648"/>
      <c r="S55" s="247" t="str">
        <f t="shared" si="10"/>
        <v xml:space="preserve"> </v>
      </c>
      <c r="T55" s="246"/>
      <c r="U55" s="648"/>
      <c r="V55" s="249" t="str">
        <f t="shared" si="11"/>
        <v xml:space="preserve"> </v>
      </c>
    </row>
    <row r="56" spans="1:22" ht="15">
      <c r="A56" s="41"/>
      <c r="B56" s="243"/>
      <c r="C56" s="244" t="s">
        <v>170</v>
      </c>
      <c r="D56" s="241"/>
      <c r="E56" s="241"/>
      <c r="F56" s="241"/>
      <c r="G56" s="241"/>
      <c r="H56" s="242" t="s">
        <v>176</v>
      </c>
      <c r="I56" s="424">
        <f>'Budget-ADA'!I56</f>
        <v>0</v>
      </c>
      <c r="J56" s="648"/>
      <c r="K56" s="252">
        <f>'Budget-ADA'!K56</f>
        <v>0</v>
      </c>
      <c r="L56" s="648"/>
      <c r="M56" s="248" t="str">
        <f>'Budget-ADA'!M56</f>
        <v xml:space="preserve"> </v>
      </c>
      <c r="N56" s="246"/>
      <c r="O56" s="648"/>
      <c r="P56" s="247" t="str">
        <f t="shared" si="9"/>
        <v xml:space="preserve"> </v>
      </c>
      <c r="Q56" s="246"/>
      <c r="R56" s="648"/>
      <c r="S56" s="247" t="str">
        <f t="shared" si="10"/>
        <v xml:space="preserve"> </v>
      </c>
      <c r="T56" s="246"/>
      <c r="U56" s="648"/>
      <c r="V56" s="249" t="str">
        <f t="shared" si="11"/>
        <v xml:space="preserve"> </v>
      </c>
    </row>
    <row r="57" spans="1:22" ht="15">
      <c r="A57" s="41"/>
      <c r="B57" s="243"/>
      <c r="C57" s="139" t="s">
        <v>183</v>
      </c>
      <c r="D57" s="241"/>
      <c r="E57" s="241"/>
      <c r="F57" s="241"/>
      <c r="G57" s="241"/>
      <c r="H57" s="242" t="s">
        <v>187</v>
      </c>
      <c r="I57" s="424">
        <f>'Budget-ADA'!I57</f>
        <v>0</v>
      </c>
      <c r="J57" s="648"/>
      <c r="K57" s="252">
        <f>'Budget-ADA'!K57</f>
        <v>0</v>
      </c>
      <c r="L57" s="648"/>
      <c r="M57" s="248" t="str">
        <f>'Budget-ADA'!M57</f>
        <v xml:space="preserve"> </v>
      </c>
      <c r="N57" s="246"/>
      <c r="O57" s="648"/>
      <c r="P57" s="247" t="str">
        <f t="shared" si="9"/>
        <v xml:space="preserve"> </v>
      </c>
      <c r="Q57" s="246"/>
      <c r="R57" s="648"/>
      <c r="S57" s="247" t="str">
        <f t="shared" si="10"/>
        <v xml:space="preserve"> </v>
      </c>
      <c r="T57" s="246"/>
      <c r="U57" s="648"/>
      <c r="V57" s="249" t="str">
        <f t="shared" si="11"/>
        <v xml:space="preserve"> </v>
      </c>
    </row>
    <row r="58" spans="1:22" ht="15">
      <c r="A58" s="41"/>
      <c r="B58" s="243"/>
      <c r="C58" s="244" t="s">
        <v>184</v>
      </c>
      <c r="D58" s="241"/>
      <c r="E58" s="241"/>
      <c r="F58" s="241"/>
      <c r="G58" s="241"/>
      <c r="H58" s="242" t="s">
        <v>188</v>
      </c>
      <c r="I58" s="424">
        <f>'Budget-ADA'!I58</f>
        <v>0</v>
      </c>
      <c r="J58" s="648"/>
      <c r="K58" s="252">
        <f>'Budget-ADA'!K58</f>
        <v>0</v>
      </c>
      <c r="L58" s="648"/>
      <c r="M58" s="248" t="str">
        <f>'Budget-ADA'!M58</f>
        <v xml:space="preserve"> </v>
      </c>
      <c r="N58" s="246"/>
      <c r="O58" s="648"/>
      <c r="P58" s="247" t="str">
        <f t="shared" si="9"/>
        <v xml:space="preserve"> </v>
      </c>
      <c r="Q58" s="246"/>
      <c r="R58" s="648"/>
      <c r="S58" s="247" t="str">
        <f t="shared" si="10"/>
        <v xml:space="preserve"> </v>
      </c>
      <c r="T58" s="246"/>
      <c r="U58" s="648"/>
      <c r="V58" s="249" t="str">
        <f t="shared" si="11"/>
        <v xml:space="preserve"> </v>
      </c>
    </row>
    <row r="59" spans="1:22" ht="15">
      <c r="A59" s="41"/>
      <c r="B59" s="243"/>
      <c r="C59" s="139" t="s">
        <v>185</v>
      </c>
      <c r="D59" s="241"/>
      <c r="E59" s="241"/>
      <c r="F59" s="241"/>
      <c r="G59" s="241"/>
      <c r="H59" s="242" t="s">
        <v>189</v>
      </c>
      <c r="I59" s="424">
        <f>'Budget-ADA'!I59</f>
        <v>0</v>
      </c>
      <c r="J59" s="648"/>
      <c r="K59" s="252">
        <f>'Budget-ADA'!K59</f>
        <v>0</v>
      </c>
      <c r="L59" s="648"/>
      <c r="M59" s="248" t="str">
        <f>'Budget-ADA'!M59</f>
        <v xml:space="preserve"> </v>
      </c>
      <c r="N59" s="246"/>
      <c r="O59" s="648"/>
      <c r="P59" s="247" t="str">
        <f t="shared" si="9"/>
        <v xml:space="preserve"> </v>
      </c>
      <c r="Q59" s="246"/>
      <c r="R59" s="648"/>
      <c r="S59" s="247" t="str">
        <f t="shared" si="10"/>
        <v xml:space="preserve"> </v>
      </c>
      <c r="T59" s="246"/>
      <c r="U59" s="648"/>
      <c r="V59" s="249" t="str">
        <f t="shared" si="11"/>
        <v xml:space="preserve"> </v>
      </c>
    </row>
    <row r="60" spans="1:22" ht="18.75" customHeight="1">
      <c r="A60" s="67"/>
      <c r="B60" s="1679" t="s">
        <v>358</v>
      </c>
      <c r="C60" s="1680"/>
      <c r="D60" s="1680"/>
      <c r="E60" s="1680"/>
      <c r="F60" s="1680"/>
      <c r="G60" s="1681"/>
      <c r="H60" s="242" t="s">
        <v>190</v>
      </c>
      <c r="I60" s="424">
        <f>'Budget-ADA'!I60</f>
        <v>311.95999999999998</v>
      </c>
      <c r="J60" s="251">
        <f>IF(('Budget-ADA'!J60="Cell G10 CANNOT be blank"), "Missing Data, BUDGET-ADA Tab, cell G10",'Budget-ADA'!J60)</f>
        <v>0</v>
      </c>
      <c r="K60" s="252">
        <f>'Budget-ADA'!K60</f>
        <v>318.5</v>
      </c>
      <c r="L60" s="439">
        <f>IF(('Budget-ADA'!L60="Cell G10 CANNOT be blank"), "Missing Data, BUDGET-ADA Tab, cell G10",'Budget-ADA'!L60)</f>
        <v>0</v>
      </c>
      <c r="M60" s="438">
        <f>'Budget-ADA'!M60</f>
        <v>2.096422618284402E-2</v>
      </c>
      <c r="N60" s="250">
        <f>N52+N54+N56+N58</f>
        <v>0</v>
      </c>
      <c r="O60" s="648"/>
      <c r="P60" s="248" t="str">
        <f t="shared" si="9"/>
        <v xml:space="preserve"> </v>
      </c>
      <c r="Q60" s="250">
        <f>Q52+Q54+Q56+Q58</f>
        <v>0</v>
      </c>
      <c r="R60" s="648"/>
      <c r="S60" s="248" t="str">
        <f t="shared" si="10"/>
        <v xml:space="preserve"> </v>
      </c>
      <c r="T60" s="250">
        <f>T52+T54+T56+T58</f>
        <v>0</v>
      </c>
      <c r="U60" s="648"/>
      <c r="V60" s="431" t="str">
        <f t="shared" si="11"/>
        <v xml:space="preserve"> </v>
      </c>
    </row>
    <row r="61" spans="1:22" ht="15">
      <c r="A61" s="67"/>
      <c r="B61" s="1679" t="s">
        <v>359</v>
      </c>
      <c r="C61" s="1680"/>
      <c r="D61" s="1680"/>
      <c r="E61" s="1680"/>
      <c r="F61" s="1680"/>
      <c r="G61" s="1681"/>
      <c r="H61" s="242" t="s">
        <v>191</v>
      </c>
      <c r="I61" s="424">
        <f>'Budget-ADA'!I61</f>
        <v>311.95999999999998</v>
      </c>
      <c r="J61" s="251">
        <f>'Budget-ADA'!J61</f>
        <v>311.95999999999998</v>
      </c>
      <c r="K61" s="252">
        <f>'Budget-ADA'!K61</f>
        <v>318.5</v>
      </c>
      <c r="L61" s="439">
        <f>'Budget-ADA'!L61</f>
        <v>318.5</v>
      </c>
      <c r="M61" s="438">
        <f>'Budget-ADA'!M61</f>
        <v>2.096422618284402E-2</v>
      </c>
      <c r="N61" s="250">
        <f>N53+N55+N57+N59</f>
        <v>0</v>
      </c>
      <c r="O61" s="439">
        <f>N61</f>
        <v>0</v>
      </c>
      <c r="P61" s="248" t="str">
        <f t="shared" si="9"/>
        <v xml:space="preserve"> </v>
      </c>
      <c r="Q61" s="250">
        <f>Q53+Q55+Q57+Q59</f>
        <v>0</v>
      </c>
      <c r="R61" s="439">
        <f>Q61</f>
        <v>0</v>
      </c>
      <c r="S61" s="248" t="str">
        <f t="shared" si="10"/>
        <v xml:space="preserve"> </v>
      </c>
      <c r="T61" s="250">
        <f>T53+T55+T57+T59</f>
        <v>0</v>
      </c>
      <c r="U61" s="439">
        <f>T61</f>
        <v>0</v>
      </c>
      <c r="V61" s="431" t="str">
        <f t="shared" si="11"/>
        <v xml:space="preserve"> </v>
      </c>
    </row>
    <row r="62" spans="1:22" ht="47.25" customHeight="1">
      <c r="A62" s="67"/>
      <c r="B62" s="1679" t="s">
        <v>356</v>
      </c>
      <c r="C62" s="1680"/>
      <c r="D62" s="1680"/>
      <c r="E62" s="1680"/>
      <c r="F62" s="1680"/>
      <c r="G62" s="1681"/>
      <c r="H62" s="242" t="s">
        <v>355</v>
      </c>
      <c r="I62" s="424">
        <f>'Budget-ADA'!I62</f>
        <v>0</v>
      </c>
      <c r="J62" s="439">
        <f>'Budget-ADA'!J62</f>
        <v>0</v>
      </c>
      <c r="K62" s="252">
        <f>'Budget-ADA'!K62</f>
        <v>0</v>
      </c>
      <c r="L62" s="439">
        <f>'Budget-ADA'!L62</f>
        <v>0</v>
      </c>
      <c r="M62" s="248" t="str">
        <f>'Budget-ADA'!M62</f>
        <v xml:space="preserve"> </v>
      </c>
      <c r="N62" s="250">
        <f>N60-N61</f>
        <v>0</v>
      </c>
      <c r="O62" s="439" t="str">
        <f>IF($G$10="","Cell G10 CANNOT be blank",N62*$G$10)</f>
        <v>Cell G10 CANNOT be blank</v>
      </c>
      <c r="P62" s="248" t="str">
        <f t="shared" si="9"/>
        <v xml:space="preserve"> </v>
      </c>
      <c r="Q62" s="252">
        <f>Q60-Q61</f>
        <v>0</v>
      </c>
      <c r="R62" s="439" t="str">
        <f>IF($G$10="","Cell G10 CANNOT be blank",Q62*$G$10)</f>
        <v>Cell G10 CANNOT be blank</v>
      </c>
      <c r="S62" s="248" t="str">
        <f t="shared" si="10"/>
        <v xml:space="preserve"> </v>
      </c>
      <c r="T62" s="252">
        <f>T60-T61</f>
        <v>0</v>
      </c>
      <c r="U62" s="439" t="str">
        <f>IF($G$10="","Cell G10 CANNOT be blank",T62*$G$10)</f>
        <v>Cell G10 CANNOT be blank</v>
      </c>
      <c r="V62" s="431" t="str">
        <f t="shared" si="11"/>
        <v xml:space="preserve"> </v>
      </c>
    </row>
    <row r="63" spans="1:22" ht="15">
      <c r="A63" s="41"/>
      <c r="B63" s="432"/>
      <c r="C63" s="432"/>
      <c r="D63" s="432"/>
      <c r="E63" s="432"/>
      <c r="F63" s="432"/>
      <c r="G63" s="432"/>
      <c r="H63" s="552"/>
      <c r="I63" s="90"/>
      <c r="J63" s="38"/>
      <c r="K63" s="90"/>
      <c r="L63" s="38"/>
      <c r="M63" s="561"/>
      <c r="N63" s="90"/>
      <c r="O63" s="38"/>
      <c r="P63" s="38"/>
      <c r="Q63" s="90"/>
      <c r="R63" s="38"/>
      <c r="S63" s="38"/>
      <c r="T63" s="90"/>
      <c r="U63" s="38"/>
      <c r="V63" s="234"/>
    </row>
    <row r="64" spans="1:22" ht="15">
      <c r="A64" s="106" t="s">
        <v>180</v>
      </c>
      <c r="C64" s="239"/>
      <c r="D64" s="240"/>
      <c r="E64" s="240"/>
      <c r="F64" s="240"/>
      <c r="G64" s="240"/>
      <c r="H64" s="551"/>
      <c r="I64" s="435"/>
      <c r="J64" s="239"/>
      <c r="K64" s="435"/>
      <c r="L64" s="239"/>
      <c r="M64" s="560"/>
      <c r="N64" s="435"/>
      <c r="O64" s="239"/>
      <c r="P64" s="239"/>
      <c r="Q64" s="435"/>
      <c r="R64" s="239"/>
      <c r="S64" s="239"/>
      <c r="T64" s="435"/>
      <c r="U64" s="239"/>
      <c r="V64" s="434"/>
    </row>
    <row r="65" spans="1:22" ht="15">
      <c r="A65" s="437"/>
      <c r="B65" s="243"/>
      <c r="C65" s="244" t="s">
        <v>168</v>
      </c>
      <c r="D65" s="241"/>
      <c r="E65" s="241"/>
      <c r="F65" s="241"/>
      <c r="G65" s="241"/>
      <c r="H65" s="242" t="s">
        <v>172</v>
      </c>
      <c r="I65" s="424">
        <f>'Budget-ADA'!I65</f>
        <v>504.33</v>
      </c>
      <c r="J65" s="771"/>
      <c r="K65" s="252">
        <f>'Budget-ADA'!K65</f>
        <v>500.5</v>
      </c>
      <c r="L65" s="771"/>
      <c r="M65" s="248">
        <f>'Budget-ADA'!M65</f>
        <v>-7.5942339341303995E-3</v>
      </c>
      <c r="N65" s="252">
        <f t="shared" ref="N65:N72" si="12">N12+N26+N39+N52</f>
        <v>0</v>
      </c>
      <c r="O65" s="771"/>
      <c r="P65" s="247" t="str">
        <f t="shared" ref="P65:P75" si="13">IF(K65&lt;1," ",IF(N65&lt;1," ",(N65-K65)/K65))</f>
        <v xml:space="preserve"> </v>
      </c>
      <c r="Q65" s="252">
        <f t="shared" ref="Q65:Q72" si="14">Q12+Q26+Q39+Q52</f>
        <v>0</v>
      </c>
      <c r="R65" s="771"/>
      <c r="S65" s="247" t="str">
        <f t="shared" ref="S65:S75" si="15">IF(N65&lt;1," ",IF(Q65&lt;1," ",(Q65-N65)/N65))</f>
        <v xml:space="preserve"> </v>
      </c>
      <c r="T65" s="252">
        <f t="shared" ref="T65:T72" si="16">T12+T26+T39+T52</f>
        <v>0</v>
      </c>
      <c r="U65" s="771"/>
      <c r="V65" s="249" t="str">
        <f t="shared" ref="V65:V75" si="17">IF(Q65&lt;1," ",IF(T65&lt;1," ",(T65-Q65)/Q65))</f>
        <v xml:space="preserve"> </v>
      </c>
    </row>
    <row r="66" spans="1:22" ht="15">
      <c r="A66" s="41"/>
      <c r="B66" s="243"/>
      <c r="C66" s="139" t="s">
        <v>181</v>
      </c>
      <c r="D66" s="241"/>
      <c r="E66" s="241"/>
      <c r="F66" s="241"/>
      <c r="G66" s="241"/>
      <c r="H66" s="242" t="s">
        <v>173</v>
      </c>
      <c r="I66" s="424">
        <f>'Budget-ADA'!I66</f>
        <v>504.33</v>
      </c>
      <c r="J66" s="648"/>
      <c r="K66" s="252">
        <f>'Budget-ADA'!K66</f>
        <v>500.5</v>
      </c>
      <c r="L66" s="648"/>
      <c r="M66" s="248">
        <f>'Budget-ADA'!M66</f>
        <v>-7.5942339341303995E-3</v>
      </c>
      <c r="N66" s="252">
        <f t="shared" si="12"/>
        <v>0</v>
      </c>
      <c r="O66" s="648"/>
      <c r="P66" s="247" t="str">
        <f t="shared" si="13"/>
        <v xml:space="preserve"> </v>
      </c>
      <c r="Q66" s="252">
        <f t="shared" si="14"/>
        <v>0</v>
      </c>
      <c r="R66" s="648"/>
      <c r="S66" s="247" t="str">
        <f t="shared" si="15"/>
        <v xml:space="preserve"> </v>
      </c>
      <c r="T66" s="252">
        <f t="shared" si="16"/>
        <v>0</v>
      </c>
      <c r="U66" s="648"/>
      <c r="V66" s="249" t="str">
        <f t="shared" si="17"/>
        <v xml:space="preserve"> </v>
      </c>
    </row>
    <row r="67" spans="1:22" ht="15">
      <c r="A67" s="41"/>
      <c r="B67" s="243"/>
      <c r="C67" s="244" t="s">
        <v>169</v>
      </c>
      <c r="D67" s="241"/>
      <c r="E67" s="241"/>
      <c r="F67" s="241"/>
      <c r="G67" s="241"/>
      <c r="H67" s="242" t="s">
        <v>174</v>
      </c>
      <c r="I67" s="424">
        <f>'Budget-ADA'!I67</f>
        <v>0</v>
      </c>
      <c r="J67" s="648"/>
      <c r="K67" s="252">
        <f>'Budget-ADA'!K67</f>
        <v>0</v>
      </c>
      <c r="L67" s="648"/>
      <c r="M67" s="248" t="str">
        <f>'Budget-ADA'!M67</f>
        <v xml:space="preserve"> </v>
      </c>
      <c r="N67" s="252">
        <f t="shared" si="12"/>
        <v>0</v>
      </c>
      <c r="O67" s="648"/>
      <c r="P67" s="247" t="str">
        <f t="shared" si="13"/>
        <v xml:space="preserve"> </v>
      </c>
      <c r="Q67" s="252">
        <f t="shared" si="14"/>
        <v>0</v>
      </c>
      <c r="R67" s="648"/>
      <c r="S67" s="247" t="str">
        <f t="shared" si="15"/>
        <v xml:space="preserve"> </v>
      </c>
      <c r="T67" s="252">
        <f t="shared" si="16"/>
        <v>0</v>
      </c>
      <c r="U67" s="648"/>
      <c r="V67" s="249" t="str">
        <f t="shared" si="17"/>
        <v xml:space="preserve"> </v>
      </c>
    </row>
    <row r="68" spans="1:22" ht="15">
      <c r="A68" s="41"/>
      <c r="B68" s="243"/>
      <c r="C68" s="139" t="s">
        <v>182</v>
      </c>
      <c r="D68" s="241"/>
      <c r="E68" s="241"/>
      <c r="F68" s="241"/>
      <c r="G68" s="241"/>
      <c r="H68" s="242" t="s">
        <v>175</v>
      </c>
      <c r="I68" s="424">
        <f>'Budget-ADA'!I68</f>
        <v>0</v>
      </c>
      <c r="J68" s="648"/>
      <c r="K68" s="252">
        <f>'Budget-ADA'!K68</f>
        <v>0</v>
      </c>
      <c r="L68" s="648"/>
      <c r="M68" s="248" t="str">
        <f>'Budget-ADA'!M68</f>
        <v xml:space="preserve"> </v>
      </c>
      <c r="N68" s="252">
        <f t="shared" si="12"/>
        <v>0</v>
      </c>
      <c r="O68" s="648"/>
      <c r="P68" s="247" t="str">
        <f t="shared" si="13"/>
        <v xml:space="preserve"> </v>
      </c>
      <c r="Q68" s="252">
        <f t="shared" si="14"/>
        <v>0</v>
      </c>
      <c r="R68" s="648"/>
      <c r="S68" s="247" t="str">
        <f t="shared" si="15"/>
        <v xml:space="preserve"> </v>
      </c>
      <c r="T68" s="252">
        <f t="shared" si="16"/>
        <v>0</v>
      </c>
      <c r="U68" s="648"/>
      <c r="V68" s="249" t="str">
        <f t="shared" si="17"/>
        <v xml:space="preserve"> </v>
      </c>
    </row>
    <row r="69" spans="1:22" ht="15">
      <c r="A69" s="41"/>
      <c r="B69" s="243"/>
      <c r="C69" s="244" t="s">
        <v>170</v>
      </c>
      <c r="D69" s="241"/>
      <c r="E69" s="241"/>
      <c r="F69" s="241"/>
      <c r="G69" s="241"/>
      <c r="H69" s="242" t="s">
        <v>176</v>
      </c>
      <c r="I69" s="424">
        <f>'Budget-ADA'!I69</f>
        <v>0</v>
      </c>
      <c r="J69" s="648"/>
      <c r="K69" s="252">
        <f>'Budget-ADA'!K69</f>
        <v>0</v>
      </c>
      <c r="L69" s="648"/>
      <c r="M69" s="248" t="str">
        <f>'Budget-ADA'!M69</f>
        <v xml:space="preserve"> </v>
      </c>
      <c r="N69" s="252">
        <f t="shared" si="12"/>
        <v>0</v>
      </c>
      <c r="O69" s="648"/>
      <c r="P69" s="247" t="str">
        <f t="shared" si="13"/>
        <v xml:space="preserve"> </v>
      </c>
      <c r="Q69" s="252">
        <f t="shared" si="14"/>
        <v>0</v>
      </c>
      <c r="R69" s="648"/>
      <c r="S69" s="247" t="str">
        <f t="shared" si="15"/>
        <v xml:space="preserve"> </v>
      </c>
      <c r="T69" s="252">
        <f t="shared" si="16"/>
        <v>0</v>
      </c>
      <c r="U69" s="648"/>
      <c r="V69" s="249" t="str">
        <f t="shared" si="17"/>
        <v xml:space="preserve"> </v>
      </c>
    </row>
    <row r="70" spans="1:22" ht="15">
      <c r="A70" s="106"/>
      <c r="B70" s="243"/>
      <c r="C70" s="139" t="s">
        <v>183</v>
      </c>
      <c r="D70" s="241"/>
      <c r="E70" s="241"/>
      <c r="F70" s="241"/>
      <c r="G70" s="241"/>
      <c r="H70" s="242" t="s">
        <v>187</v>
      </c>
      <c r="I70" s="424">
        <f>'Budget-ADA'!I70</f>
        <v>0</v>
      </c>
      <c r="J70" s="648"/>
      <c r="K70" s="252">
        <f>'Budget-ADA'!K70</f>
        <v>0</v>
      </c>
      <c r="L70" s="648"/>
      <c r="M70" s="248" t="str">
        <f>'Budget-ADA'!M70</f>
        <v xml:space="preserve"> </v>
      </c>
      <c r="N70" s="252">
        <f t="shared" si="12"/>
        <v>0</v>
      </c>
      <c r="O70" s="648"/>
      <c r="P70" s="247" t="str">
        <f t="shared" si="13"/>
        <v xml:space="preserve"> </v>
      </c>
      <c r="Q70" s="252">
        <f t="shared" si="14"/>
        <v>0</v>
      </c>
      <c r="R70" s="648"/>
      <c r="S70" s="247" t="str">
        <f t="shared" si="15"/>
        <v xml:space="preserve"> </v>
      </c>
      <c r="T70" s="252">
        <f t="shared" si="16"/>
        <v>0</v>
      </c>
      <c r="U70" s="648"/>
      <c r="V70" s="249" t="str">
        <f t="shared" si="17"/>
        <v xml:space="preserve"> </v>
      </c>
    </row>
    <row r="71" spans="1:22" ht="15">
      <c r="A71" s="106"/>
      <c r="B71" s="243"/>
      <c r="C71" s="244" t="s">
        <v>184</v>
      </c>
      <c r="D71" s="241"/>
      <c r="E71" s="241"/>
      <c r="F71" s="241"/>
      <c r="G71" s="241"/>
      <c r="H71" s="242" t="s">
        <v>188</v>
      </c>
      <c r="I71" s="424">
        <f>'Budget-ADA'!I71</f>
        <v>0</v>
      </c>
      <c r="J71" s="648"/>
      <c r="K71" s="252">
        <f>'Budget-ADA'!K71</f>
        <v>0</v>
      </c>
      <c r="L71" s="648"/>
      <c r="M71" s="248" t="str">
        <f>'Budget-ADA'!M71</f>
        <v xml:space="preserve"> </v>
      </c>
      <c r="N71" s="252">
        <f t="shared" si="12"/>
        <v>0</v>
      </c>
      <c r="O71" s="648"/>
      <c r="P71" s="247" t="str">
        <f t="shared" si="13"/>
        <v xml:space="preserve"> </v>
      </c>
      <c r="Q71" s="252">
        <f t="shared" si="14"/>
        <v>0</v>
      </c>
      <c r="R71" s="648"/>
      <c r="S71" s="247" t="str">
        <f t="shared" si="15"/>
        <v xml:space="preserve"> </v>
      </c>
      <c r="T71" s="252">
        <f t="shared" si="16"/>
        <v>0</v>
      </c>
      <c r="U71" s="648"/>
      <c r="V71" s="249" t="str">
        <f t="shared" si="17"/>
        <v xml:space="preserve"> </v>
      </c>
    </row>
    <row r="72" spans="1:22" ht="15">
      <c r="A72" s="106"/>
      <c r="B72" s="243"/>
      <c r="C72" s="139" t="s">
        <v>185</v>
      </c>
      <c r="D72" s="241"/>
      <c r="E72" s="241"/>
      <c r="F72" s="241"/>
      <c r="G72" s="241"/>
      <c r="H72" s="242" t="s">
        <v>189</v>
      </c>
      <c r="I72" s="424">
        <f>'Budget-ADA'!I72</f>
        <v>0</v>
      </c>
      <c r="J72" s="648"/>
      <c r="K72" s="252">
        <f>'Budget-ADA'!K72</f>
        <v>0</v>
      </c>
      <c r="L72" s="648"/>
      <c r="M72" s="438" t="str">
        <f>'Budget-ADA'!M72</f>
        <v xml:space="preserve"> </v>
      </c>
      <c r="N72" s="252">
        <f t="shared" si="12"/>
        <v>0</v>
      </c>
      <c r="O72" s="648"/>
      <c r="P72" s="247" t="str">
        <f t="shared" si="13"/>
        <v xml:space="preserve"> </v>
      </c>
      <c r="Q72" s="252">
        <f t="shared" si="14"/>
        <v>0</v>
      </c>
      <c r="R72" s="648"/>
      <c r="S72" s="247" t="str">
        <f t="shared" si="15"/>
        <v xml:space="preserve"> </v>
      </c>
      <c r="T72" s="252">
        <f t="shared" si="16"/>
        <v>0</v>
      </c>
      <c r="U72" s="648"/>
      <c r="V72" s="249" t="str">
        <f t="shared" si="17"/>
        <v xml:space="preserve"> </v>
      </c>
    </row>
    <row r="73" spans="1:22" ht="18.75" customHeight="1">
      <c r="A73" s="67"/>
      <c r="B73" s="1679" t="s">
        <v>358</v>
      </c>
      <c r="C73" s="1680"/>
      <c r="D73" s="1680"/>
      <c r="E73" s="1680"/>
      <c r="F73" s="1680"/>
      <c r="G73" s="1681"/>
      <c r="H73" s="242" t="s">
        <v>190</v>
      </c>
      <c r="I73" s="424">
        <f>'Budget-ADA'!I73</f>
        <v>504.33</v>
      </c>
      <c r="J73" s="251">
        <f>IF(('Budget-ADA'!J73="Cell G10 CANNOT be blank"), "Missing Data, BUDGET-ADA Tab, cell G10",'Budget-ADA'!J73)</f>
        <v>0</v>
      </c>
      <c r="K73" s="252">
        <f>'Budget-ADA'!K73</f>
        <v>500.5</v>
      </c>
      <c r="L73" s="439">
        <f>IF(('Budget-ADA'!L73="Cell G10 CANNOT be blank"), "Missing Data, BUDGET-ADA Tab, cell G10",'Budget-ADA'!L73)</f>
        <v>0</v>
      </c>
      <c r="M73" s="438">
        <f>'Budget-ADA'!M73</f>
        <v>-7.5942339341303995E-3</v>
      </c>
      <c r="N73" s="250">
        <f>N65+N67+N69+N71</f>
        <v>0</v>
      </c>
      <c r="O73" s="648"/>
      <c r="P73" s="248" t="str">
        <f t="shared" si="13"/>
        <v xml:space="preserve"> </v>
      </c>
      <c r="Q73" s="250">
        <f>Q65+Q67+Q69+Q71</f>
        <v>0</v>
      </c>
      <c r="R73" s="648"/>
      <c r="S73" s="248" t="str">
        <f t="shared" si="15"/>
        <v xml:space="preserve"> </v>
      </c>
      <c r="T73" s="250">
        <f>T65+T67+T69+T71</f>
        <v>0</v>
      </c>
      <c r="U73" s="648"/>
      <c r="V73" s="431" t="str">
        <f t="shared" si="17"/>
        <v xml:space="preserve"> </v>
      </c>
    </row>
    <row r="74" spans="1:22" ht="15">
      <c r="A74" s="67"/>
      <c r="B74" s="1679" t="s">
        <v>359</v>
      </c>
      <c r="C74" s="1680"/>
      <c r="D74" s="1680"/>
      <c r="E74" s="1680"/>
      <c r="F74" s="1680"/>
      <c r="G74" s="1681"/>
      <c r="H74" s="242" t="s">
        <v>191</v>
      </c>
      <c r="I74" s="424">
        <f>'Budget-ADA'!I74</f>
        <v>504.33</v>
      </c>
      <c r="J74" s="251">
        <f>'Budget-ADA'!J74</f>
        <v>504.33</v>
      </c>
      <c r="K74" s="252">
        <f>'Budget-ADA'!K74</f>
        <v>500.5</v>
      </c>
      <c r="L74" s="439">
        <f>'Budget-ADA'!L74</f>
        <v>500.5</v>
      </c>
      <c r="M74" s="438">
        <f>'Budget-ADA'!M74</f>
        <v>-7.5942339341303995E-3</v>
      </c>
      <c r="N74" s="250">
        <f>N66+N68+N70+N72</f>
        <v>0</v>
      </c>
      <c r="O74" s="439">
        <f>N74</f>
        <v>0</v>
      </c>
      <c r="P74" s="248" t="str">
        <f t="shared" si="13"/>
        <v xml:space="preserve"> </v>
      </c>
      <c r="Q74" s="250">
        <f>Q66+Q68+Q70+Q72</f>
        <v>0</v>
      </c>
      <c r="R74" s="439">
        <f>Q74</f>
        <v>0</v>
      </c>
      <c r="S74" s="248" t="str">
        <f t="shared" si="15"/>
        <v xml:space="preserve"> </v>
      </c>
      <c r="T74" s="250">
        <f>T66+T68+T70+T72</f>
        <v>0</v>
      </c>
      <c r="U74" s="439">
        <f>T74</f>
        <v>0</v>
      </c>
      <c r="V74" s="431" t="str">
        <f t="shared" si="17"/>
        <v xml:space="preserve"> </v>
      </c>
    </row>
    <row r="75" spans="1:22" ht="47.25" customHeight="1">
      <c r="A75" s="67"/>
      <c r="B75" s="1679" t="s">
        <v>356</v>
      </c>
      <c r="C75" s="1680"/>
      <c r="D75" s="1680"/>
      <c r="E75" s="1680"/>
      <c r="F75" s="1680"/>
      <c r="G75" s="1681"/>
      <c r="H75" s="242" t="s">
        <v>355</v>
      </c>
      <c r="I75" s="424">
        <f>'Budget-ADA'!I75</f>
        <v>0</v>
      </c>
      <c r="J75" s="439">
        <f>'Budget-ADA'!J75</f>
        <v>0</v>
      </c>
      <c r="K75" s="252">
        <f>'Budget-ADA'!K75</f>
        <v>0</v>
      </c>
      <c r="L75" s="439">
        <f>'Budget-ADA'!L75</f>
        <v>0</v>
      </c>
      <c r="M75" s="248" t="str">
        <f>'Budget-ADA'!M75</f>
        <v xml:space="preserve"> </v>
      </c>
      <c r="N75" s="250">
        <f>N73-N74</f>
        <v>0</v>
      </c>
      <c r="O75" s="439" t="str">
        <f>IF($G$10="","Cell G10 CANNOT be blank",N75*$G$10)</f>
        <v>Cell G10 CANNOT be blank</v>
      </c>
      <c r="P75" s="248" t="str">
        <f t="shared" si="13"/>
        <v xml:space="preserve"> </v>
      </c>
      <c r="Q75" s="252">
        <f>Q73-Q74</f>
        <v>0</v>
      </c>
      <c r="R75" s="439" t="str">
        <f>IF($G$10="","Cell G10 CANNOT be blank",Q75*$G$10)</f>
        <v>Cell G10 CANNOT be blank</v>
      </c>
      <c r="S75" s="248" t="str">
        <f t="shared" si="15"/>
        <v xml:space="preserve"> </v>
      </c>
      <c r="T75" s="252">
        <f>T73-T74</f>
        <v>0</v>
      </c>
      <c r="U75" s="439" t="str">
        <f>IF($G$10="","Cell G10 CANNOT be blank",T75*$G$10)</f>
        <v>Cell G10 CANNOT be blank</v>
      </c>
      <c r="V75" s="431" t="str">
        <f t="shared" si="17"/>
        <v xml:space="preserve"> </v>
      </c>
    </row>
    <row r="76" spans="1:22" ht="17.25" customHeight="1" thickBot="1">
      <c r="A76" s="236"/>
      <c r="B76" s="1682" t="s">
        <v>357</v>
      </c>
      <c r="C76" s="1683"/>
      <c r="D76" s="1683"/>
      <c r="E76" s="1683"/>
      <c r="F76" s="1683"/>
      <c r="G76" s="1684"/>
      <c r="H76" s="565"/>
      <c r="I76" s="998">
        <f>'Budget-ADA'!I76</f>
        <v>0</v>
      </c>
      <c r="J76" s="237">
        <f>'Budget-ADA'!J76</f>
        <v>504.33</v>
      </c>
      <c r="K76" s="999">
        <f>'Budget-ADA'!K76</f>
        <v>0</v>
      </c>
      <c r="L76" s="563">
        <f>'Budget-ADA'!L76</f>
        <v>500.5</v>
      </c>
      <c r="M76" s="996"/>
      <c r="N76" s="993"/>
      <c r="O76" s="995" t="e">
        <f>O74+O75</f>
        <v>#VALUE!</v>
      </c>
      <c r="P76" s="996"/>
      <c r="Q76" s="993"/>
      <c r="R76" s="995" t="e">
        <f>R74+R75</f>
        <v>#VALUE!</v>
      </c>
      <c r="S76" s="996"/>
      <c r="T76" s="993"/>
      <c r="U76" s="995" t="e">
        <f>U74+U75</f>
        <v>#VALUE!</v>
      </c>
      <c r="V76" s="997"/>
    </row>
    <row r="77" spans="1:22" ht="15">
      <c r="A77" s="38"/>
      <c r="B77" s="105"/>
      <c r="C77" s="34"/>
      <c r="D77" s="34"/>
      <c r="E77" s="34"/>
      <c r="F77" s="34"/>
      <c r="G77" s="34"/>
      <c r="H77" s="38"/>
      <c r="I77" s="224"/>
      <c r="J77" s="224"/>
      <c r="K77" s="224"/>
      <c r="L77" s="224"/>
      <c r="M77" s="224"/>
      <c r="N77" s="224"/>
      <c r="O77" s="224"/>
      <c r="P77" s="224"/>
      <c r="Q77" s="224"/>
      <c r="R77" s="224"/>
      <c r="S77" s="224"/>
      <c r="T77" s="224"/>
      <c r="U77" s="224"/>
    </row>
    <row r="78" spans="1:22" ht="21.75" customHeight="1">
      <c r="A78" s="562" t="s">
        <v>195</v>
      </c>
      <c r="B78" s="562"/>
      <c r="C78" s="224"/>
      <c r="D78" s="224"/>
      <c r="E78" s="224"/>
      <c r="F78" s="224"/>
      <c r="G78" s="224"/>
      <c r="H78" s="224"/>
      <c r="I78" s="6"/>
      <c r="J78" s="6"/>
      <c r="K78" s="6"/>
      <c r="L78" s="6"/>
      <c r="M78" s="6"/>
      <c r="N78" s="6"/>
      <c r="O78" s="6"/>
      <c r="P78" s="6"/>
      <c r="Q78" s="6"/>
      <c r="R78" s="6"/>
      <c r="S78" s="6"/>
      <c r="T78" s="6"/>
    </row>
    <row r="79" spans="1:22" ht="12.75">
      <c r="A79" s="6"/>
      <c r="B79" s="6"/>
      <c r="C79" s="6"/>
      <c r="D79" s="6"/>
      <c r="E79" s="6"/>
      <c r="F79" s="6"/>
      <c r="G79" s="6"/>
      <c r="H79" s="6"/>
      <c r="I79" s="6"/>
      <c r="J79" s="6"/>
      <c r="K79" s="6"/>
      <c r="L79" s="6"/>
      <c r="M79" s="6"/>
      <c r="N79" s="6"/>
      <c r="O79" s="6"/>
      <c r="P79" s="6"/>
      <c r="Q79" s="6"/>
      <c r="R79" s="6"/>
      <c r="S79" s="6"/>
      <c r="T79" s="6"/>
    </row>
    <row r="80" spans="1:22" ht="12.75">
      <c r="A80" s="6"/>
      <c r="B80" s="6"/>
      <c r="C80" s="6"/>
      <c r="D80" s="6"/>
      <c r="E80" s="6"/>
      <c r="F80" s="6"/>
      <c r="G80" s="6"/>
      <c r="H80" s="6"/>
      <c r="I80" s="6"/>
      <c r="J80" s="6"/>
      <c r="K80" s="6"/>
      <c r="L80" s="6"/>
      <c r="M80" s="6"/>
      <c r="N80" s="6"/>
      <c r="O80" s="6"/>
      <c r="P80" s="6"/>
      <c r="Q80" s="6"/>
      <c r="R80" s="6"/>
      <c r="S80" s="6"/>
      <c r="T80" s="6"/>
    </row>
    <row r="81" spans="1:20" ht="12.75">
      <c r="A81" s="6"/>
      <c r="B81" s="6"/>
      <c r="C81" s="6"/>
      <c r="D81" s="6"/>
      <c r="E81" s="6"/>
      <c r="F81" s="6"/>
      <c r="G81" s="6"/>
      <c r="H81" s="6"/>
      <c r="I81" s="6"/>
      <c r="J81" s="6"/>
      <c r="K81" s="6"/>
      <c r="L81" s="6"/>
      <c r="M81" s="6"/>
      <c r="N81" s="6"/>
      <c r="O81" s="6"/>
      <c r="P81" s="6"/>
      <c r="Q81" s="6"/>
      <c r="R81" s="6"/>
      <c r="S81" s="6"/>
      <c r="T81" s="6"/>
    </row>
    <row r="82" spans="1:20" ht="12.75">
      <c r="A82" s="6"/>
      <c r="B82" s="6"/>
      <c r="C82" s="6"/>
      <c r="D82" s="6"/>
      <c r="E82" s="6"/>
      <c r="F82" s="6"/>
      <c r="G82" s="6"/>
      <c r="H82" s="6"/>
      <c r="I82" s="6"/>
      <c r="J82" s="6"/>
      <c r="K82" s="6"/>
      <c r="L82" s="6"/>
      <c r="M82" s="6"/>
      <c r="N82" s="6"/>
      <c r="O82" s="6"/>
      <c r="P82" s="6"/>
      <c r="Q82" s="6"/>
      <c r="R82" s="6"/>
      <c r="S82" s="6"/>
      <c r="T82" s="6"/>
    </row>
    <row r="83" spans="1:20" ht="12.75">
      <c r="A83" s="6"/>
      <c r="B83" s="6"/>
      <c r="C83" s="6"/>
      <c r="D83" s="6"/>
      <c r="E83" s="6"/>
      <c r="F83" s="6"/>
      <c r="G83" s="6"/>
      <c r="H83" s="6"/>
      <c r="I83" s="6"/>
      <c r="J83" s="6"/>
      <c r="K83" s="6"/>
      <c r="L83" s="6"/>
      <c r="M83" s="6"/>
      <c r="N83" s="6"/>
      <c r="O83" s="6"/>
      <c r="P83" s="6"/>
      <c r="Q83" s="6"/>
      <c r="R83" s="6"/>
      <c r="S83" s="6"/>
      <c r="T83" s="6"/>
    </row>
    <row r="84" spans="1:20" ht="12.75">
      <c r="A84" s="6"/>
      <c r="B84" s="6"/>
      <c r="C84" s="6"/>
      <c r="D84" s="6"/>
      <c r="E84" s="6"/>
      <c r="F84" s="6"/>
      <c r="G84" s="6"/>
      <c r="H84" s="6"/>
      <c r="I84" s="6"/>
      <c r="J84" s="6"/>
      <c r="K84" s="6"/>
      <c r="L84" s="6"/>
      <c r="M84" s="6"/>
      <c r="N84" s="6"/>
      <c r="O84" s="6"/>
      <c r="P84" s="6"/>
      <c r="Q84" s="6"/>
      <c r="R84" s="6"/>
      <c r="S84" s="6"/>
      <c r="T84" s="6"/>
    </row>
    <row r="85" spans="1:20" ht="12.75">
      <c r="A85" s="6"/>
      <c r="B85" s="6"/>
      <c r="C85" s="6"/>
      <c r="D85" s="6"/>
      <c r="E85" s="6"/>
      <c r="F85" s="6"/>
      <c r="G85" s="6"/>
      <c r="H85" s="6"/>
      <c r="I85" s="6"/>
      <c r="J85" s="6"/>
      <c r="K85" s="6"/>
      <c r="L85" s="6"/>
      <c r="M85" s="6"/>
      <c r="N85" s="6"/>
      <c r="O85" s="6"/>
      <c r="P85" s="6"/>
      <c r="Q85" s="6"/>
      <c r="R85" s="6"/>
      <c r="S85" s="6"/>
      <c r="T85" s="6"/>
    </row>
    <row r="86" spans="1:20" ht="12.75">
      <c r="A86" s="6"/>
      <c r="B86" s="6"/>
      <c r="C86" s="6"/>
      <c r="D86" s="6"/>
      <c r="E86" s="6"/>
      <c r="F86" s="6"/>
      <c r="G86" s="6"/>
      <c r="H86" s="6"/>
      <c r="I86" s="6"/>
      <c r="J86" s="6"/>
      <c r="K86" s="6"/>
      <c r="L86" s="6"/>
      <c r="M86" s="6"/>
      <c r="N86" s="6"/>
      <c r="O86" s="6"/>
      <c r="P86" s="6"/>
      <c r="Q86" s="6"/>
      <c r="R86" s="6"/>
      <c r="S86" s="6"/>
      <c r="T86" s="6"/>
    </row>
    <row r="87" spans="1:20" ht="12.75">
      <c r="A87" s="6"/>
      <c r="B87" s="6"/>
      <c r="C87" s="6"/>
      <c r="D87" s="6"/>
      <c r="E87" s="6"/>
      <c r="F87" s="6"/>
      <c r="G87" s="6"/>
      <c r="H87" s="6"/>
      <c r="I87" s="6"/>
      <c r="J87" s="6"/>
      <c r="K87" s="6"/>
      <c r="L87" s="6"/>
      <c r="M87" s="6"/>
      <c r="N87" s="6"/>
      <c r="O87" s="6"/>
      <c r="P87" s="6"/>
      <c r="Q87" s="6"/>
      <c r="R87" s="6"/>
      <c r="S87" s="6"/>
      <c r="T87" s="6"/>
    </row>
    <row r="88" spans="1:20" ht="12.75">
      <c r="A88" s="6"/>
      <c r="B88" s="6"/>
      <c r="C88" s="6"/>
      <c r="D88" s="6"/>
      <c r="E88" s="6"/>
      <c r="F88" s="6"/>
      <c r="G88" s="6"/>
      <c r="H88" s="6"/>
    </row>
    <row r="89" spans="1:20" ht="12.75">
      <c r="A89" s="6"/>
    </row>
    <row r="90" spans="1:20" ht="12.75">
      <c r="A90" s="6"/>
    </row>
    <row r="91" spans="1:20" ht="12.75">
      <c r="A91" s="6"/>
    </row>
  </sheetData>
  <sheetProtection password="D94D" sheet="1"/>
  <mergeCells count="26">
    <mergeCell ref="V8:V9"/>
    <mergeCell ref="B23:G23"/>
    <mergeCell ref="I1:N1"/>
    <mergeCell ref="I2:N2"/>
    <mergeCell ref="A6:H6"/>
    <mergeCell ref="A7:G8"/>
    <mergeCell ref="I7:J7"/>
    <mergeCell ref="M8:M9"/>
    <mergeCell ref="P8:P9"/>
    <mergeCell ref="S8:S9"/>
    <mergeCell ref="B20:G20"/>
    <mergeCell ref="B21:G21"/>
    <mergeCell ref="B22:G22"/>
    <mergeCell ref="B34:G34"/>
    <mergeCell ref="B35:G35"/>
    <mergeCell ref="B36:G36"/>
    <mergeCell ref="B73:G73"/>
    <mergeCell ref="B74:G74"/>
    <mergeCell ref="B75:G75"/>
    <mergeCell ref="B76:G76"/>
    <mergeCell ref="B47:G47"/>
    <mergeCell ref="B48:G48"/>
    <mergeCell ref="B49:G49"/>
    <mergeCell ref="B60:G60"/>
    <mergeCell ref="B61:G61"/>
    <mergeCell ref="B62:G62"/>
  </mergeCells>
  <conditionalFormatting sqref="A7">
    <cfRule type="containsText" dxfId="118" priority="1" stopIfTrue="1" operator="containsText" text="Enter">
      <formula>NOT(ISERROR(SEARCH("Enter",A7)))</formula>
    </cfRule>
  </conditionalFormatting>
  <conditionalFormatting sqref="I1:I2">
    <cfRule type="containsText" dxfId="117" priority="371" stopIfTrue="1" operator="containsText" text="Enter">
      <formula>NOT(ISERROR(SEARCH("Enter",I1)))</formula>
    </cfRule>
  </conditionalFormatting>
  <conditionalFormatting sqref="J20:J22">
    <cfRule type="containsText" dxfId="116" priority="10" stopIfTrue="1" operator="containsText" text="Missin">
      <formula>NOT(ISERROR(SEARCH("Missin",J20)))</formula>
    </cfRule>
    <cfRule type="containsText" dxfId="115" priority="11" stopIfTrue="1" operator="containsText" text="Cell G10 CANNOT be blank">
      <formula>NOT(ISERROR(SEARCH("Cell G10 CANNOT be blank",J20)))</formula>
    </cfRule>
  </conditionalFormatting>
  <conditionalFormatting sqref="J34:J36">
    <cfRule type="containsText" dxfId="114" priority="8" stopIfTrue="1" operator="containsText" text="Missin">
      <formula>NOT(ISERROR(SEARCH("Missin",J34)))</formula>
    </cfRule>
    <cfRule type="containsText" dxfId="113" priority="9" stopIfTrue="1" operator="containsText" text="Cell G10 CANNOT be blank">
      <formula>NOT(ISERROR(SEARCH("Cell G10 CANNOT be blank",J34)))</formula>
    </cfRule>
  </conditionalFormatting>
  <conditionalFormatting sqref="J47:J49">
    <cfRule type="containsText" dxfId="112" priority="6" stopIfTrue="1" operator="containsText" text="Missin">
      <formula>NOT(ISERROR(SEARCH("Missin",J47)))</formula>
    </cfRule>
    <cfRule type="containsText" dxfId="111" priority="7" stopIfTrue="1" operator="containsText" text="Cell G10 CANNOT be blank">
      <formula>NOT(ISERROR(SEARCH("Cell G10 CANNOT be blank",J47)))</formula>
    </cfRule>
  </conditionalFormatting>
  <conditionalFormatting sqref="J60:J62">
    <cfRule type="containsText" dxfId="110" priority="4" stopIfTrue="1" operator="containsText" text="Missin">
      <formula>NOT(ISERROR(SEARCH("Missin",J60)))</formula>
    </cfRule>
    <cfRule type="containsText" dxfId="109" priority="5" stopIfTrue="1" operator="containsText" text="Cell G10 CANNOT be blank">
      <formula>NOT(ISERROR(SEARCH("Cell G10 CANNOT be blank",J60)))</formula>
    </cfRule>
  </conditionalFormatting>
  <conditionalFormatting sqref="J73:J75">
    <cfRule type="containsText" dxfId="108" priority="2" stopIfTrue="1" operator="containsText" text="Missin">
      <formula>NOT(ISERROR(SEARCH("Missin",J73)))</formula>
    </cfRule>
    <cfRule type="containsText" dxfId="107" priority="3" stopIfTrue="1" operator="containsText" text="Cell G10 CANNOT be blank">
      <formula>NOT(ISERROR(SEARCH("Cell G10 CANNOT be blank",J73)))</formula>
    </cfRule>
  </conditionalFormatting>
  <conditionalFormatting sqref="L20:L22">
    <cfRule type="containsText" dxfId="106" priority="90" stopIfTrue="1" operator="containsText" text="Missin">
      <formula>NOT(ISERROR(SEARCH("Missin",L20)))</formula>
    </cfRule>
    <cfRule type="containsText" dxfId="105" priority="91" stopIfTrue="1" operator="containsText" text="Cell G10 CANNOT be blank">
      <formula>NOT(ISERROR(SEARCH("Cell G10 CANNOT be blank",L20)))</formula>
    </cfRule>
  </conditionalFormatting>
  <conditionalFormatting sqref="L34:L36">
    <cfRule type="containsText" dxfId="104" priority="74" stopIfTrue="1" operator="containsText" text="Cell G10 CANNOT be blank">
      <formula>NOT(ISERROR(SEARCH("Cell G10 CANNOT be blank",L34)))</formula>
    </cfRule>
    <cfRule type="containsText" dxfId="103" priority="73" stopIfTrue="1" operator="containsText" text="Missin">
      <formula>NOT(ISERROR(SEARCH("Missin",L34)))</formula>
    </cfRule>
  </conditionalFormatting>
  <conditionalFormatting sqref="L47:L49">
    <cfRule type="containsText" dxfId="102" priority="57" stopIfTrue="1" operator="containsText" text="Cell G10 CANNOT be blank">
      <formula>NOT(ISERROR(SEARCH("Cell G10 CANNOT be blank",L47)))</formula>
    </cfRule>
    <cfRule type="containsText" dxfId="101" priority="56" stopIfTrue="1" operator="containsText" text="Missin">
      <formula>NOT(ISERROR(SEARCH("Missin",L47)))</formula>
    </cfRule>
  </conditionalFormatting>
  <conditionalFormatting sqref="L60:L62">
    <cfRule type="containsText" dxfId="100" priority="39" stopIfTrue="1" operator="containsText" text="Missin">
      <formula>NOT(ISERROR(SEARCH("Missin",L60)))</formula>
    </cfRule>
    <cfRule type="containsText" dxfId="99" priority="40" stopIfTrue="1" operator="containsText" text="Cell G10 CANNOT be blank">
      <formula>NOT(ISERROR(SEARCH("Cell G10 CANNOT be blank",L60)))</formula>
    </cfRule>
  </conditionalFormatting>
  <conditionalFormatting sqref="L73:L76">
    <cfRule type="containsText" dxfId="98" priority="12" stopIfTrue="1" operator="containsText" text="Missin">
      <formula>NOT(ISERROR(SEARCH("Missin",L73)))</formula>
    </cfRule>
    <cfRule type="containsText" dxfId="97" priority="13" stopIfTrue="1" operator="containsText" text="Cell G10 CANNOT be blank">
      <formula>NOT(ISERROR(SEARCH("Cell G10 CANNOT be blank",L73)))</formula>
    </cfRule>
  </conditionalFormatting>
  <conditionalFormatting sqref="O21">
    <cfRule type="containsText" dxfId="96" priority="89" stopIfTrue="1" operator="containsText" text="Cell G10 CANNOT be blank">
      <formula>NOT(ISERROR(SEARCH("Cell G10 CANNOT be blank",O21)))</formula>
    </cfRule>
  </conditionalFormatting>
  <conditionalFormatting sqref="O22">
    <cfRule type="containsText" dxfId="95" priority="93" stopIfTrue="1" operator="containsText" text="Cell G10 CANNOT be blank">
      <formula>NOT(ISERROR(SEARCH("Cell G10 CANNOT be blank",O22)))</formula>
    </cfRule>
    <cfRule type="containsText" dxfId="94" priority="92" stopIfTrue="1" operator="containsText" text="Missin">
      <formula>NOT(ISERROR(SEARCH("Missin",O22)))</formula>
    </cfRule>
  </conditionalFormatting>
  <conditionalFormatting sqref="O35">
    <cfRule type="containsText" dxfId="93" priority="72" stopIfTrue="1" operator="containsText" text="Cell G10 CANNOT be blank">
      <formula>NOT(ISERROR(SEARCH("Cell G10 CANNOT be blank",O35)))</formula>
    </cfRule>
  </conditionalFormatting>
  <conditionalFormatting sqref="O36">
    <cfRule type="containsText" dxfId="92" priority="76" stopIfTrue="1" operator="containsText" text="Cell G10 CANNOT be blank">
      <formula>NOT(ISERROR(SEARCH("Cell G10 CANNOT be blank",O36)))</formula>
    </cfRule>
    <cfRule type="containsText" dxfId="91" priority="75" stopIfTrue="1" operator="containsText" text="Missin">
      <formula>NOT(ISERROR(SEARCH("Missin",O36)))</formula>
    </cfRule>
  </conditionalFormatting>
  <conditionalFormatting sqref="O48">
    <cfRule type="containsText" dxfId="90" priority="55" stopIfTrue="1" operator="containsText" text="Cell G10 CANNOT be blank">
      <formula>NOT(ISERROR(SEARCH("Cell G10 CANNOT be blank",O48)))</formula>
    </cfRule>
  </conditionalFormatting>
  <conditionalFormatting sqref="O49">
    <cfRule type="containsText" dxfId="89" priority="58" stopIfTrue="1" operator="containsText" text="Missin">
      <formula>NOT(ISERROR(SEARCH("Missin",O49)))</formula>
    </cfRule>
    <cfRule type="containsText" dxfId="88" priority="59" stopIfTrue="1" operator="containsText" text="Cell G10 CANNOT be blank">
      <formula>NOT(ISERROR(SEARCH("Cell G10 CANNOT be blank",O49)))</formula>
    </cfRule>
  </conditionalFormatting>
  <conditionalFormatting sqref="O61">
    <cfRule type="containsText" dxfId="87" priority="38" stopIfTrue="1" operator="containsText" text="Cell G10 CANNOT be blank">
      <formula>NOT(ISERROR(SEARCH("Cell G10 CANNOT be blank",O61)))</formula>
    </cfRule>
  </conditionalFormatting>
  <conditionalFormatting sqref="O62">
    <cfRule type="containsText" dxfId="86" priority="41" stopIfTrue="1" operator="containsText" text="Missin">
      <formula>NOT(ISERROR(SEARCH("Missin",O62)))</formula>
    </cfRule>
    <cfRule type="containsText" dxfId="85" priority="42" stopIfTrue="1" operator="containsText" text="Cell G10 CANNOT be blank">
      <formula>NOT(ISERROR(SEARCH("Cell G10 CANNOT be blank",O62)))</formula>
    </cfRule>
  </conditionalFormatting>
  <conditionalFormatting sqref="O74">
    <cfRule type="containsText" dxfId="84" priority="21" stopIfTrue="1" operator="containsText" text="Cell G10 CANNOT be blank">
      <formula>NOT(ISERROR(SEARCH("Cell G10 CANNOT be blank",O74)))</formula>
    </cfRule>
  </conditionalFormatting>
  <conditionalFormatting sqref="O75">
    <cfRule type="containsText" dxfId="83" priority="24" stopIfTrue="1" operator="containsText" text="Missin">
      <formula>NOT(ISERROR(SEARCH("Missin",O75)))</formula>
    </cfRule>
    <cfRule type="containsText" dxfId="82" priority="25" stopIfTrue="1" operator="containsText" text="Cell G10 CANNOT be blank">
      <formula>NOT(ISERROR(SEARCH("Cell G10 CANNOT be blank",O75)))</formula>
    </cfRule>
  </conditionalFormatting>
  <conditionalFormatting sqref="O76 R76 U76">
    <cfRule type="containsText" dxfId="81" priority="14" stopIfTrue="1" operator="containsText" text="Cell G10 CANNOT be blank">
      <formula>NOT(ISERROR(SEARCH("Cell G10 CANNOT be blank",O76)))</formula>
    </cfRule>
  </conditionalFormatting>
  <conditionalFormatting sqref="R21">
    <cfRule type="containsText" dxfId="80" priority="86" stopIfTrue="1" operator="containsText" text="Cell G10 CANNOT be blank">
      <formula>NOT(ISERROR(SEARCH("Cell G10 CANNOT be blank",R21)))</formula>
    </cfRule>
  </conditionalFormatting>
  <conditionalFormatting sqref="R22">
    <cfRule type="containsText" dxfId="79" priority="87" stopIfTrue="1" operator="containsText" text="Missin">
      <formula>NOT(ISERROR(SEARCH("Missin",R22)))</formula>
    </cfRule>
    <cfRule type="containsText" dxfId="78" priority="88" stopIfTrue="1" operator="containsText" text="Cell G10 CANNOT be blank">
      <formula>NOT(ISERROR(SEARCH("Cell G10 CANNOT be blank",R22)))</formula>
    </cfRule>
  </conditionalFormatting>
  <conditionalFormatting sqref="R35">
    <cfRule type="containsText" dxfId="77" priority="69" stopIfTrue="1" operator="containsText" text="Cell G10 CANNOT be blank">
      <formula>NOT(ISERROR(SEARCH("Cell G10 CANNOT be blank",R35)))</formula>
    </cfRule>
  </conditionalFormatting>
  <conditionalFormatting sqref="R36">
    <cfRule type="containsText" dxfId="76" priority="71" stopIfTrue="1" operator="containsText" text="Cell G10 CANNOT be blank">
      <formula>NOT(ISERROR(SEARCH("Cell G10 CANNOT be blank",R36)))</formula>
    </cfRule>
    <cfRule type="containsText" dxfId="75" priority="70" stopIfTrue="1" operator="containsText" text="Missin">
      <formula>NOT(ISERROR(SEARCH("Missin",R36)))</formula>
    </cfRule>
  </conditionalFormatting>
  <conditionalFormatting sqref="R48">
    <cfRule type="containsText" dxfId="74" priority="52" stopIfTrue="1" operator="containsText" text="Cell G10 CANNOT be blank">
      <formula>NOT(ISERROR(SEARCH("Cell G10 CANNOT be blank",R48)))</formula>
    </cfRule>
  </conditionalFormatting>
  <conditionalFormatting sqref="R49">
    <cfRule type="containsText" dxfId="73" priority="53" stopIfTrue="1" operator="containsText" text="Missin">
      <formula>NOT(ISERROR(SEARCH("Missin",R49)))</formula>
    </cfRule>
    <cfRule type="containsText" dxfId="72" priority="54" stopIfTrue="1" operator="containsText" text="Cell G10 CANNOT be blank">
      <formula>NOT(ISERROR(SEARCH("Cell G10 CANNOT be blank",R49)))</formula>
    </cfRule>
  </conditionalFormatting>
  <conditionalFormatting sqref="R61">
    <cfRule type="containsText" dxfId="71" priority="35" stopIfTrue="1" operator="containsText" text="Cell G10 CANNOT be blank">
      <formula>NOT(ISERROR(SEARCH("Cell G10 CANNOT be blank",R61)))</formula>
    </cfRule>
  </conditionalFormatting>
  <conditionalFormatting sqref="R62">
    <cfRule type="containsText" dxfId="70" priority="37" stopIfTrue="1" operator="containsText" text="Cell G10 CANNOT be blank">
      <formula>NOT(ISERROR(SEARCH("Cell G10 CANNOT be blank",R62)))</formula>
    </cfRule>
    <cfRule type="containsText" dxfId="69" priority="36" stopIfTrue="1" operator="containsText" text="Missin">
      <formula>NOT(ISERROR(SEARCH("Missin",R62)))</formula>
    </cfRule>
  </conditionalFormatting>
  <conditionalFormatting sqref="R74">
    <cfRule type="containsText" dxfId="68" priority="18" stopIfTrue="1" operator="containsText" text="Cell G10 CANNOT be blank">
      <formula>NOT(ISERROR(SEARCH("Cell G10 CANNOT be blank",R74)))</formula>
    </cfRule>
  </conditionalFormatting>
  <conditionalFormatting sqref="R75">
    <cfRule type="containsText" dxfId="67" priority="19" stopIfTrue="1" operator="containsText" text="Missin">
      <formula>NOT(ISERROR(SEARCH("Missin",R75)))</formula>
    </cfRule>
    <cfRule type="containsText" dxfId="66" priority="20" stopIfTrue="1" operator="containsText" text="Cell G10 CANNOT be blank">
      <formula>NOT(ISERROR(SEARCH("Cell G10 CANNOT be blank",R75)))</formula>
    </cfRule>
  </conditionalFormatting>
  <conditionalFormatting sqref="U21">
    <cfRule type="containsText" dxfId="65" priority="83" stopIfTrue="1" operator="containsText" text="Cell G10 CANNOT be blank">
      <formula>NOT(ISERROR(SEARCH("Cell G10 CANNOT be blank",U21)))</formula>
    </cfRule>
  </conditionalFormatting>
  <conditionalFormatting sqref="U22">
    <cfRule type="containsText" dxfId="64" priority="85" stopIfTrue="1" operator="containsText" text="Cell G10 CANNOT be blank">
      <formula>NOT(ISERROR(SEARCH("Cell G10 CANNOT be blank",U22)))</formula>
    </cfRule>
    <cfRule type="containsText" dxfId="63" priority="84" stopIfTrue="1" operator="containsText" text="Missin">
      <formula>NOT(ISERROR(SEARCH("Missin",U22)))</formula>
    </cfRule>
  </conditionalFormatting>
  <conditionalFormatting sqref="U35">
    <cfRule type="containsText" dxfId="62" priority="66" stopIfTrue="1" operator="containsText" text="Cell G10 CANNOT be blank">
      <formula>NOT(ISERROR(SEARCH("Cell G10 CANNOT be blank",U35)))</formula>
    </cfRule>
  </conditionalFormatting>
  <conditionalFormatting sqref="U36">
    <cfRule type="containsText" dxfId="61" priority="67" stopIfTrue="1" operator="containsText" text="Missin">
      <formula>NOT(ISERROR(SEARCH("Missin",U36)))</formula>
    </cfRule>
    <cfRule type="containsText" dxfId="60" priority="68" stopIfTrue="1" operator="containsText" text="Cell G10 CANNOT be blank">
      <formula>NOT(ISERROR(SEARCH("Cell G10 CANNOT be blank",U36)))</formula>
    </cfRule>
  </conditionalFormatting>
  <conditionalFormatting sqref="U48">
    <cfRule type="containsText" dxfId="59" priority="49" stopIfTrue="1" operator="containsText" text="Cell G10 CANNOT be blank">
      <formula>NOT(ISERROR(SEARCH("Cell G10 CANNOT be blank",U48)))</formula>
    </cfRule>
  </conditionalFormatting>
  <conditionalFormatting sqref="U49">
    <cfRule type="containsText" dxfId="58" priority="51" stopIfTrue="1" operator="containsText" text="Cell G10 CANNOT be blank">
      <formula>NOT(ISERROR(SEARCH("Cell G10 CANNOT be blank",U49)))</formula>
    </cfRule>
    <cfRule type="containsText" dxfId="57" priority="50" stopIfTrue="1" operator="containsText" text="Missin">
      <formula>NOT(ISERROR(SEARCH("Missin",U49)))</formula>
    </cfRule>
  </conditionalFormatting>
  <conditionalFormatting sqref="U61">
    <cfRule type="containsText" dxfId="56" priority="32" stopIfTrue="1" operator="containsText" text="Cell G10 CANNOT be blank">
      <formula>NOT(ISERROR(SEARCH("Cell G10 CANNOT be blank",U61)))</formula>
    </cfRule>
  </conditionalFormatting>
  <conditionalFormatting sqref="U62">
    <cfRule type="containsText" dxfId="55" priority="34" stopIfTrue="1" operator="containsText" text="Cell G10 CANNOT be blank">
      <formula>NOT(ISERROR(SEARCH("Cell G10 CANNOT be blank",U62)))</formula>
    </cfRule>
    <cfRule type="containsText" dxfId="54" priority="33" stopIfTrue="1" operator="containsText" text="Missin">
      <formula>NOT(ISERROR(SEARCH("Missin",U62)))</formula>
    </cfRule>
  </conditionalFormatting>
  <conditionalFormatting sqref="U74">
    <cfRule type="containsText" dxfId="53" priority="15" stopIfTrue="1" operator="containsText" text="Cell G10 CANNOT be blank">
      <formula>NOT(ISERROR(SEARCH("Cell G10 CANNOT be blank",U74)))</formula>
    </cfRule>
  </conditionalFormatting>
  <conditionalFormatting sqref="U75">
    <cfRule type="containsText" dxfId="52" priority="17" stopIfTrue="1" operator="containsText" text="Cell G10 CANNOT be blank">
      <formula>NOT(ISERROR(SEARCH("Cell G10 CANNOT be blank",U75)))</formula>
    </cfRule>
    <cfRule type="containsText" dxfId="51" priority="16" stopIfTrue="1" operator="containsText" text="Missin">
      <formula>NOT(ISERROR(SEARCH("Missin",U75)))</formula>
    </cfRule>
  </conditionalFormatting>
  <printOptions horizontalCentered="1"/>
  <pageMargins left="0.25" right="0.25" top="0.75" bottom="0.75" header="0.3" footer="0.3"/>
  <pageSetup scale="49" fitToHeight="2" orientation="landscape" r:id="rId1"/>
  <headerFooter alignWithMargins="0">
    <oddHeader>&amp;RPage &amp;P of &amp;N</oddHeader>
  </headerFooter>
  <rowBreaks count="1" manualBreakCount="1">
    <brk id="50"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theme="5"/>
    <pageSetUpPr fitToPage="1"/>
  </sheetPr>
  <dimension ref="A1:AH94"/>
  <sheetViews>
    <sheetView showGridLines="0" zoomScaleNormal="100" zoomScaleSheetLayoutView="100" workbookViewId="0">
      <pane xSplit="6" ySplit="6" topLeftCell="G7" activePane="bottomRight" state="frozen"/>
      <selection activeCell="J13" sqref="J13"/>
      <selection pane="topRight" activeCell="J13" sqref="J13"/>
      <selection pane="bottomLeft" activeCell="J13" sqref="J13"/>
      <selection pane="bottomRight" activeCell="G9" sqref="G9"/>
    </sheetView>
  </sheetViews>
  <sheetFormatPr defaultRowHeight="12.75"/>
  <cols>
    <col min="1" max="1" width="3.86328125" customWidth="1"/>
    <col min="2" max="2" width="11" customWidth="1"/>
    <col min="3" max="3" width="16.46484375" customWidth="1"/>
    <col min="4" max="4" width="29.6640625" customWidth="1"/>
    <col min="6" max="6" width="13.6640625" customWidth="1"/>
    <col min="7" max="8" width="19.46484375" customWidth="1"/>
    <col min="9" max="9" width="11.33203125" customWidth="1"/>
    <col min="10" max="10" width="18.86328125" customWidth="1"/>
    <col min="11" max="11" width="11.33203125" customWidth="1"/>
    <col min="12" max="12" width="83.53125" style="1177" customWidth="1"/>
    <col min="13" max="30" width="9.1328125" customWidth="1"/>
  </cols>
  <sheetData>
    <row r="1" spans="1:34" s="2" customFormat="1" ht="15.4">
      <c r="A1" s="1664" t="str">
        <f>IF('INTERIM-CERTIFICATION'!$M$1="","CHARTER NAME: Enter Charter Name on INTERIM-CERTIFICATION Worksheet",(CONCATENATE("CHARTER NAME: ",'INTERIM-CERTIFICATION'!$M$1)))</f>
        <v>CHARTER NAME: Encor Jr./Sr. High School for the Performing and Visual Arts</v>
      </c>
      <c r="B1" s="1664"/>
      <c r="C1" s="1664"/>
      <c r="D1" s="1664"/>
      <c r="E1" s="1664"/>
      <c r="F1" s="1664"/>
      <c r="G1" s="12"/>
      <c r="H1" s="12"/>
      <c r="I1" s="12"/>
      <c r="J1" s="1"/>
      <c r="K1" s="1"/>
      <c r="L1" s="1177"/>
      <c r="M1"/>
      <c r="N1"/>
      <c r="O1"/>
      <c r="P1"/>
      <c r="Q1"/>
      <c r="R1"/>
      <c r="S1"/>
      <c r="T1"/>
      <c r="U1"/>
      <c r="V1"/>
      <c r="W1"/>
      <c r="X1"/>
      <c r="Y1"/>
      <c r="Z1"/>
      <c r="AA1"/>
      <c r="AB1"/>
      <c r="AC1"/>
      <c r="AD1"/>
      <c r="AE1"/>
      <c r="AF1"/>
      <c r="AG1" s="1"/>
      <c r="AH1" s="1"/>
    </row>
    <row r="2" spans="1:34" s="2" customFormat="1" ht="15.4">
      <c r="A2" s="1664" t="str">
        <f>IF('INTERIM-CERTIFICATION'!$M$2="","CDS #: Enter Charter CDS # on INTERIM-CERTIFICATION Worksheet",(_xlfn.CONCAT("CDS #: ",'INTERIM-CERTIFICATION'!$M$2)))</f>
        <v>CDS #: 35-75044-01166707</v>
      </c>
      <c r="B2" s="1664"/>
      <c r="C2" s="1664"/>
      <c r="D2" s="1664"/>
      <c r="E2" s="1664"/>
      <c r="F2" s="1664"/>
      <c r="G2" s="80"/>
      <c r="H2" s="80"/>
      <c r="I2" s="80"/>
      <c r="J2" s="1"/>
      <c r="K2" s="1"/>
      <c r="L2" s="1177"/>
      <c r="M2"/>
      <c r="N2"/>
      <c r="O2"/>
      <c r="P2"/>
      <c r="Q2"/>
      <c r="R2"/>
      <c r="S2"/>
      <c r="T2"/>
      <c r="U2"/>
      <c r="V2"/>
      <c r="W2"/>
      <c r="X2"/>
      <c r="Y2"/>
      <c r="Z2"/>
      <c r="AA2"/>
      <c r="AB2"/>
      <c r="AC2"/>
      <c r="AD2"/>
      <c r="AE2"/>
      <c r="AF2"/>
      <c r="AG2" s="1"/>
      <c r="AH2" s="1"/>
    </row>
    <row r="3" spans="1:34" s="2" customFormat="1" ht="15.4">
      <c r="A3" s="1664" t="str">
        <f>IF('INTERIM-CERTIFICATION'!$M$5="","CHARTER #: Enter Charter # on INTERIM-CERTIFICATION Worksheet",(_xlfn.CONCAT("CHARTER #: ",'INTERIM-CERTIFICATION'!$M$5)))</f>
        <v>CHARTER #: 0971</v>
      </c>
      <c r="B3" s="1664"/>
      <c r="C3" s="1664"/>
      <c r="D3" s="1664"/>
      <c r="E3" s="1664"/>
      <c r="F3" s="1664"/>
      <c r="G3" s="12"/>
      <c r="H3" s="12"/>
      <c r="I3" s="12"/>
      <c r="J3" s="1"/>
      <c r="K3" s="1"/>
      <c r="L3" s="1177"/>
      <c r="M3"/>
      <c r="N3"/>
      <c r="O3"/>
      <c r="P3"/>
      <c r="Q3"/>
      <c r="R3"/>
      <c r="S3"/>
      <c r="T3"/>
      <c r="U3"/>
      <c r="V3"/>
      <c r="W3"/>
      <c r="X3"/>
      <c r="Y3"/>
      <c r="Z3"/>
      <c r="AA3"/>
      <c r="AB3"/>
      <c r="AC3"/>
      <c r="AD3"/>
      <c r="AE3"/>
      <c r="AF3"/>
      <c r="AG3" s="1"/>
      <c r="AH3" s="1"/>
    </row>
    <row r="4" spans="1:34" s="2" customFormat="1" ht="15.4">
      <c r="A4" s="1721" t="str">
        <f>'2nd Interim-ADA'!J4</f>
        <v>Fiscal Year 2024-25 Second Interim Report</v>
      </c>
      <c r="B4" s="1721"/>
      <c r="C4" s="1721"/>
      <c r="D4" s="1721"/>
      <c r="E4" s="1721"/>
      <c r="F4" s="1721"/>
      <c r="G4" s="1721"/>
      <c r="H4" s="1721"/>
      <c r="I4" s="1721"/>
      <c r="J4" s="1721"/>
      <c r="K4" s="1721"/>
      <c r="L4" s="1177"/>
      <c r="M4"/>
      <c r="N4"/>
      <c r="O4"/>
      <c r="P4"/>
      <c r="Q4"/>
      <c r="R4"/>
      <c r="S4"/>
      <c r="T4"/>
      <c r="U4"/>
      <c r="V4"/>
      <c r="W4"/>
      <c r="X4"/>
      <c r="Y4"/>
      <c r="Z4"/>
      <c r="AA4"/>
      <c r="AB4"/>
      <c r="AC4"/>
      <c r="AD4"/>
      <c r="AE4"/>
      <c r="AF4"/>
      <c r="AG4" s="1"/>
      <c r="AH4" s="1"/>
    </row>
    <row r="5" spans="1:34" s="2" customFormat="1" ht="15.75" thickBot="1">
      <c r="A5" s="1552" t="str">
        <f>Instructions!H1</f>
        <v>Form Revised (revision date here if revised)</v>
      </c>
      <c r="B5" s="263"/>
      <c r="C5" s="263"/>
      <c r="D5" s="12"/>
      <c r="E5" s="12"/>
      <c r="F5" s="12"/>
      <c r="G5" s="12"/>
      <c r="H5" s="12"/>
      <c r="I5" s="12"/>
      <c r="J5" s="1"/>
      <c r="K5" s="12"/>
      <c r="L5" s="1177"/>
      <c r="M5"/>
      <c r="N5"/>
      <c r="O5"/>
      <c r="P5"/>
      <c r="Q5"/>
      <c r="R5"/>
      <c r="S5"/>
      <c r="T5"/>
      <c r="U5"/>
      <c r="V5"/>
      <c r="W5"/>
      <c r="X5"/>
      <c r="Y5"/>
      <c r="Z5"/>
      <c r="AA5"/>
      <c r="AB5"/>
      <c r="AC5"/>
      <c r="AD5"/>
      <c r="AE5"/>
      <c r="AF5"/>
      <c r="AG5" s="1"/>
      <c r="AH5" s="1"/>
    </row>
    <row r="6" spans="1:34" ht="15.4" thickBot="1">
      <c r="A6" s="672" t="s">
        <v>35</v>
      </c>
      <c r="B6" s="673"/>
      <c r="C6" s="673"/>
      <c r="D6" s="673"/>
      <c r="E6" s="673"/>
      <c r="F6" s="674"/>
      <c r="G6" s="277" t="str">
        <f>'Budget-Assumptions'!G6</f>
        <v>2024-25</v>
      </c>
      <c r="H6" s="278" t="str">
        <f>'Budget-Assumptions'!H6</f>
        <v>2025-26</v>
      </c>
      <c r="I6" s="278" t="s">
        <v>22</v>
      </c>
      <c r="J6" s="278" t="str">
        <f>'Budget-Assumptions'!J6</f>
        <v>2026-27</v>
      </c>
      <c r="K6" s="279" t="s">
        <v>22</v>
      </c>
    </row>
    <row r="7" spans="1:34" ht="15">
      <c r="A7" s="328"/>
      <c r="B7" s="1"/>
      <c r="C7" s="1"/>
      <c r="D7" s="1"/>
      <c r="E7" s="1"/>
      <c r="F7" s="1192"/>
      <c r="G7" s="1527"/>
      <c r="H7" s="166"/>
      <c r="I7" s="166"/>
      <c r="J7" s="166"/>
      <c r="K7" s="654"/>
    </row>
    <row r="8" spans="1:34" ht="15">
      <c r="A8" s="675" t="s">
        <v>325</v>
      </c>
      <c r="C8" s="153"/>
      <c r="D8" s="153"/>
      <c r="E8" s="153"/>
      <c r="F8" s="653"/>
      <c r="G8" s="655"/>
      <c r="H8" s="655"/>
      <c r="I8" s="643"/>
      <c r="J8" s="655"/>
      <c r="K8" s="644"/>
    </row>
    <row r="9" spans="1:34" ht="15">
      <c r="A9" s="67"/>
      <c r="B9" s="140" t="s">
        <v>247</v>
      </c>
      <c r="C9" s="139"/>
      <c r="D9" s="141"/>
      <c r="E9" s="139"/>
      <c r="F9" s="1477"/>
      <c r="G9" s="1478"/>
      <c r="H9" s="1478"/>
      <c r="I9" s="483">
        <f>SUM(H9-G9)</f>
        <v>0</v>
      </c>
      <c r="J9" s="1479"/>
      <c r="K9" s="482">
        <f>SUM(J9-H9)</f>
        <v>0</v>
      </c>
    </row>
    <row r="10" spans="1:34" ht="15.75" hidden="1" customHeight="1">
      <c r="A10" s="280"/>
      <c r="B10" s="142" t="s">
        <v>248</v>
      </c>
      <c r="C10" s="143"/>
      <c r="D10" s="141"/>
      <c r="E10" s="143"/>
      <c r="F10" s="1477"/>
      <c r="G10" s="1480">
        <v>1</v>
      </c>
      <c r="H10" s="1480">
        <v>1</v>
      </c>
      <c r="I10" s="483">
        <f>SUM(H10-G10)</f>
        <v>0</v>
      </c>
      <c r="J10" s="1479">
        <v>1</v>
      </c>
      <c r="K10" s="482">
        <f>SUM(J10-H10)</f>
        <v>0</v>
      </c>
    </row>
    <row r="11" spans="1:34" ht="15">
      <c r="A11" s="280"/>
      <c r="B11" s="142" t="s">
        <v>366</v>
      </c>
      <c r="C11" s="143"/>
      <c r="D11" s="143"/>
      <c r="E11" s="143"/>
      <c r="F11" s="1477"/>
      <c r="G11" s="1481"/>
      <c r="H11" s="1482"/>
      <c r="I11" s="483" t="e">
        <f>SUM(H11-G11)/G11</f>
        <v>#DIV/0!</v>
      </c>
      <c r="J11" s="1481"/>
      <c r="K11" s="482" t="e">
        <f>SUM(J11-H11)/H11</f>
        <v>#DIV/0!</v>
      </c>
    </row>
    <row r="12" spans="1:34" ht="15.75" hidden="1" customHeight="1">
      <c r="A12" s="280"/>
      <c r="B12" s="370" t="s">
        <v>324</v>
      </c>
      <c r="C12" s="143" t="s">
        <v>368</v>
      </c>
      <c r="D12" s="143"/>
      <c r="E12" s="143"/>
      <c r="F12" s="154"/>
      <c r="G12" s="679"/>
      <c r="H12" s="680"/>
      <c r="I12" s="199"/>
      <c r="J12" s="679"/>
      <c r="K12" s="282"/>
    </row>
    <row r="13" spans="1:34" ht="15.75" hidden="1" customHeight="1">
      <c r="A13" s="280"/>
      <c r="B13" s="142"/>
      <c r="C13" s="143" t="s">
        <v>249</v>
      </c>
      <c r="D13" s="143"/>
      <c r="E13" s="143"/>
      <c r="F13" s="154"/>
      <c r="G13" s="679"/>
      <c r="H13" s="680"/>
      <c r="I13" s="199"/>
      <c r="J13" s="679"/>
      <c r="K13" s="282"/>
    </row>
    <row r="14" spans="1:34" ht="15">
      <c r="A14" s="280"/>
      <c r="B14" s="329"/>
      <c r="C14" s="329"/>
      <c r="D14" s="329"/>
      <c r="E14" s="329"/>
      <c r="F14" s="656"/>
      <c r="G14" s="657"/>
      <c r="H14" s="658"/>
      <c r="I14" s="489"/>
      <c r="J14" s="659"/>
      <c r="K14" s="660"/>
    </row>
    <row r="15" spans="1:34" ht="15">
      <c r="A15" s="675" t="s">
        <v>340</v>
      </c>
      <c r="B15" s="132"/>
      <c r="C15" s="661"/>
      <c r="D15" s="661"/>
      <c r="E15" s="661"/>
      <c r="F15" s="662"/>
      <c r="G15" s="663"/>
      <c r="H15" s="663"/>
      <c r="I15" s="664"/>
      <c r="J15" s="663"/>
      <c r="K15" s="665"/>
    </row>
    <row r="16" spans="1:34" ht="15">
      <c r="A16" s="280"/>
      <c r="B16" s="142" t="s">
        <v>147</v>
      </c>
      <c r="C16" s="143"/>
      <c r="D16" s="143"/>
      <c r="E16" s="143"/>
      <c r="F16" s="1477"/>
      <c r="G16" s="1481"/>
      <c r="H16" s="1481"/>
      <c r="I16" s="1488">
        <f>H16-G16</f>
        <v>0</v>
      </c>
      <c r="J16" s="1481"/>
      <c r="K16" s="1489">
        <f>SUM(J16-H16)</f>
        <v>0</v>
      </c>
    </row>
    <row r="17" spans="1:11" ht="15">
      <c r="A17" s="280"/>
      <c r="B17" s="142" t="s">
        <v>148</v>
      </c>
      <c r="C17" s="143"/>
      <c r="D17" s="143"/>
      <c r="E17" s="143"/>
      <c r="F17" s="1477"/>
      <c r="G17" s="1481"/>
      <c r="H17" s="1481"/>
      <c r="I17" s="1488">
        <f>H17-G17</f>
        <v>0</v>
      </c>
      <c r="J17" s="1481"/>
      <c r="K17" s="1489">
        <f>SUM(J17-H17)</f>
        <v>0</v>
      </c>
    </row>
    <row r="18" spans="1:11" ht="15">
      <c r="A18" s="280"/>
      <c r="B18" s="329"/>
      <c r="C18" s="329"/>
      <c r="D18" s="329"/>
      <c r="E18" s="329"/>
      <c r="F18" s="656"/>
      <c r="G18" s="657"/>
      <c r="H18" s="658"/>
      <c r="I18" s="489"/>
      <c r="J18" s="659"/>
      <c r="K18" s="660"/>
    </row>
    <row r="19" spans="1:11" ht="15">
      <c r="A19" s="676" t="s">
        <v>198</v>
      </c>
      <c r="C19" s="164"/>
      <c r="D19" s="164"/>
      <c r="E19" s="164"/>
      <c r="F19" s="653"/>
      <c r="G19" s="666"/>
      <c r="H19" s="666"/>
      <c r="I19" s="541"/>
      <c r="J19" s="667"/>
      <c r="K19" s="542"/>
    </row>
    <row r="20" spans="1:11" ht="15">
      <c r="A20" s="280"/>
      <c r="B20" s="142" t="s">
        <v>149</v>
      </c>
      <c r="C20" s="143"/>
      <c r="D20" s="143"/>
      <c r="E20" s="143"/>
      <c r="F20" s="1490"/>
      <c r="G20" s="1491">
        <f>'2nd Interim-ADA'!N75</f>
        <v>0</v>
      </c>
      <c r="H20" s="1492">
        <f>'2nd Interim-ADA'!Q75</f>
        <v>0</v>
      </c>
      <c r="I20" s="1493">
        <f>H20-G20</f>
        <v>0</v>
      </c>
      <c r="J20" s="1492">
        <f>'2nd Interim-ADA'!T75</f>
        <v>0</v>
      </c>
      <c r="K20" s="1504">
        <f>J20-H20</f>
        <v>0</v>
      </c>
    </row>
    <row r="21" spans="1:11" ht="48.75" customHeight="1">
      <c r="A21" s="280"/>
      <c r="B21" s="642" t="s">
        <v>151</v>
      </c>
      <c r="C21" s="143"/>
      <c r="D21" s="143"/>
      <c r="E21" s="143"/>
      <c r="F21" s="1490"/>
      <c r="G21" s="1494" t="str">
        <f>IF(('2nd Interim-ADA'!O75="Cell G10 CANNOT be blank"), "Missing Data 2nd Interim-ADA Tab, cell G10",'2nd Interim-ADA'!O75)</f>
        <v>Missing Data 2nd Interim-ADA Tab, cell G10</v>
      </c>
      <c r="H21" s="1494" t="str">
        <f>IF(('2nd Interim-ADA'!R75="Cell G10 CANNOT be blank"), "Missing Data 2nd Interim-ADA Tab, cell G10",'2nd Interim-ADA'!R75)</f>
        <v>Missing Data 2nd Interim-ADA Tab, cell G10</v>
      </c>
      <c r="I21" s="1493" t="e">
        <f>H21-G21</f>
        <v>#VALUE!</v>
      </c>
      <c r="J21" s="1494" t="str">
        <f>IF(('2nd Interim-ADA'!U75="Cell G10 CANNOT be blank"), "Missing Data 2nd Interim-ADA Tab, cell G10",'2nd Interim-ADA'!U75)</f>
        <v>Missing Data 2nd Interim-ADA Tab, cell G10</v>
      </c>
      <c r="K21" s="1504" t="e">
        <f>J21-H21</f>
        <v>#VALUE!</v>
      </c>
    </row>
    <row r="22" spans="1:11" ht="15">
      <c r="A22" s="280"/>
      <c r="B22" s="142" t="s">
        <v>150</v>
      </c>
      <c r="C22" s="143"/>
      <c r="D22" s="143"/>
      <c r="E22" s="143"/>
      <c r="F22" s="1490"/>
      <c r="G22" s="1495">
        <f>'2nd Interim-ADA'!O74</f>
        <v>0</v>
      </c>
      <c r="H22" s="1492">
        <f>'2nd Interim-ADA'!R74</f>
        <v>0</v>
      </c>
      <c r="I22" s="1493">
        <f>H22-G22</f>
        <v>0</v>
      </c>
      <c r="J22" s="1492">
        <f>'2nd Interim-ADA'!U74</f>
        <v>0</v>
      </c>
      <c r="K22" s="1504">
        <f>J22-H22</f>
        <v>0</v>
      </c>
    </row>
    <row r="23" spans="1:11" ht="15">
      <c r="A23" s="67"/>
      <c r="B23" s="145" t="s">
        <v>36</v>
      </c>
      <c r="C23" s="139"/>
      <c r="D23" s="139"/>
      <c r="E23" s="139"/>
      <c r="F23" s="1490"/>
      <c r="G23" s="1496">
        <f>SUM(G21:G22)</f>
        <v>0</v>
      </c>
      <c r="H23" s="1496">
        <f>SUM(H21:H22)</f>
        <v>0</v>
      </c>
      <c r="I23" s="1493">
        <f>H23-G23</f>
        <v>0</v>
      </c>
      <c r="J23" s="1496">
        <f>SUM(J21:J22)</f>
        <v>0</v>
      </c>
      <c r="K23" s="1504">
        <f>J23-H23</f>
        <v>0</v>
      </c>
    </row>
    <row r="24" spans="1:11" ht="15">
      <c r="A24" s="281"/>
      <c r="B24" s="146" t="s">
        <v>137</v>
      </c>
      <c r="C24" s="147"/>
      <c r="D24" s="147"/>
      <c r="E24" s="148" t="s">
        <v>333</v>
      </c>
      <c r="F24" s="1497"/>
      <c r="G24" s="1498"/>
      <c r="H24" s="1498"/>
      <c r="I24" s="1493">
        <f>H24-G24</f>
        <v>0</v>
      </c>
      <c r="J24" s="1498"/>
      <c r="K24" s="1504">
        <f>J24-H24</f>
        <v>0</v>
      </c>
    </row>
    <row r="25" spans="1:11" ht="15">
      <c r="A25" s="281"/>
      <c r="B25" s="146" t="s">
        <v>200</v>
      </c>
      <c r="C25" s="147"/>
      <c r="D25" s="147"/>
      <c r="E25" s="150"/>
      <c r="F25" s="1499"/>
      <c r="G25" s="483" t="e">
        <f>(G24-F24)/F24</f>
        <v>#DIV/0!</v>
      </c>
      <c r="H25" s="483" t="e">
        <f>(H24-G24)/G24</f>
        <v>#DIV/0!</v>
      </c>
      <c r="I25" s="1486" t="s">
        <v>2</v>
      </c>
      <c r="J25" s="483" t="e">
        <f>(J24-H24)/H24</f>
        <v>#DIV/0!</v>
      </c>
      <c r="K25" s="1487" t="s">
        <v>2</v>
      </c>
    </row>
    <row r="26" spans="1:11" ht="15">
      <c r="A26" s="281"/>
      <c r="B26" s="146" t="s">
        <v>199</v>
      </c>
      <c r="C26" s="147"/>
      <c r="D26" s="147"/>
      <c r="E26" s="215" t="str">
        <f>'2nd Interim-ADA'!$I$7</f>
        <v>2023-24</v>
      </c>
      <c r="F26" s="1500" t="e">
        <f>'2nd Interim-ADA'!$J$76/F24</f>
        <v>#DIV/0!</v>
      </c>
      <c r="G26" s="483" t="e">
        <f>G23/G24</f>
        <v>#DIV/0!</v>
      </c>
      <c r="H26" s="483" t="e">
        <f>H23/H24</f>
        <v>#DIV/0!</v>
      </c>
      <c r="I26" s="1486" t="s">
        <v>2</v>
      </c>
      <c r="J26" s="483" t="e">
        <f>J23/J24</f>
        <v>#DIV/0!</v>
      </c>
      <c r="K26" s="1487" t="s">
        <v>2</v>
      </c>
    </row>
    <row r="27" spans="1:11" ht="15">
      <c r="A27" s="281"/>
      <c r="B27" s="146" t="s">
        <v>362</v>
      </c>
      <c r="C27" s="147"/>
      <c r="D27" s="147"/>
      <c r="E27" s="148" t="s">
        <v>353</v>
      </c>
      <c r="F27" s="1497"/>
      <c r="G27" s="1498"/>
      <c r="H27" s="1498"/>
      <c r="I27" s="1493">
        <f>H27-G27</f>
        <v>0</v>
      </c>
      <c r="J27" s="1498"/>
      <c r="K27" s="1504">
        <f>J27-H27</f>
        <v>0</v>
      </c>
    </row>
    <row r="28" spans="1:11" ht="15">
      <c r="A28" s="281"/>
      <c r="B28" s="146" t="s">
        <v>481</v>
      </c>
      <c r="C28" s="147"/>
      <c r="D28" s="147"/>
      <c r="E28" s="215" t="str">
        <f>E26</f>
        <v>2023-24</v>
      </c>
      <c r="F28" s="1380"/>
      <c r="G28" s="1501"/>
      <c r="H28" s="1501"/>
      <c r="I28" s="1486"/>
      <c r="J28" s="1501"/>
      <c r="K28" s="1487" t="s">
        <v>2</v>
      </c>
    </row>
    <row r="29" spans="1:11" ht="15">
      <c r="A29" s="280"/>
      <c r="B29" s="329"/>
      <c r="C29" s="329"/>
      <c r="D29" s="329"/>
      <c r="E29" s="329"/>
      <c r="F29" s="1192"/>
      <c r="G29" s="657"/>
      <c r="H29" s="658"/>
      <c r="I29" s="489"/>
      <c r="J29" s="659"/>
      <c r="K29" s="660"/>
    </row>
    <row r="30" spans="1:11" ht="15">
      <c r="A30" s="677" t="s">
        <v>202</v>
      </c>
      <c r="C30" s="153"/>
      <c r="D30" s="153"/>
      <c r="E30" s="153"/>
      <c r="F30" s="150"/>
      <c r="G30" s="1295"/>
      <c r="H30" s="1295"/>
      <c r="I30" s="541"/>
      <c r="J30" s="668"/>
      <c r="K30" s="542"/>
    </row>
    <row r="31" spans="1:11" ht="15">
      <c r="A31" s="67"/>
      <c r="B31" s="145" t="s">
        <v>230</v>
      </c>
      <c r="C31" s="139"/>
      <c r="D31" s="139"/>
      <c r="E31" s="139"/>
      <c r="F31" s="1490"/>
      <c r="G31" s="1502"/>
      <c r="H31" s="1502"/>
      <c r="I31" s="1493">
        <f>H31-G31</f>
        <v>0</v>
      </c>
      <c r="J31" s="1503"/>
      <c r="K31" s="1504">
        <f>J31-H31</f>
        <v>0</v>
      </c>
    </row>
    <row r="32" spans="1:11" ht="15">
      <c r="A32" s="67"/>
      <c r="B32" s="145" t="s">
        <v>489</v>
      </c>
      <c r="C32" s="139"/>
      <c r="D32" s="139"/>
      <c r="E32" s="139"/>
      <c r="F32" s="1505"/>
      <c r="G32" s="1502"/>
      <c r="H32" s="1502"/>
      <c r="I32" s="1493">
        <f>SUM(H32-G32)</f>
        <v>0</v>
      </c>
      <c r="J32" s="1503"/>
      <c r="K32" s="1504">
        <f>SUM(J32-H32)</f>
        <v>0</v>
      </c>
    </row>
    <row r="33" spans="1:11" ht="15">
      <c r="A33" s="67"/>
      <c r="B33" s="145" t="s">
        <v>377</v>
      </c>
      <c r="C33" s="139"/>
      <c r="D33" s="139"/>
      <c r="E33" s="139"/>
      <c r="F33" s="1505"/>
      <c r="G33" s="1506"/>
      <c r="H33" s="1506"/>
      <c r="I33" s="1493">
        <f>SUM(H33-G33)</f>
        <v>0</v>
      </c>
      <c r="J33" s="1503"/>
      <c r="K33" s="1504">
        <f>SUM(J33-H33)</f>
        <v>0</v>
      </c>
    </row>
    <row r="34" spans="1:11" ht="15">
      <c r="A34" s="281"/>
      <c r="B34" s="149" t="s">
        <v>201</v>
      </c>
      <c r="C34" s="139"/>
      <c r="D34" s="147"/>
      <c r="E34" s="147"/>
      <c r="F34" s="1505"/>
      <c r="G34" s="1493" t="e">
        <f>G24/G31</f>
        <v>#DIV/0!</v>
      </c>
      <c r="H34" s="1493" t="e">
        <f>H24/H31</f>
        <v>#DIV/0!</v>
      </c>
      <c r="I34" s="1493" t="e">
        <f>H34-G34</f>
        <v>#DIV/0!</v>
      </c>
      <c r="J34" s="1493" t="e">
        <f>J24/J31</f>
        <v>#DIV/0!</v>
      </c>
      <c r="K34" s="1504" t="e">
        <f>J34-H34</f>
        <v>#DIV/0!</v>
      </c>
    </row>
    <row r="35" spans="1:11" ht="15">
      <c r="A35" s="67"/>
      <c r="B35" s="145" t="s">
        <v>343</v>
      </c>
      <c r="C35" s="139"/>
      <c r="D35" s="139"/>
      <c r="E35" s="139"/>
      <c r="F35" s="1490"/>
      <c r="G35" s="1507"/>
      <c r="H35" s="1507"/>
      <c r="I35" s="1493">
        <f>H35-G35</f>
        <v>0</v>
      </c>
      <c r="J35" s="1507"/>
      <c r="K35" s="1504">
        <f>J35-H35</f>
        <v>0</v>
      </c>
    </row>
    <row r="36" spans="1:11" ht="15">
      <c r="A36" s="67"/>
      <c r="B36" s="140" t="s">
        <v>478</v>
      </c>
      <c r="C36" s="139"/>
      <c r="D36" s="139"/>
      <c r="E36" s="139"/>
      <c r="F36" s="1490"/>
      <c r="G36" s="1508"/>
      <c r="H36" s="1508"/>
      <c r="I36" s="622" t="str">
        <f>IF(H36&lt;1," ",IF(G36&lt;1," ",(H36-G36)/G36))</f>
        <v xml:space="preserve"> </v>
      </c>
      <c r="J36" s="1508"/>
      <c r="K36" s="482" t="str">
        <f>IF(J36&lt;1," ",IF(H36&lt;1," ",(J36-H36)/H36))</f>
        <v xml:space="preserve"> </v>
      </c>
    </row>
    <row r="37" spans="1:11" ht="15">
      <c r="A37" s="67"/>
      <c r="B37" s="140" t="s">
        <v>479</v>
      </c>
      <c r="C37" s="139"/>
      <c r="D37" s="139"/>
      <c r="E37" s="139"/>
      <c r="F37" s="1490"/>
      <c r="G37" s="1508"/>
      <c r="H37" s="1508"/>
      <c r="I37" s="622" t="str">
        <f>IF(G37&lt;1," ",IF(H37&lt;1," ",(H37-G37)/G37))</f>
        <v xml:space="preserve"> </v>
      </c>
      <c r="J37" s="1508"/>
      <c r="K37" s="482" t="str">
        <f>IF(H37&lt;1," ",IF(J37&lt;1," ",(J37-H37)/H37))</f>
        <v xml:space="preserve"> </v>
      </c>
    </row>
    <row r="38" spans="1:11" ht="15">
      <c r="A38" s="67"/>
      <c r="B38" s="140" t="s">
        <v>480</v>
      </c>
      <c r="C38" s="139"/>
      <c r="D38" s="139"/>
      <c r="E38" s="139"/>
      <c r="F38" s="1490"/>
      <c r="G38" s="1508"/>
      <c r="H38" s="1508"/>
      <c r="I38" s="622" t="str">
        <f>IF(G38&lt;1," ",IF(H38&lt;1," ",(H38-G38)/G38))</f>
        <v xml:space="preserve"> </v>
      </c>
      <c r="J38" s="1508"/>
      <c r="K38" s="482" t="str">
        <f>IF(H38&lt;1," ",IF(J38&lt;1," ",(J38-H38)/H38))</f>
        <v xml:space="preserve"> </v>
      </c>
    </row>
    <row r="39" spans="1:11" ht="15">
      <c r="A39" s="67"/>
      <c r="B39" s="145" t="s">
        <v>381</v>
      </c>
      <c r="C39" s="139"/>
      <c r="D39" s="139"/>
      <c r="E39" s="139"/>
      <c r="F39" s="1490"/>
      <c r="G39" s="1508"/>
      <c r="H39" s="1508"/>
      <c r="I39" s="483" t="str">
        <f>IF(G39&lt;1," ",IF(H39&lt;1," ",(H39-G39)/G39))</f>
        <v xml:space="preserve"> </v>
      </c>
      <c r="J39" s="1508"/>
      <c r="K39" s="482" t="str">
        <f>IF(H39&lt;1," ",IF(J39&lt;1," ",(J39-H39)/H39))</f>
        <v xml:space="preserve"> </v>
      </c>
    </row>
    <row r="40" spans="1:11" ht="15">
      <c r="A40" s="67"/>
      <c r="B40" s="145" t="s">
        <v>493</v>
      </c>
      <c r="C40" s="139"/>
      <c r="D40" s="139"/>
      <c r="E40" s="139"/>
      <c r="F40" s="1490"/>
      <c r="G40" s="1508"/>
      <c r="H40" s="1508"/>
      <c r="I40" s="483" t="str">
        <f>IF(G40&lt;1," ",IF(H40&lt;1," ",(H40-G40)/G40))</f>
        <v xml:space="preserve"> </v>
      </c>
      <c r="J40" s="1508"/>
      <c r="K40" s="482" t="str">
        <f>IF(H40&lt;1," ",IF(J40&lt;1," ",(J40-H40)/H40))</f>
        <v xml:space="preserve"> </v>
      </c>
    </row>
    <row r="41" spans="1:11" ht="15">
      <c r="A41" s="67"/>
      <c r="B41" s="145" t="s">
        <v>231</v>
      </c>
      <c r="C41" s="139"/>
      <c r="D41" s="139"/>
      <c r="E41" s="139"/>
      <c r="F41" s="1490"/>
      <c r="G41" s="1508"/>
      <c r="H41" s="1508"/>
      <c r="I41" s="483" t="str">
        <f>IF(H41&lt;1," ",IF(G41&lt;1," ",(H41-G41)/G41))</f>
        <v xml:space="preserve"> </v>
      </c>
      <c r="J41" s="1508"/>
      <c r="K41" s="482" t="str">
        <f>IF(J41&lt;1," ",IF(H41&lt;1," ",(J41-H41)/H41))</f>
        <v xml:space="preserve"> </v>
      </c>
    </row>
    <row r="42" spans="1:11" ht="15">
      <c r="A42" s="67"/>
      <c r="B42" s="140" t="s">
        <v>499</v>
      </c>
      <c r="C42" s="139"/>
      <c r="D42" s="139"/>
      <c r="E42" s="139"/>
      <c r="F42" s="1490"/>
      <c r="G42" s="1508"/>
      <c r="H42" s="1508"/>
      <c r="I42" s="483" t="str">
        <f>IF(H42&lt;1," ",IF(G42&lt;1," ",(H42-G42)/G42))</f>
        <v xml:space="preserve"> </v>
      </c>
      <c r="J42" s="1508"/>
      <c r="K42" s="482" t="str">
        <f>IF(J42&lt;1," ",IF(H42&lt;1," ",(J42-H42)/H42))</f>
        <v xml:space="preserve"> </v>
      </c>
    </row>
    <row r="43" spans="1:11" ht="15">
      <c r="A43" s="67"/>
      <c r="B43" s="140" t="s">
        <v>439</v>
      </c>
      <c r="C43" s="139"/>
      <c r="D43" s="139"/>
      <c r="E43" s="139"/>
      <c r="F43" s="1490"/>
      <c r="G43" s="1306"/>
      <c r="H43" s="1306"/>
      <c r="I43" s="483">
        <f>H43-G43</f>
        <v>0</v>
      </c>
      <c r="J43" s="1306"/>
      <c r="K43" s="482">
        <f>J43-H43</f>
        <v>0</v>
      </c>
    </row>
    <row r="44" spans="1:11" ht="7.5" customHeight="1">
      <c r="A44" s="67"/>
      <c r="B44" s="1255"/>
      <c r="C44" s="151"/>
      <c r="D44" s="151"/>
      <c r="E44" s="151"/>
      <c r="F44" s="1256"/>
      <c r="G44" s="1257"/>
      <c r="H44" s="1257"/>
      <c r="I44" s="1258"/>
      <c r="J44" s="1257"/>
      <c r="K44" s="1518"/>
    </row>
    <row r="45" spans="1:11" ht="12" customHeight="1">
      <c r="A45" s="67"/>
      <c r="B45" s="1294" t="s">
        <v>495</v>
      </c>
      <c r="C45" s="1"/>
      <c r="D45" s="1"/>
      <c r="E45" s="1"/>
      <c r="G45" s="1257"/>
      <c r="H45" s="1257"/>
      <c r="I45" s="1352"/>
      <c r="J45" s="1257"/>
      <c r="K45" s="1565"/>
    </row>
    <row r="46" spans="1:11" ht="51" customHeight="1">
      <c r="A46" s="67"/>
      <c r="B46" s="1716"/>
      <c r="C46" s="1717"/>
      <c r="D46" s="1717"/>
      <c r="E46" s="1717"/>
      <c r="F46" s="1717"/>
      <c r="G46" s="1717"/>
      <c r="H46" s="1717"/>
      <c r="I46" s="1717"/>
      <c r="J46" s="1717"/>
      <c r="K46" s="1718"/>
    </row>
    <row r="47" spans="1:11" ht="15">
      <c r="A47" s="67"/>
      <c r="B47" s="1719" t="s">
        <v>384</v>
      </c>
      <c r="C47" s="1719"/>
      <c r="D47" s="1719"/>
      <c r="E47" s="1719"/>
      <c r="F47" s="1719"/>
      <c r="G47" s="1719"/>
      <c r="H47" s="1719"/>
      <c r="I47" s="1719"/>
      <c r="J47" s="1719"/>
      <c r="K47" s="1720"/>
    </row>
    <row r="48" spans="1:11" ht="42" customHeight="1">
      <c r="A48" s="67"/>
      <c r="B48" s="1716"/>
      <c r="C48" s="1717"/>
      <c r="D48" s="1717"/>
      <c r="E48" s="1717"/>
      <c r="F48" s="1717"/>
      <c r="G48" s="1717"/>
      <c r="H48" s="1717"/>
      <c r="I48" s="1717"/>
      <c r="J48" s="1717"/>
      <c r="K48" s="1718"/>
    </row>
    <row r="49" spans="1:11" ht="15">
      <c r="A49" s="280"/>
      <c r="B49" s="1191"/>
      <c r="C49" s="1191"/>
      <c r="D49" s="1191"/>
      <c r="E49" s="1191"/>
      <c r="F49" s="1192"/>
      <c r="G49" s="1193"/>
      <c r="H49" s="1194"/>
      <c r="I49" s="1031"/>
      <c r="J49" s="1195"/>
      <c r="K49" s="309"/>
    </row>
    <row r="50" spans="1:11" ht="15">
      <c r="A50" s="677" t="s">
        <v>376</v>
      </c>
      <c r="C50" s="153"/>
      <c r="D50" s="153"/>
      <c r="E50" s="153"/>
      <c r="F50" s="150"/>
      <c r="G50" s="1295"/>
      <c r="H50" s="1295"/>
      <c r="I50" s="541"/>
      <c r="J50" s="668"/>
      <c r="K50" s="542"/>
    </row>
    <row r="51" spans="1:11" ht="15">
      <c r="A51" s="67"/>
      <c r="B51" s="145" t="s">
        <v>455</v>
      </c>
      <c r="C51" s="139"/>
      <c r="D51" s="139"/>
      <c r="E51" s="139"/>
      <c r="F51" s="1490"/>
      <c r="G51" s="1502"/>
      <c r="H51" s="1502"/>
      <c r="I51" s="1493">
        <f>SUM(H51-G51)</f>
        <v>0</v>
      </c>
      <c r="J51" s="1503"/>
      <c r="K51" s="1504">
        <f>SUM(J51-H51)</f>
        <v>0</v>
      </c>
    </row>
    <row r="52" spans="1:11" ht="15">
      <c r="A52" s="67"/>
      <c r="B52" s="145" t="s">
        <v>454</v>
      </c>
      <c r="C52" s="139"/>
      <c r="D52" s="139"/>
      <c r="E52" s="139"/>
      <c r="F52" s="1490"/>
      <c r="G52" s="1502"/>
      <c r="H52" s="1502"/>
      <c r="I52" s="1493">
        <f>SUM(H52-G52)</f>
        <v>0</v>
      </c>
      <c r="J52" s="1503"/>
      <c r="K52" s="1504">
        <f>SUM(J52-H52)</f>
        <v>0</v>
      </c>
    </row>
    <row r="53" spans="1:11" ht="15">
      <c r="A53" s="67"/>
      <c r="B53" s="140" t="s">
        <v>485</v>
      </c>
      <c r="C53" s="139"/>
      <c r="D53" s="139"/>
      <c r="E53" s="139"/>
      <c r="F53" s="1490"/>
      <c r="G53" s="1508"/>
      <c r="H53" s="1508"/>
      <c r="I53" s="622" t="str">
        <f t="shared" ref="I53:I58" si="0">IF(G53&lt;1," ",IF(H53&lt;1," ",(H53-G53)/G53))</f>
        <v xml:space="preserve"> </v>
      </c>
      <c r="J53" s="1508"/>
      <c r="K53" s="482" t="str">
        <f t="shared" ref="K53:K58" si="1">IF(H53&lt;1," ",IF(J53&lt;1," ",(J53-H53)/H53))</f>
        <v xml:space="preserve"> </v>
      </c>
    </row>
    <row r="54" spans="1:11" ht="15">
      <c r="A54" s="67"/>
      <c r="B54" s="140" t="s">
        <v>486</v>
      </c>
      <c r="C54" s="139"/>
      <c r="D54" s="139"/>
      <c r="E54" s="139"/>
      <c r="F54" s="1490"/>
      <c r="G54" s="1508"/>
      <c r="H54" s="1508"/>
      <c r="I54" s="622" t="str">
        <f t="shared" si="0"/>
        <v xml:space="preserve"> </v>
      </c>
      <c r="J54" s="1508"/>
      <c r="K54" s="482" t="str">
        <f t="shared" si="1"/>
        <v xml:space="preserve"> </v>
      </c>
    </row>
    <row r="55" spans="1:11" ht="15">
      <c r="A55" s="67"/>
      <c r="B55" s="145" t="s">
        <v>380</v>
      </c>
      <c r="C55" s="139"/>
      <c r="D55" s="139"/>
      <c r="E55" s="139"/>
      <c r="F55" s="1490"/>
      <c r="G55" s="1508"/>
      <c r="H55" s="1508"/>
      <c r="I55" s="483" t="str">
        <f t="shared" si="0"/>
        <v xml:space="preserve"> </v>
      </c>
      <c r="J55" s="1508"/>
      <c r="K55" s="482" t="str">
        <f t="shared" si="1"/>
        <v xml:space="preserve"> </v>
      </c>
    </row>
    <row r="56" spans="1:11" ht="15">
      <c r="A56" s="67"/>
      <c r="B56" s="145" t="s">
        <v>493</v>
      </c>
      <c r="C56" s="139"/>
      <c r="D56" s="139"/>
      <c r="E56" s="139"/>
      <c r="F56" s="1490"/>
      <c r="G56" s="1508"/>
      <c r="H56" s="1508"/>
      <c r="I56" s="483" t="str">
        <f t="shared" si="0"/>
        <v xml:space="preserve"> </v>
      </c>
      <c r="J56" s="1508"/>
      <c r="K56" s="482" t="str">
        <f t="shared" si="1"/>
        <v xml:space="preserve"> </v>
      </c>
    </row>
    <row r="57" spans="1:11" ht="15">
      <c r="A57" s="67"/>
      <c r="B57" s="145" t="s">
        <v>379</v>
      </c>
      <c r="C57" s="139"/>
      <c r="D57" s="139"/>
      <c r="E57" s="139"/>
      <c r="F57" s="1490"/>
      <c r="G57" s="1508"/>
      <c r="H57" s="1508"/>
      <c r="I57" s="483" t="str">
        <f t="shared" si="0"/>
        <v xml:space="preserve"> </v>
      </c>
      <c r="J57" s="1508"/>
      <c r="K57" s="482" t="str">
        <f t="shared" si="1"/>
        <v xml:space="preserve"> </v>
      </c>
    </row>
    <row r="58" spans="1:11" ht="15">
      <c r="A58" s="67"/>
      <c r="B58" s="140" t="s">
        <v>498</v>
      </c>
      <c r="C58" s="139"/>
      <c r="D58" s="139"/>
      <c r="E58" s="139"/>
      <c r="F58" s="1490"/>
      <c r="G58" s="1508"/>
      <c r="H58" s="1508"/>
      <c r="I58" s="483" t="str">
        <f t="shared" si="0"/>
        <v xml:space="preserve"> </v>
      </c>
      <c r="J58" s="1508"/>
      <c r="K58" s="482" t="str">
        <f t="shared" si="1"/>
        <v xml:space="preserve"> </v>
      </c>
    </row>
    <row r="59" spans="1:11" ht="15">
      <c r="A59" s="67"/>
      <c r="B59" s="140" t="s">
        <v>440</v>
      </c>
      <c r="C59" s="139"/>
      <c r="D59" s="139"/>
      <c r="E59" s="139"/>
      <c r="F59" s="1490"/>
      <c r="G59" s="1306"/>
      <c r="H59" s="1306"/>
      <c r="I59" s="483">
        <f>H59-G59</f>
        <v>0</v>
      </c>
      <c r="J59" s="1306"/>
      <c r="K59" s="482">
        <f>J59-H59</f>
        <v>0</v>
      </c>
    </row>
    <row r="60" spans="1:11" ht="6.75" customHeight="1">
      <c r="A60" s="67"/>
      <c r="B60" s="1255"/>
      <c r="C60" s="151"/>
      <c r="D60" s="151"/>
      <c r="E60" s="151"/>
      <c r="F60" s="1256"/>
      <c r="G60" s="1257"/>
      <c r="H60" s="1257"/>
      <c r="I60" s="1258"/>
      <c r="J60" s="1257"/>
      <c r="K60" s="1518"/>
    </row>
    <row r="61" spans="1:11" ht="12" customHeight="1">
      <c r="A61" s="67"/>
      <c r="B61" s="1294" t="s">
        <v>495</v>
      </c>
      <c r="C61" s="1"/>
      <c r="D61" s="1"/>
      <c r="E61" s="1"/>
      <c r="G61" s="1257"/>
      <c r="H61" s="1257"/>
      <c r="I61" s="1352"/>
      <c r="J61" s="1257"/>
      <c r="K61" s="1565"/>
    </row>
    <row r="62" spans="1:11" ht="51" customHeight="1">
      <c r="A62" s="67"/>
      <c r="B62" s="1716"/>
      <c r="C62" s="1717"/>
      <c r="D62" s="1717"/>
      <c r="E62" s="1717"/>
      <c r="F62" s="1717"/>
      <c r="G62" s="1717"/>
      <c r="H62" s="1717"/>
      <c r="I62" s="1717"/>
      <c r="J62" s="1717"/>
      <c r="K62" s="1718"/>
    </row>
    <row r="63" spans="1:11" ht="15">
      <c r="A63" s="67"/>
      <c r="B63" s="1719" t="s">
        <v>384</v>
      </c>
      <c r="C63" s="1719"/>
      <c r="D63" s="1719"/>
      <c r="E63" s="1719"/>
      <c r="F63" s="1719"/>
      <c r="G63" s="1719"/>
      <c r="H63" s="1719"/>
      <c r="I63" s="1719"/>
      <c r="J63" s="1719"/>
      <c r="K63" s="1720"/>
    </row>
    <row r="64" spans="1:11" ht="42" customHeight="1">
      <c r="A64" s="67"/>
      <c r="B64" s="1716"/>
      <c r="C64" s="1717"/>
      <c r="D64" s="1717"/>
      <c r="E64" s="1717"/>
      <c r="F64" s="1717"/>
      <c r="G64" s="1717"/>
      <c r="H64" s="1717"/>
      <c r="I64" s="1717"/>
      <c r="J64" s="1717"/>
      <c r="K64" s="1718"/>
    </row>
    <row r="65" spans="1:13">
      <c r="A65" s="235"/>
      <c r="H65" s="1519"/>
      <c r="J65" s="1519"/>
      <c r="K65" s="467"/>
    </row>
    <row r="66" spans="1:13" ht="15">
      <c r="A66" s="677" t="s">
        <v>444</v>
      </c>
      <c r="K66" s="467"/>
      <c r="M66" s="1254"/>
    </row>
    <row r="67" spans="1:13" ht="15">
      <c r="A67" s="235"/>
      <c r="B67" s="1220" t="s">
        <v>488</v>
      </c>
      <c r="C67" s="1221"/>
      <c r="D67" s="144"/>
      <c r="E67" s="144"/>
      <c r="F67" s="1490"/>
      <c r="G67" s="1509"/>
      <c r="H67" s="1306"/>
      <c r="I67" s="483">
        <f>H67-G67</f>
        <v>0</v>
      </c>
      <c r="J67" s="1306"/>
      <c r="K67" s="482">
        <f>J67-H67</f>
        <v>0</v>
      </c>
      <c r="M67" s="1254"/>
    </row>
    <row r="68" spans="1:13" ht="15">
      <c r="A68" s="235"/>
      <c r="B68" s="1220" t="s">
        <v>487</v>
      </c>
      <c r="C68" s="144"/>
      <c r="D68" s="144"/>
      <c r="E68" s="144"/>
      <c r="F68" s="1490"/>
      <c r="G68" s="1509"/>
      <c r="H68" s="1306"/>
      <c r="I68" s="483">
        <f>H68-G68</f>
        <v>0</v>
      </c>
      <c r="J68" s="1306"/>
      <c r="K68" s="482">
        <f>J68-H68</f>
        <v>0</v>
      </c>
      <c r="M68" s="1254"/>
    </row>
    <row r="69" spans="1:13" ht="15">
      <c r="A69" s="235"/>
      <c r="B69" s="1220" t="s">
        <v>447</v>
      </c>
      <c r="C69" s="144"/>
      <c r="D69" s="144"/>
      <c r="E69" s="144"/>
      <c r="F69" s="1490"/>
      <c r="G69" s="1371"/>
      <c r="H69" s="1306"/>
      <c r="I69" s="483">
        <f>H69-G69</f>
        <v>0</v>
      </c>
      <c r="J69" s="1306"/>
      <c r="K69" s="482">
        <f>J69-H69</f>
        <v>0</v>
      </c>
      <c r="M69" s="1254"/>
    </row>
    <row r="70" spans="1:13" ht="15">
      <c r="A70" s="235"/>
      <c r="B70" s="1220" t="s">
        <v>448</v>
      </c>
      <c r="C70" s="144"/>
      <c r="D70" s="144"/>
      <c r="E70" s="144"/>
      <c r="F70" s="1490"/>
      <c r="G70" s="1533"/>
      <c r="H70" s="1533"/>
      <c r="I70" s="1510">
        <f>H70-G70</f>
        <v>0</v>
      </c>
      <c r="J70" s="1533"/>
      <c r="K70" s="482">
        <f>J70-H70</f>
        <v>0</v>
      </c>
    </row>
    <row r="71" spans="1:13" ht="15">
      <c r="A71" s="280"/>
      <c r="B71" s="329"/>
      <c r="C71" s="329"/>
      <c r="D71" s="329"/>
      <c r="E71" s="329"/>
      <c r="F71" s="656"/>
      <c r="G71" s="1193"/>
      <c r="H71" s="1194"/>
      <c r="I71" s="1031"/>
      <c r="J71" s="1195"/>
      <c r="K71" s="660"/>
    </row>
    <row r="72" spans="1:13" ht="15">
      <c r="A72" s="675" t="s">
        <v>335</v>
      </c>
      <c r="B72" s="164"/>
      <c r="C72" s="164"/>
      <c r="D72" s="164"/>
      <c r="E72" s="164"/>
      <c r="F72" s="653"/>
      <c r="G72" s="1193"/>
      <c r="H72" s="1194"/>
      <c r="I72" s="541"/>
      <c r="J72" s="1528"/>
      <c r="K72" s="542"/>
    </row>
    <row r="73" spans="1:13" ht="15">
      <c r="A73" s="67"/>
      <c r="B73" s="1529" t="s">
        <v>336</v>
      </c>
      <c r="C73" s="139"/>
      <c r="D73" s="139"/>
      <c r="E73" s="139"/>
      <c r="F73" s="1490"/>
      <c r="G73" s="1508"/>
      <c r="H73" s="1508"/>
      <c r="I73" s="483" t="str">
        <f>IF(G73&lt;1," ",IF(H73&lt;1," ",(H73-G73)/G73))</f>
        <v xml:space="preserve"> </v>
      </c>
      <c r="J73" s="1508"/>
      <c r="K73" s="482" t="str">
        <f>IF(H73&lt;1," ",IF(J73&lt;1," ",(J73-H73)/H73))</f>
        <v xml:space="preserve"> </v>
      </c>
    </row>
    <row r="74" spans="1:13" ht="15">
      <c r="A74" s="67"/>
      <c r="B74" s="145" t="s">
        <v>337</v>
      </c>
      <c r="C74" s="139"/>
      <c r="D74" s="139"/>
      <c r="E74" s="139"/>
      <c r="F74" s="1490"/>
      <c r="G74" s="1508"/>
      <c r="H74" s="1508"/>
      <c r="I74" s="483" t="str">
        <f>IF(G74&lt;1," ",IF(H74&lt;1," ",(H74-G74)/G74))</f>
        <v xml:space="preserve"> </v>
      </c>
      <c r="J74" s="1508"/>
      <c r="K74" s="482" t="str">
        <f>IF(H74&lt;1," ",IF(J74&lt;1," ",(J74-H74)/H74))</f>
        <v xml:space="preserve"> </v>
      </c>
    </row>
    <row r="75" spans="1:13" ht="15">
      <c r="A75" s="67"/>
      <c r="B75" s="145" t="s">
        <v>338</v>
      </c>
      <c r="C75" s="139"/>
      <c r="D75" s="139"/>
      <c r="E75" s="139"/>
      <c r="F75" s="1490"/>
      <c r="G75" s="1508"/>
      <c r="H75" s="1508"/>
      <c r="I75" s="483" t="str">
        <f>IF(G75&lt;1," ",IF(H75&lt;1," ",(H75-G75)/G75))</f>
        <v xml:space="preserve"> </v>
      </c>
      <c r="J75" s="1508"/>
      <c r="K75" s="482" t="str">
        <f>IF(H75&lt;1," ",IF(J75&lt;1," ",(J75-H75)/H75))</f>
        <v xml:space="preserve"> </v>
      </c>
    </row>
    <row r="76" spans="1:13" ht="15">
      <c r="A76" s="67"/>
      <c r="B76" s="145" t="s">
        <v>158</v>
      </c>
      <c r="C76" s="139"/>
      <c r="D76" s="139"/>
      <c r="E76" s="139"/>
      <c r="F76" s="1490"/>
      <c r="G76" s="1508"/>
      <c r="H76" s="1508"/>
      <c r="I76" s="483" t="str">
        <f>IF(G76&lt;1," ",IF(H76&lt;1," ",(H76-G76)/G76))</f>
        <v xml:space="preserve"> </v>
      </c>
      <c r="J76" s="1508"/>
      <c r="K76" s="482" t="str">
        <f>IF(H76&lt;1," ",IF(J76&lt;1," ",(J76-H76)/H76))</f>
        <v xml:space="preserve"> </v>
      </c>
    </row>
    <row r="77" spans="1:13" ht="10.5" customHeight="1">
      <c r="A77" s="67"/>
      <c r="B77" s="1255"/>
      <c r="C77" s="151"/>
      <c r="D77" s="151"/>
      <c r="E77" s="151"/>
      <c r="F77" s="1256"/>
      <c r="G77" s="1257"/>
      <c r="H77" s="1257"/>
      <c r="I77" s="1258"/>
      <c r="J77" s="1257"/>
      <c r="K77" s="1518"/>
    </row>
    <row r="78" spans="1:13" ht="15">
      <c r="A78" s="67"/>
      <c r="B78" s="1719" t="s">
        <v>456</v>
      </c>
      <c r="C78" s="1719"/>
      <c r="D78" s="1719"/>
      <c r="E78" s="1719"/>
      <c r="F78" s="1719"/>
      <c r="G78" s="1719"/>
      <c r="H78" s="1719"/>
      <c r="I78" s="1719"/>
      <c r="J78" s="1719"/>
      <c r="K78" s="1720"/>
    </row>
    <row r="79" spans="1:13" ht="42" customHeight="1">
      <c r="A79" s="67"/>
      <c r="B79" s="1716"/>
      <c r="C79" s="1717"/>
      <c r="D79" s="1717"/>
      <c r="E79" s="1717"/>
      <c r="F79" s="1717"/>
      <c r="G79" s="1717"/>
      <c r="H79" s="1717"/>
      <c r="I79" s="1717"/>
      <c r="J79" s="1717"/>
      <c r="K79" s="1718"/>
    </row>
    <row r="80" spans="1:13" ht="10.5" customHeight="1">
      <c r="A80" s="1259"/>
      <c r="B80" s="1260"/>
      <c r="C80" s="1260"/>
      <c r="D80" s="1260"/>
      <c r="E80" s="1260"/>
      <c r="F80" s="656"/>
      <c r="G80" s="1261"/>
      <c r="H80" s="1262"/>
      <c r="I80" s="1263"/>
      <c r="J80" s="1264"/>
      <c r="K80" s="1265"/>
    </row>
    <row r="81" spans="1:11" ht="15">
      <c r="A81" s="302" t="s">
        <v>203</v>
      </c>
      <c r="C81" s="1"/>
      <c r="D81" s="1"/>
      <c r="E81" s="1"/>
      <c r="F81" s="150"/>
      <c r="G81" s="1530"/>
      <c r="H81" s="1530"/>
      <c r="I81" s="157"/>
      <c r="J81" s="1530"/>
      <c r="K81" s="1267"/>
    </row>
    <row r="82" spans="1:11" ht="15">
      <c r="A82" s="67"/>
      <c r="B82" s="681">
        <v>0.01</v>
      </c>
      <c r="C82" s="139" t="s">
        <v>41</v>
      </c>
      <c r="D82" s="139"/>
      <c r="E82" s="139"/>
      <c r="F82" s="1490"/>
      <c r="G82" s="1520">
        <f>B82*('2nd Interim-Summary MYP'!H13+'2nd Interim-Summary MYP'!H14+'2nd Interim-Summary MYP'!H15+'2nd Interim-Summary MYP'!H16)</f>
        <v>0</v>
      </c>
      <c r="H82" s="1520">
        <f>B82*('2nd Interim-Summary MYP'!J13+'2nd Interim-Summary MYP'!J14+'2nd Interim-Summary MYP'!J15+'2nd Interim-Summary MYP'!J16)</f>
        <v>0</v>
      </c>
      <c r="I82" s="294" t="str">
        <f>IF(G82&lt;1," ",IF(H82&lt;1," ",(H82-G82)/G82))</f>
        <v xml:space="preserve"> </v>
      </c>
      <c r="J82" s="1520">
        <f>B82*('2nd Interim-Summary MYP'!L13+'2nd Interim-Summary MYP'!L14+'2nd Interim-Summary MYP'!L15+'2nd Interim-Summary MYP'!L16)</f>
        <v>0</v>
      </c>
      <c r="K82" s="910" t="str">
        <f>IF(H82&lt;1," ",IF(J82&lt;1," ",(J82-H82)/H82))</f>
        <v xml:space="preserve"> </v>
      </c>
    </row>
    <row r="83" spans="1:11" ht="15">
      <c r="A83" s="67"/>
      <c r="B83" s="152"/>
      <c r="C83" s="139" t="s">
        <v>232</v>
      </c>
      <c r="D83" s="139"/>
      <c r="E83" s="139"/>
      <c r="F83" s="1490"/>
      <c r="G83" s="1512"/>
      <c r="H83" s="1512"/>
      <c r="I83" s="483" t="str">
        <f>IF(G83&lt;1," ",IF(H83&lt;1," ",(H83-G83)/G83))</f>
        <v xml:space="preserve"> </v>
      </c>
      <c r="J83" s="1512"/>
      <c r="K83" s="482" t="str">
        <f>IF(H83&lt;1," ",IF(J83&lt;1," ",(J83-H83)/H83))</f>
        <v xml:space="preserve"> </v>
      </c>
    </row>
    <row r="84" spans="1:11" ht="15">
      <c r="A84" s="67"/>
      <c r="B84" s="145"/>
      <c r="C84" s="139" t="s">
        <v>246</v>
      </c>
      <c r="D84" s="139"/>
      <c r="E84" s="139"/>
      <c r="F84" s="1490"/>
      <c r="G84" s="1512"/>
      <c r="H84" s="1512"/>
      <c r="I84" s="483" t="str">
        <f>IF(G84&lt;1," ",IF(H84&lt;1," ",(H84-G84)/G84))</f>
        <v xml:space="preserve"> </v>
      </c>
      <c r="J84" s="1512"/>
      <c r="K84" s="482" t="str">
        <f>IF(H84&lt;1," ",IF(J84&lt;1," ",(J84-H84)/H84))</f>
        <v xml:space="preserve"> </v>
      </c>
    </row>
    <row r="85" spans="1:11" ht="11.25" customHeight="1">
      <c r="A85" s="280"/>
      <c r="B85" s="329"/>
      <c r="C85" s="329"/>
      <c r="D85" s="329"/>
      <c r="E85" s="329"/>
      <c r="F85" s="656"/>
      <c r="G85" s="657"/>
      <c r="H85" s="658"/>
      <c r="I85" s="489"/>
      <c r="J85" s="659"/>
      <c r="K85" s="660"/>
    </row>
    <row r="86" spans="1:11" ht="15">
      <c r="A86" s="675" t="s">
        <v>341</v>
      </c>
      <c r="C86" s="153"/>
      <c r="D86" s="153"/>
      <c r="E86" s="153"/>
      <c r="F86" s="150"/>
      <c r="G86" s="669"/>
      <c r="H86" s="669"/>
      <c r="I86" s="670"/>
      <c r="J86" s="669"/>
      <c r="K86" s="671"/>
    </row>
    <row r="87" spans="1:11" ht="15.4">
      <c r="A87" s="283"/>
      <c r="B87" s="1714"/>
      <c r="C87" s="1714"/>
      <c r="D87" s="1714"/>
      <c r="E87" s="1714"/>
      <c r="F87" s="1714"/>
      <c r="G87" s="1512"/>
      <c r="H87" s="1512"/>
      <c r="I87" s="1513" t="str">
        <f t="shared" ref="I87:I94" si="2">IF(G87&lt;1," ",IF(H87&lt;1," ",(H87-G87)/G87))</f>
        <v xml:space="preserve"> </v>
      </c>
      <c r="J87" s="1512"/>
      <c r="K87" s="596" t="str">
        <f t="shared" ref="K87:K94" si="3">IF(H87&lt;1," ",IF(J87&lt;1," ",(J87-H87)/H87))</f>
        <v xml:space="preserve"> </v>
      </c>
    </row>
    <row r="88" spans="1:11" ht="15.4">
      <c r="A88" s="283"/>
      <c r="B88" s="1714"/>
      <c r="C88" s="1714"/>
      <c r="D88" s="1714"/>
      <c r="E88" s="1714"/>
      <c r="F88" s="1714"/>
      <c r="G88" s="1512"/>
      <c r="H88" s="1512"/>
      <c r="I88" s="483" t="str">
        <f t="shared" si="2"/>
        <v xml:space="preserve"> </v>
      </c>
      <c r="J88" s="1512"/>
      <c r="K88" s="482" t="str">
        <f t="shared" si="3"/>
        <v xml:space="preserve"> </v>
      </c>
    </row>
    <row r="89" spans="1:11" ht="15.4">
      <c r="A89" s="283"/>
      <c r="B89" s="1714"/>
      <c r="C89" s="1714"/>
      <c r="D89" s="1714"/>
      <c r="E89" s="1714"/>
      <c r="F89" s="1714"/>
      <c r="G89" s="1512"/>
      <c r="H89" s="1512"/>
      <c r="I89" s="483" t="str">
        <f t="shared" si="2"/>
        <v xml:space="preserve"> </v>
      </c>
      <c r="J89" s="1512"/>
      <c r="K89" s="482" t="str">
        <f t="shared" si="3"/>
        <v xml:space="preserve"> </v>
      </c>
    </row>
    <row r="90" spans="1:11" ht="15.4">
      <c r="A90" s="283"/>
      <c r="B90" s="1714"/>
      <c r="C90" s="1714"/>
      <c r="D90" s="1714"/>
      <c r="E90" s="1714"/>
      <c r="F90" s="1714"/>
      <c r="G90" s="1512"/>
      <c r="H90" s="1512"/>
      <c r="I90" s="483" t="str">
        <f t="shared" si="2"/>
        <v xml:space="preserve"> </v>
      </c>
      <c r="J90" s="1512"/>
      <c r="K90" s="482" t="str">
        <f t="shared" si="3"/>
        <v xml:space="preserve"> </v>
      </c>
    </row>
    <row r="91" spans="1:11" ht="15.4">
      <c r="A91" s="283"/>
      <c r="B91" s="1714"/>
      <c r="C91" s="1714"/>
      <c r="D91" s="1714"/>
      <c r="E91" s="1714"/>
      <c r="F91" s="1714"/>
      <c r="G91" s="1512"/>
      <c r="H91" s="1512"/>
      <c r="I91" s="483" t="str">
        <f t="shared" si="2"/>
        <v xml:space="preserve"> </v>
      </c>
      <c r="J91" s="1512"/>
      <c r="K91" s="482" t="str">
        <f t="shared" si="3"/>
        <v xml:space="preserve"> </v>
      </c>
    </row>
    <row r="92" spans="1:11" ht="15.4">
      <c r="A92" s="283"/>
      <c r="B92" s="1714"/>
      <c r="C92" s="1714"/>
      <c r="D92" s="1714"/>
      <c r="E92" s="1714"/>
      <c r="F92" s="1714"/>
      <c r="G92" s="1512"/>
      <c r="H92" s="1512"/>
      <c r="I92" s="483" t="str">
        <f t="shared" si="2"/>
        <v xml:space="preserve"> </v>
      </c>
      <c r="J92" s="1512"/>
      <c r="K92" s="482" t="str">
        <f t="shared" si="3"/>
        <v xml:space="preserve"> </v>
      </c>
    </row>
    <row r="93" spans="1:11" ht="15.4">
      <c r="A93" s="283"/>
      <c r="B93" s="1714"/>
      <c r="C93" s="1714"/>
      <c r="D93" s="1714"/>
      <c r="E93" s="1714"/>
      <c r="F93" s="1714"/>
      <c r="G93" s="1514"/>
      <c r="H93" s="1514"/>
      <c r="I93" s="483" t="str">
        <f t="shared" si="2"/>
        <v xml:space="preserve"> </v>
      </c>
      <c r="J93" s="1514"/>
      <c r="K93" s="482" t="str">
        <f t="shared" si="3"/>
        <v xml:space="preserve"> </v>
      </c>
    </row>
    <row r="94" spans="1:11" ht="15.75" thickBot="1">
      <c r="A94" s="284"/>
      <c r="B94" s="1715"/>
      <c r="C94" s="1715"/>
      <c r="D94" s="1715"/>
      <c r="E94" s="1715"/>
      <c r="F94" s="1715"/>
      <c r="G94" s="1515"/>
      <c r="H94" s="1515"/>
      <c r="I94" s="1516" t="str">
        <f t="shared" si="2"/>
        <v xml:space="preserve"> </v>
      </c>
      <c r="J94" s="1515"/>
      <c r="K94" s="1517" t="str">
        <f t="shared" si="3"/>
        <v xml:space="preserve"> </v>
      </c>
    </row>
  </sheetData>
  <sheetProtection password="D94D" sheet="1"/>
  <mergeCells count="20">
    <mergeCell ref="A1:F1"/>
    <mergeCell ref="A2:F2"/>
    <mergeCell ref="A3:F3"/>
    <mergeCell ref="B90:F90"/>
    <mergeCell ref="B91:F91"/>
    <mergeCell ref="B87:F87"/>
    <mergeCell ref="B47:K47"/>
    <mergeCell ref="B48:K48"/>
    <mergeCell ref="B63:K63"/>
    <mergeCell ref="B64:K64"/>
    <mergeCell ref="A4:K4"/>
    <mergeCell ref="B78:K78"/>
    <mergeCell ref="B79:K79"/>
    <mergeCell ref="B46:K46"/>
    <mergeCell ref="B62:K62"/>
    <mergeCell ref="B94:F94"/>
    <mergeCell ref="B92:F92"/>
    <mergeCell ref="B93:F93"/>
    <mergeCell ref="B88:F88"/>
    <mergeCell ref="B89:F89"/>
  </mergeCells>
  <conditionalFormatting sqref="A1:A3">
    <cfRule type="containsText" dxfId="50" priority="10" stopIfTrue="1" operator="containsText" text="Enter">
      <formula>NOT(ISERROR(SEARCH("Enter",A1)))</formula>
    </cfRule>
  </conditionalFormatting>
  <conditionalFormatting sqref="G21:H21 J21">
    <cfRule type="cellIs" dxfId="49" priority="17" stopIfTrue="1" operator="equal">
      <formula>"Cell G11 can NOT be blank"</formula>
    </cfRule>
  </conditionalFormatting>
  <conditionalFormatting sqref="G21:H21">
    <cfRule type="containsText" dxfId="48" priority="6" stopIfTrue="1" operator="containsText" text="Missing">
      <formula>NOT(ISERROR(SEARCH("Missing",G21)))</formula>
    </cfRule>
    <cfRule type="containsText" dxfId="47" priority="13" stopIfTrue="1" operator="containsText" text="Missing Data ADA Tab, cell G10">
      <formula>NOT(ISERROR(SEARCH("Missing Data ADA Tab, cell G10",G21)))</formula>
    </cfRule>
    <cfRule type="containsText" dxfId="46" priority="14" stopIfTrue="1" operator="containsText" text="Missing Data ADA Tab cell G10">
      <formula>NOT(ISERROR(SEARCH("Missing Data ADA Tab cell G10",G21)))</formula>
    </cfRule>
  </conditionalFormatting>
  <conditionalFormatting sqref="H21">
    <cfRule type="containsText" dxfId="45" priority="7" stopIfTrue="1" operator="containsText" text="Missing Data ADA Tab, cell G10">
      <formula>NOT(ISERROR(SEARCH("Missing Data ADA Tab, cell G10",H21)))</formula>
    </cfRule>
    <cfRule type="containsText" dxfId="44" priority="8" stopIfTrue="1" operator="containsText" text="Missing Data ADA Tab cell G10">
      <formula>NOT(ISERROR(SEARCH("Missing Data ADA Tab cell G10",H21)))</formula>
    </cfRule>
  </conditionalFormatting>
  <conditionalFormatting sqref="J21">
    <cfRule type="containsText" dxfId="43" priority="1" stopIfTrue="1" operator="containsText" text="Missing">
      <formula>NOT(ISERROR(SEARCH("Missing",J21)))</formula>
    </cfRule>
    <cfRule type="containsText" dxfId="42" priority="2" stopIfTrue="1" operator="containsText" text="Missing Data ADA Tab, cell G10">
      <formula>NOT(ISERROR(SEARCH("Missing Data ADA Tab, cell G10",J21)))</formula>
    </cfRule>
    <cfRule type="containsText" dxfId="41" priority="3" stopIfTrue="1" operator="containsText" text="Missing Data ADA Tab cell G10">
      <formula>NOT(ISERROR(SEARCH("Missing Data ADA Tab cell G10",J21)))</formula>
    </cfRule>
    <cfRule type="containsText" dxfId="40" priority="4" stopIfTrue="1" operator="containsText" text="Missing Data ADA Tab, cell G10">
      <formula>NOT(ISERROR(SEARCH("Missing Data ADA Tab, cell G10",J21)))</formula>
    </cfRule>
    <cfRule type="containsText" dxfId="39" priority="5" stopIfTrue="1" operator="containsText" text="Missing Data ADA Tab cell G10">
      <formula>NOT(ISERROR(SEARCH("Missing Data ADA Tab cell G10",J21)))</formula>
    </cfRule>
    <cfRule type="containsText" dxfId="38" priority="11" stopIfTrue="1" operator="containsText" text="Missing Data ADA Tab, cell G10">
      <formula>NOT(ISERROR(SEARCH("Missing Data ADA Tab, cell G10",J21)))</formula>
    </cfRule>
    <cfRule type="containsText" dxfId="37" priority="12" stopIfTrue="1" operator="containsText" text="Missing Data ADA Tab cell G10">
      <formula>NOT(ISERROR(SEARCH("Missing Data ADA Tab cell G10",J21)))</formula>
    </cfRule>
  </conditionalFormatting>
  <printOptions horizontalCentered="1"/>
  <pageMargins left="0.25" right="0.25" top="0.75" bottom="0.75" header="0.3" footer="0.3"/>
  <pageSetup scale="6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theme="5"/>
    <pageSetUpPr fitToPage="1"/>
  </sheetPr>
  <dimension ref="A1:N240"/>
  <sheetViews>
    <sheetView showGridLines="0" zoomScaleNormal="100" workbookViewId="0">
      <pane xSplit="4" ySplit="10" topLeftCell="E11" activePane="bottomRight" state="frozen"/>
      <selection activeCell="J13" sqref="J13"/>
      <selection pane="topRight" activeCell="J13" sqref="J13"/>
      <selection pane="bottomLeft" activeCell="J13" sqref="J13"/>
      <selection pane="bottomRight" activeCell="G13" sqref="G13"/>
    </sheetView>
  </sheetViews>
  <sheetFormatPr defaultRowHeight="12.75"/>
  <cols>
    <col min="1" max="1" width="5.46484375" customWidth="1"/>
    <col min="2" max="2" width="3" customWidth="1"/>
    <col min="3" max="3" width="85.1328125" customWidth="1"/>
    <col min="4" max="4" width="11" customWidth="1"/>
    <col min="5" max="8" width="14.53125" customWidth="1"/>
    <col min="9" max="9" width="10.53125" customWidth="1"/>
    <col min="10" max="10" width="14.53125" customWidth="1"/>
    <col min="11" max="11" width="10.53125" customWidth="1"/>
    <col min="12" max="12" width="14.53125" customWidth="1"/>
    <col min="13" max="13" width="10.53125" customWidth="1"/>
    <col min="14" max="14" width="60.1328125" style="1177" customWidth="1"/>
    <col min="15" max="33" width="9.1328125" customWidth="1"/>
  </cols>
  <sheetData>
    <row r="1" spans="1:13" ht="15">
      <c r="A1" s="1664" t="str">
        <f>IF('INTERIM-CERTIFICATION'!$M$1="","CHARTER NAME: Enter Charter Name on INTERIM-CERTIFICATION Worksheet",(CONCATENATE("CHARTER NAME: ",'INTERIM-CERTIFICATION'!$M$1)))</f>
        <v>CHARTER NAME: Encor Jr./Sr. High School for the Performing and Visual Arts</v>
      </c>
      <c r="B1" s="1664"/>
      <c r="C1" s="1664"/>
      <c r="D1" s="205"/>
      <c r="E1" s="12"/>
      <c r="F1" s="12"/>
      <c r="G1" s="156"/>
      <c r="H1" s="155"/>
      <c r="I1" s="1"/>
      <c r="J1" s="157"/>
      <c r="K1" s="1"/>
      <c r="L1" s="157"/>
      <c r="M1" s="1"/>
    </row>
    <row r="2" spans="1:13" ht="15">
      <c r="A2" s="1664" t="str">
        <f>IF('INTERIM-CERTIFICATION'!$M$2="","CDS #: Enter Charter CDS # on INTERIM-CERTIFICATION Worksheet",(_xlfn.CONCAT("CDS #: ",'INTERIM-CERTIFICATION'!$M$2)))</f>
        <v>CDS #: 35-75044-01166707</v>
      </c>
      <c r="B2" s="1664"/>
      <c r="C2" s="1664"/>
      <c r="D2" s="205"/>
      <c r="E2" s="12"/>
      <c r="F2" s="80"/>
      <c r="G2" s="156"/>
      <c r="H2" s="156"/>
      <c r="I2" s="1"/>
      <c r="J2" s="157"/>
      <c r="K2" s="1"/>
      <c r="L2" s="157"/>
      <c r="M2" s="1"/>
    </row>
    <row r="3" spans="1:13" ht="15">
      <c r="A3" s="1664" t="str">
        <f>IF('INTERIM-CERTIFICATION'!$M$5="","CHARTER #: Enter Charter # on INTERIM-CERTIFICATION Worksheet",(_xlfn.CONCAT("CHARTER #: ",'INTERIM-CERTIFICATION'!$M$5)))</f>
        <v>CHARTER #: 0971</v>
      </c>
      <c r="B3" s="1664"/>
      <c r="C3" s="1664"/>
      <c r="D3" s="205"/>
      <c r="E3" s="12"/>
      <c r="F3" s="12"/>
      <c r="G3" s="155"/>
      <c r="H3" s="155"/>
      <c r="I3" s="1"/>
      <c r="J3" s="157"/>
      <c r="K3" s="1"/>
      <c r="L3" s="157"/>
      <c r="M3" s="1"/>
    </row>
    <row r="4" spans="1:13" ht="15.4">
      <c r="A4" s="2"/>
      <c r="B4" s="52"/>
      <c r="C4" s="52"/>
      <c r="D4" s="158" t="str">
        <f>'2nd Interim-ADA'!J4</f>
        <v>Fiscal Year 2024-25 Second Interim Report</v>
      </c>
      <c r="E4" s="52"/>
      <c r="F4" s="52"/>
      <c r="G4" s="52"/>
      <c r="H4" s="52"/>
      <c r="I4" s="52"/>
      <c r="J4" s="52"/>
      <c r="K4" s="52"/>
      <c r="L4" s="52"/>
      <c r="M4" s="52"/>
    </row>
    <row r="5" spans="1:13" ht="15">
      <c r="A5" s="12"/>
      <c r="B5" s="12"/>
      <c r="C5" s="52"/>
      <c r="D5" s="158" t="s">
        <v>204</v>
      </c>
      <c r="E5" s="52"/>
      <c r="F5" s="52"/>
      <c r="G5" s="159"/>
      <c r="H5" s="159"/>
      <c r="I5" s="1"/>
      <c r="J5" s="160"/>
      <c r="K5" s="1"/>
      <c r="L5" s="160"/>
      <c r="M5" s="1"/>
    </row>
    <row r="6" spans="1:13" ht="15.4" thickBot="1">
      <c r="A6" s="1551" t="str">
        <f>Instructions!H1</f>
        <v>Form Revised (revision date here if revised)</v>
      </c>
      <c r="B6" s="12"/>
      <c r="C6" s="12"/>
      <c r="D6" s="12"/>
      <c r="E6" s="12"/>
      <c r="F6" s="12"/>
      <c r="G6" s="155"/>
      <c r="H6" s="155"/>
      <c r="I6" s="1"/>
      <c r="J6" s="157"/>
      <c r="K6" s="1"/>
      <c r="L6" s="157"/>
      <c r="M6" s="1"/>
    </row>
    <row r="7" spans="1:13" ht="15">
      <c r="A7" s="238"/>
      <c r="B7" s="233"/>
      <c r="C7" s="233"/>
      <c r="D7" s="295"/>
      <c r="E7" s="296"/>
      <c r="F7" s="297" t="s">
        <v>165</v>
      </c>
      <c r="G7" s="297" t="s">
        <v>161</v>
      </c>
      <c r="H7" s="297" t="str">
        <f>$G$7</f>
        <v>Second Interim</v>
      </c>
      <c r="I7" s="296"/>
      <c r="J7" s="298" t="str">
        <f>$G$7</f>
        <v>Second Interim</v>
      </c>
      <c r="K7" s="296"/>
      <c r="L7" s="298" t="str">
        <f>$G$7</f>
        <v>Second Interim</v>
      </c>
      <c r="M7" s="457"/>
    </row>
    <row r="8" spans="1:13" ht="15">
      <c r="A8" s="1775" t="s">
        <v>21</v>
      </c>
      <c r="B8" s="1776"/>
      <c r="C8" s="1776"/>
      <c r="D8" s="53"/>
      <c r="E8" s="14" t="s">
        <v>17</v>
      </c>
      <c r="F8" s="161" t="s">
        <v>19</v>
      </c>
      <c r="G8" s="450" t="s">
        <v>61</v>
      </c>
      <c r="H8" s="161" t="s">
        <v>19</v>
      </c>
      <c r="I8" s="14" t="s">
        <v>18</v>
      </c>
      <c r="J8" s="299" t="s">
        <v>19</v>
      </c>
      <c r="K8" s="14" t="s">
        <v>18</v>
      </c>
      <c r="L8" s="299" t="s">
        <v>19</v>
      </c>
      <c r="M8" s="458" t="s">
        <v>18</v>
      </c>
    </row>
    <row r="9" spans="1:13" ht="15">
      <c r="A9" s="67"/>
      <c r="B9" s="1"/>
      <c r="C9" s="1"/>
      <c r="D9" s="53"/>
      <c r="E9" s="14" t="s">
        <v>16</v>
      </c>
      <c r="F9" s="161" t="s">
        <v>16</v>
      </c>
      <c r="G9" s="161" t="s">
        <v>244</v>
      </c>
      <c r="H9" s="161" t="s">
        <v>16</v>
      </c>
      <c r="I9" s="14" t="s">
        <v>22</v>
      </c>
      <c r="J9" s="299" t="s">
        <v>16</v>
      </c>
      <c r="K9" s="14" t="s">
        <v>22</v>
      </c>
      <c r="L9" s="299" t="s">
        <v>16</v>
      </c>
      <c r="M9" s="458" t="s">
        <v>22</v>
      </c>
    </row>
    <row r="10" spans="1:13" ht="15.4" thickBot="1">
      <c r="A10" s="300"/>
      <c r="B10" s="162"/>
      <c r="C10" s="162"/>
      <c r="D10" s="54"/>
      <c r="E10" s="15" t="str">
        <f>'Budget-Unrestricted MYP'!F10</f>
        <v>2024-25</v>
      </c>
      <c r="F10" s="163" t="str">
        <f>E10</f>
        <v>2024-25</v>
      </c>
      <c r="G10" s="645">
        <f>'Budget-DEBT'!D13+1</f>
        <v>2025</v>
      </c>
      <c r="H10" s="163" t="str">
        <f>F10</f>
        <v>2024-25</v>
      </c>
      <c r="I10" s="15"/>
      <c r="J10" s="301" t="str">
        <f>'Budget-Unrestricted MYP'!H10</f>
        <v>2025-26</v>
      </c>
      <c r="K10" s="15"/>
      <c r="L10" s="301" t="str">
        <f>'Budget-Unrestricted MYP'!J10</f>
        <v>2026-27</v>
      </c>
      <c r="M10" s="459"/>
    </row>
    <row r="11" spans="1:13" ht="15.4" thickTop="1">
      <c r="A11" s="302" t="s">
        <v>1</v>
      </c>
      <c r="B11" s="1"/>
      <c r="C11" s="1"/>
      <c r="D11" s="333"/>
      <c r="E11" s="13"/>
      <c r="F11" s="800"/>
      <c r="G11" s="800"/>
      <c r="H11" s="800"/>
      <c r="I11" s="833"/>
      <c r="J11" s="800"/>
      <c r="K11" s="838"/>
      <c r="L11" s="451"/>
      <c r="M11" s="843"/>
    </row>
    <row r="12" spans="1:13" ht="15">
      <c r="A12" s="302"/>
      <c r="B12" s="274" t="s">
        <v>303</v>
      </c>
      <c r="C12" s="145"/>
      <c r="D12" s="139"/>
      <c r="E12" s="334"/>
      <c r="F12" s="452"/>
      <c r="G12" s="452"/>
      <c r="H12" s="452"/>
      <c r="I12" s="834"/>
      <c r="J12" s="452"/>
      <c r="K12" s="839"/>
      <c r="L12" s="150"/>
      <c r="M12" s="844"/>
    </row>
    <row r="13" spans="1:13" ht="15">
      <c r="A13" s="302"/>
      <c r="B13" s="145"/>
      <c r="C13" s="276" t="s">
        <v>152</v>
      </c>
      <c r="D13" s="342">
        <v>8011</v>
      </c>
      <c r="E13" s="684">
        <f>'Budget-Unrestricted MYP'!F13</f>
        <v>4666685</v>
      </c>
      <c r="F13" s="1068">
        <f>'1st Interim-Unrestricted MYP'!G13</f>
        <v>0</v>
      </c>
      <c r="G13" s="682"/>
      <c r="H13" s="684">
        <f>'2nd Interim-Assumptions'!G11-H14-H16</f>
        <v>0</v>
      </c>
      <c r="I13" s="266" t="str">
        <f>IF(E13&lt;1," ",IF(H13&lt;1," ",(H13-E13)/E13))</f>
        <v xml:space="preserve"> </v>
      </c>
      <c r="J13" s="774">
        <f>'2nd Interim-Assumptions'!H11-J14-J16</f>
        <v>0</v>
      </c>
      <c r="K13" s="266" t="str">
        <f>IF(H13&lt;1," ",IF(J13&lt;1," ",(J13-H13)/H13))</f>
        <v xml:space="preserve"> </v>
      </c>
      <c r="L13" s="684">
        <f>'2nd Interim-Assumptions'!J11-L14-L16</f>
        <v>0</v>
      </c>
      <c r="M13" s="303" t="str">
        <f>IF(J13&lt;1," ",IF(L13&lt;1," ",(L13-J13)/J13))</f>
        <v xml:space="preserve"> </v>
      </c>
    </row>
    <row r="14" spans="1:13" ht="15">
      <c r="A14" s="302"/>
      <c r="B14" s="145"/>
      <c r="C14" s="276" t="s">
        <v>153</v>
      </c>
      <c r="D14" s="342">
        <v>8012</v>
      </c>
      <c r="E14" s="684">
        <f>'Budget-Unrestricted MYP'!F14</f>
        <v>1916629</v>
      </c>
      <c r="F14" s="1151">
        <f>'1st Interim-Unrestricted MYP'!G14</f>
        <v>0</v>
      </c>
      <c r="G14" s="682"/>
      <c r="H14" s="850"/>
      <c r="I14" s="572" t="str">
        <f>IF(E14&lt;1," ",IF(H14&lt;1," ",(H14-E14)/E14))</f>
        <v xml:space="preserve"> </v>
      </c>
      <c r="J14" s="745"/>
      <c r="K14" s="266" t="str">
        <f>IF(H14&lt;1," ",IF(J14&lt;1," ",(J14-H14)/H14))</f>
        <v xml:space="preserve"> </v>
      </c>
      <c r="L14" s="693"/>
      <c r="M14" s="303" t="str">
        <f>IF(J14&lt;1," ",IF(L14&lt;1," ",(L14-J14)/J14))</f>
        <v xml:space="preserve"> </v>
      </c>
    </row>
    <row r="15" spans="1:13" ht="15">
      <c r="A15" s="67"/>
      <c r="B15" s="145"/>
      <c r="C15" s="276" t="s">
        <v>301</v>
      </c>
      <c r="D15" s="342">
        <v>8019</v>
      </c>
      <c r="E15" s="1152">
        <f>'Budget-Unrestricted MYP'!F15</f>
        <v>0</v>
      </c>
      <c r="F15" s="1151">
        <f>'1st Interim-Unrestricted MYP'!G15</f>
        <v>0</v>
      </c>
      <c r="G15" s="682"/>
      <c r="H15" s="851"/>
      <c r="I15" s="572" t="str">
        <f>IF(E15&lt;1," ",IF(H15&lt;1," ",(H15-E15)/E15))</f>
        <v xml:space="preserve"> </v>
      </c>
      <c r="J15" s="801"/>
      <c r="K15" s="266" t="str">
        <f>IF(H15&lt;1," ",IF(J15&lt;1," ",(J15-H15)/H15))</f>
        <v xml:space="preserve"> </v>
      </c>
      <c r="L15" s="801"/>
      <c r="M15" s="303" t="str">
        <f>IF(J15&lt;1," ",IF(L15&lt;1," ",(L15-J15)/J15))</f>
        <v xml:space="preserve"> </v>
      </c>
    </row>
    <row r="16" spans="1:13" ht="15">
      <c r="A16" s="67"/>
      <c r="B16" s="145"/>
      <c r="C16" s="276" t="s">
        <v>302</v>
      </c>
      <c r="D16" s="342">
        <v>8096</v>
      </c>
      <c r="E16" s="1152">
        <f>'Budget-Unrestricted MYP'!F16</f>
        <v>206686</v>
      </c>
      <c r="F16" s="1151">
        <f>'1st Interim-Unrestricted MYP'!G16</f>
        <v>0</v>
      </c>
      <c r="G16" s="682"/>
      <c r="H16" s="852"/>
      <c r="I16" s="631" t="str">
        <f>IF(E16&lt;1," ",IF(H16&lt;1," ",(H16-E16)/E16))</f>
        <v xml:space="preserve"> </v>
      </c>
      <c r="J16" s="693"/>
      <c r="K16" s="266" t="str">
        <f>IF(H16&lt;1," ",IF(J16&lt;1," ",(J16-H16)/H16))</f>
        <v xml:space="preserve"> </v>
      </c>
      <c r="L16" s="693"/>
      <c r="M16" s="303" t="str">
        <f>IF(J16&lt;1," ",IF(L16&lt;1," ",(L16-J16)/J16))</f>
        <v xml:space="preserve"> </v>
      </c>
    </row>
    <row r="17" spans="1:13" ht="15">
      <c r="A17" s="67"/>
      <c r="B17" s="274" t="s">
        <v>304</v>
      </c>
      <c r="C17" s="274"/>
      <c r="D17" s="342" t="s">
        <v>99</v>
      </c>
      <c r="E17" s="1152">
        <f>'Budget-Unrestricted MYP'!F17</f>
        <v>0</v>
      </c>
      <c r="F17" s="1151">
        <f>'1st Interim-Unrestricted MYP'!G17</f>
        <v>0</v>
      </c>
      <c r="G17" s="744">
        <f>G85</f>
        <v>0</v>
      </c>
      <c r="H17" s="744">
        <f>H85</f>
        <v>0</v>
      </c>
      <c r="I17" s="266" t="str">
        <f>IF(E17&lt;1," ",IF(H17&lt;1," ",(H17-E17)/E17))</f>
        <v xml:space="preserve"> </v>
      </c>
      <c r="J17" s="287">
        <f>J85</f>
        <v>0</v>
      </c>
      <c r="K17" s="266" t="str">
        <f>IF(H17&lt;1," ",IF(J17&lt;1," ",(J17-H17)/H17))</f>
        <v xml:space="preserve"> </v>
      </c>
      <c r="L17" s="744">
        <f>L85</f>
        <v>0</v>
      </c>
      <c r="M17" s="303" t="str">
        <f>IF(J17&lt;1," ",IF(L17&lt;1," ",(L17-J17)/J17))</f>
        <v xml:space="preserve"> </v>
      </c>
    </row>
    <row r="18" spans="1:13" ht="15">
      <c r="A18" s="67"/>
      <c r="B18" s="145" t="s">
        <v>305</v>
      </c>
      <c r="C18" s="139"/>
      <c r="D18" s="139"/>
      <c r="E18" s="567"/>
      <c r="F18" s="568"/>
      <c r="G18" s="569"/>
      <c r="H18" s="569"/>
      <c r="I18" s="573"/>
      <c r="J18" s="569"/>
      <c r="K18" s="573"/>
      <c r="L18" s="569"/>
      <c r="M18" s="577"/>
    </row>
    <row r="19" spans="1:13" ht="15">
      <c r="A19" s="67"/>
      <c r="B19" s="145"/>
      <c r="C19" s="276" t="s">
        <v>306</v>
      </c>
      <c r="D19" s="342">
        <v>8560</v>
      </c>
      <c r="E19" s="1152">
        <f>'Budget-Unrestricted MYP'!F19</f>
        <v>92527.144709999993</v>
      </c>
      <c r="F19" s="1151" t="e">
        <f>'1st Interim-Unrestricted MYP'!G19</f>
        <v>#VALUE!</v>
      </c>
      <c r="G19" s="682"/>
      <c r="H19" s="744" t="e">
        <f>H88</f>
        <v>#VALUE!</v>
      </c>
      <c r="I19" s="266" t="e">
        <f>IF(E19&lt;1," ",IF(H19&lt;1," ",(H19-E19)/E19))</f>
        <v>#VALUE!</v>
      </c>
      <c r="J19" s="287" t="e">
        <f>J88</f>
        <v>#VALUE!</v>
      </c>
      <c r="K19" s="266" t="e">
        <f>IF(H19&lt;1," ",IF(J19&lt;1," ",(J19-H19)/H19))</f>
        <v>#VALUE!</v>
      </c>
      <c r="L19" s="744" t="e">
        <f>L88</f>
        <v>#VALUE!</v>
      </c>
      <c r="M19" s="303" t="e">
        <f>IF(J19&lt;1," ",IF(L19&lt;1," ",(L19-J19)/J19))</f>
        <v>#VALUE!</v>
      </c>
    </row>
    <row r="20" spans="1:13" ht="15">
      <c r="A20" s="67"/>
      <c r="B20" s="462"/>
      <c r="C20" s="463" t="s">
        <v>307</v>
      </c>
      <c r="D20" s="464">
        <v>8560</v>
      </c>
      <c r="E20" s="802"/>
      <c r="F20" s="803"/>
      <c r="G20" s="803"/>
      <c r="H20" s="802"/>
      <c r="I20" s="480"/>
      <c r="J20" s="807"/>
      <c r="K20" s="480"/>
      <c r="L20" s="802"/>
      <c r="M20" s="349"/>
    </row>
    <row r="21" spans="1:13" ht="15">
      <c r="A21" s="67"/>
      <c r="B21" s="145"/>
      <c r="C21" s="276" t="s">
        <v>308</v>
      </c>
      <c r="D21" s="342" t="s">
        <v>100</v>
      </c>
      <c r="E21" s="1152">
        <f>'Budget-Unrestricted MYP'!F21</f>
        <v>21254</v>
      </c>
      <c r="F21" s="1151">
        <f>'1st Interim-Unrestricted MYP'!G21</f>
        <v>0</v>
      </c>
      <c r="G21" s="744">
        <f>G109</f>
        <v>0</v>
      </c>
      <c r="H21" s="744">
        <f>H109</f>
        <v>0</v>
      </c>
      <c r="I21" s="266" t="str">
        <f>IF(E21&lt;1," ",IF(H21&lt;1," ",(H21-E21)/E21))</f>
        <v xml:space="preserve"> </v>
      </c>
      <c r="J21" s="287">
        <f>J109</f>
        <v>0</v>
      </c>
      <c r="K21" s="266" t="str">
        <f>IF(H21&lt;1," ",IF(J21&lt;1," ",(J21-H21)/H21))</f>
        <v xml:space="preserve"> </v>
      </c>
      <c r="L21" s="744">
        <f>L109</f>
        <v>0</v>
      </c>
      <c r="M21" s="303" t="str">
        <f>IF(J21&lt;1," ",IF(L21&lt;1," ",(L21-J21)/J21))</f>
        <v xml:space="preserve"> </v>
      </c>
    </row>
    <row r="22" spans="1:13" ht="15">
      <c r="A22" s="67"/>
      <c r="B22" s="145" t="s">
        <v>309</v>
      </c>
      <c r="C22" s="139"/>
      <c r="D22" s="139"/>
      <c r="E22" s="804"/>
      <c r="F22" s="805"/>
      <c r="G22" s="806"/>
      <c r="H22" s="806"/>
      <c r="I22" s="573"/>
      <c r="J22" s="806"/>
      <c r="K22" s="266"/>
      <c r="L22" s="744"/>
      <c r="M22" s="303"/>
    </row>
    <row r="23" spans="1:13" ht="15">
      <c r="A23" s="67"/>
      <c r="B23" s="145"/>
      <c r="C23" s="276" t="s">
        <v>236</v>
      </c>
      <c r="D23" s="342">
        <v>8660</v>
      </c>
      <c r="E23" s="1152">
        <f>'Budget-Unrestricted MYP'!F23</f>
        <v>0</v>
      </c>
      <c r="F23" s="1132">
        <f>'1st Interim-Unrestricted MYP'!G23</f>
        <v>0</v>
      </c>
      <c r="G23" s="772"/>
      <c r="H23" s="772"/>
      <c r="I23" s="266" t="str">
        <f>IF(E23&lt;1," ",IF(H23&lt;1," ",(H23-E23)/E23))</f>
        <v xml:space="preserve"> </v>
      </c>
      <c r="J23" s="775"/>
      <c r="K23" s="266" t="str">
        <f>IF(H23&lt;1," ",IF(J23&lt;1," ",(J23-H23)/H23))</f>
        <v xml:space="preserve"> </v>
      </c>
      <c r="L23" s="772"/>
      <c r="M23" s="303" t="str">
        <f>IF(J23&lt;1," ",IF(L23&lt;1," ",(L23-J23)/J23))</f>
        <v xml:space="preserve"> </v>
      </c>
    </row>
    <row r="24" spans="1:13" ht="15">
      <c r="A24" s="67"/>
      <c r="B24" s="462"/>
      <c r="C24" s="463" t="s">
        <v>310</v>
      </c>
      <c r="D24" s="464">
        <v>8792</v>
      </c>
      <c r="E24" s="778"/>
      <c r="F24" s="778"/>
      <c r="G24" s="802"/>
      <c r="H24" s="802"/>
      <c r="I24" s="480"/>
      <c r="J24" s="807"/>
      <c r="K24" s="480"/>
      <c r="L24" s="802"/>
      <c r="M24" s="349"/>
    </row>
    <row r="25" spans="1:13" ht="15.4" thickBot="1">
      <c r="A25" s="67"/>
      <c r="B25" s="883"/>
      <c r="C25" s="916" t="s">
        <v>311</v>
      </c>
      <c r="D25" s="917" t="s">
        <v>101</v>
      </c>
      <c r="E25" s="1153">
        <f>'Budget-Unrestricted MYP'!F25</f>
        <v>160000</v>
      </c>
      <c r="F25" s="1154">
        <f>'1st Interim-Unrestricted MYP'!G25</f>
        <v>0</v>
      </c>
      <c r="G25" s="786">
        <f>G118</f>
        <v>0</v>
      </c>
      <c r="H25" s="786">
        <f>H118</f>
        <v>0</v>
      </c>
      <c r="I25" s="293" t="str">
        <f>IF(E25&lt;1," ",IF(H25&lt;1," ",(H25-E25)/E25))</f>
        <v xml:space="preserve"> </v>
      </c>
      <c r="J25" s="935">
        <f>J118</f>
        <v>0</v>
      </c>
      <c r="K25" s="293" t="str">
        <f>IF(H25&lt;1," ",IF(J25&lt;1," ",(J25-H25)/H25))</f>
        <v xml:space="preserve"> </v>
      </c>
      <c r="L25" s="786">
        <f>L118</f>
        <v>0</v>
      </c>
      <c r="M25" s="578" t="str">
        <f>IF(J25&lt;1," ",IF(L25&lt;1," ",(L25-J25)/J25))</f>
        <v xml:space="preserve"> </v>
      </c>
    </row>
    <row r="26" spans="1:13" ht="15.75" thickTop="1" thickBot="1">
      <c r="A26" s="67"/>
      <c r="B26" s="896" t="s">
        <v>312</v>
      </c>
      <c r="C26" s="941"/>
      <c r="D26" s="915"/>
      <c r="E26" s="884">
        <f>'Budget-Unrestricted MYP'!F26</f>
        <v>7063781.1447099997</v>
      </c>
      <c r="F26" s="884" t="e">
        <f>SUM(F13:F25)</f>
        <v>#VALUE!</v>
      </c>
      <c r="G26" s="794">
        <f>SUM(G13:G25)</f>
        <v>0</v>
      </c>
      <c r="H26" s="794" t="e">
        <f>SUM(H13:H25)</f>
        <v>#VALUE!</v>
      </c>
      <c r="I26" s="576" t="e">
        <f>IF(E26&lt;1," ",IF(H26&lt;1," ",(H26-E26)/E26))</f>
        <v>#VALUE!</v>
      </c>
      <c r="J26" s="884" t="e">
        <f>SUM(J13:J25)</f>
        <v>#VALUE!</v>
      </c>
      <c r="K26" s="576" t="e">
        <f>IF(H26&lt;1," ",IF(J26&lt;1," ",(J26-H26)/H26))</f>
        <v>#VALUE!</v>
      </c>
      <c r="L26" s="884" t="e">
        <f>SUM(L13:L25)</f>
        <v>#VALUE!</v>
      </c>
      <c r="M26" s="579" t="e">
        <f>IF(J26&lt;1," ",IF(L26&lt;1," ",(L26-J26)/J26))</f>
        <v>#VALUE!</v>
      </c>
    </row>
    <row r="27" spans="1:13" ht="15.4" thickTop="1">
      <c r="A27" s="67"/>
      <c r="B27" s="1"/>
      <c r="C27" s="1"/>
      <c r="D27" s="1"/>
      <c r="E27" s="265"/>
      <c r="F27" s="265"/>
      <c r="G27" s="265"/>
      <c r="H27" s="265"/>
      <c r="I27" s="856"/>
      <c r="J27" s="265"/>
      <c r="K27" s="966"/>
      <c r="M27" s="849"/>
    </row>
    <row r="28" spans="1:13" ht="15">
      <c r="A28" s="1736" t="s">
        <v>3</v>
      </c>
      <c r="B28" s="1737"/>
      <c r="C28" s="1737"/>
      <c r="D28" s="153"/>
      <c r="E28" s="265"/>
      <c r="F28" s="452"/>
      <c r="G28" s="452"/>
      <c r="H28" s="452"/>
      <c r="I28" s="834"/>
      <c r="J28" s="452"/>
      <c r="K28" s="839"/>
      <c r="L28" s="150"/>
      <c r="M28" s="844"/>
    </row>
    <row r="29" spans="1:13" ht="15">
      <c r="A29" s="67"/>
      <c r="B29" s="274" t="s">
        <v>4</v>
      </c>
      <c r="C29" s="274"/>
      <c r="D29" s="275" t="s">
        <v>102</v>
      </c>
      <c r="E29" s="1152">
        <f>'Budget-Unrestricted MYP'!F29</f>
        <v>2029977</v>
      </c>
      <c r="F29" s="1151">
        <f>'1st Interim-Unrestricted MYP'!G29</f>
        <v>0</v>
      </c>
      <c r="G29" s="682"/>
      <c r="H29" s="682"/>
      <c r="I29" s="266" t="str">
        <f t="shared" ref="I29:I38" si="0">IF(E29&lt;1," ",IF(H29&lt;1," ",(H29-E29)/E29))</f>
        <v xml:space="preserve"> </v>
      </c>
      <c r="J29" s="682"/>
      <c r="K29" s="266" t="str">
        <f t="shared" ref="K29:K38" si="1">IF(H29&lt;1," ",IF(J29&lt;1," ",(J29-H29)/H29))</f>
        <v xml:space="preserve"> </v>
      </c>
      <c r="L29" s="773"/>
      <c r="M29" s="303" t="str">
        <f t="shared" ref="M29:M38" si="2">IF(J29&lt;1," ",IF(L29&lt;1," ",(L29-J29)/J29))</f>
        <v xml:space="preserve"> </v>
      </c>
    </row>
    <row r="30" spans="1:13" ht="15">
      <c r="A30" s="67"/>
      <c r="B30" s="274" t="s">
        <v>23</v>
      </c>
      <c r="C30" s="274"/>
      <c r="D30" s="275" t="s">
        <v>103</v>
      </c>
      <c r="E30" s="1152">
        <f>'Budget-Unrestricted MYP'!F30</f>
        <v>1057248</v>
      </c>
      <c r="F30" s="1151">
        <f>'1st Interim-Unrestricted MYP'!G30</f>
        <v>0</v>
      </c>
      <c r="G30" s="682"/>
      <c r="H30" s="682"/>
      <c r="I30" s="266" t="str">
        <f t="shared" si="0"/>
        <v xml:space="preserve"> </v>
      </c>
      <c r="J30" s="682"/>
      <c r="K30" s="266" t="str">
        <f t="shared" si="1"/>
        <v xml:space="preserve"> </v>
      </c>
      <c r="L30" s="773"/>
      <c r="M30" s="303" t="str">
        <f t="shared" si="2"/>
        <v xml:space="preserve"> </v>
      </c>
    </row>
    <row r="31" spans="1:13" ht="15">
      <c r="A31" s="67"/>
      <c r="B31" s="274" t="s">
        <v>24</v>
      </c>
      <c r="C31" s="274"/>
      <c r="D31" s="275" t="s">
        <v>104</v>
      </c>
      <c r="E31" s="1152">
        <f>'Budget-Unrestricted MYP'!F31</f>
        <v>1182999</v>
      </c>
      <c r="F31" s="1151">
        <f>'1st Interim-Unrestricted MYP'!G31</f>
        <v>0</v>
      </c>
      <c r="G31" s="682"/>
      <c r="H31" s="682"/>
      <c r="I31" s="266" t="str">
        <f t="shared" si="0"/>
        <v xml:space="preserve"> </v>
      </c>
      <c r="J31" s="682"/>
      <c r="K31" s="266" t="str">
        <f t="shared" si="1"/>
        <v xml:space="preserve"> </v>
      </c>
      <c r="L31" s="773"/>
      <c r="M31" s="303" t="str">
        <f t="shared" si="2"/>
        <v xml:space="preserve"> </v>
      </c>
    </row>
    <row r="32" spans="1:13" ht="15">
      <c r="A32" s="67"/>
      <c r="B32" s="274" t="s">
        <v>25</v>
      </c>
      <c r="C32" s="274"/>
      <c r="D32" s="275" t="s">
        <v>105</v>
      </c>
      <c r="E32" s="1152">
        <f>'Budget-Unrestricted MYP'!F32</f>
        <v>299341</v>
      </c>
      <c r="F32" s="1151">
        <f>'1st Interim-Unrestricted MYP'!G32</f>
        <v>0</v>
      </c>
      <c r="G32" s="682"/>
      <c r="H32" s="682"/>
      <c r="I32" s="266" t="str">
        <f t="shared" si="0"/>
        <v xml:space="preserve"> </v>
      </c>
      <c r="J32" s="682"/>
      <c r="K32" s="266" t="str">
        <f t="shared" si="1"/>
        <v xml:space="preserve"> </v>
      </c>
      <c r="L32" s="773"/>
      <c r="M32" s="303" t="str">
        <f t="shared" si="2"/>
        <v xml:space="preserve"> </v>
      </c>
    </row>
    <row r="33" spans="1:13" ht="15">
      <c r="A33" s="67"/>
      <c r="B33" s="274" t="s">
        <v>26</v>
      </c>
      <c r="C33" s="274"/>
      <c r="D33" s="275" t="s">
        <v>106</v>
      </c>
      <c r="E33" s="1152">
        <f>'Budget-Unrestricted MYP'!F33</f>
        <v>2991827</v>
      </c>
      <c r="F33" s="1151">
        <f>'1st Interim-Unrestricted MYP'!G33</f>
        <v>0</v>
      </c>
      <c r="G33" s="682"/>
      <c r="H33" s="682"/>
      <c r="I33" s="266" t="str">
        <f t="shared" si="0"/>
        <v xml:space="preserve"> </v>
      </c>
      <c r="J33" s="682"/>
      <c r="K33" s="266" t="str">
        <f t="shared" si="1"/>
        <v xml:space="preserve"> </v>
      </c>
      <c r="L33" s="773"/>
      <c r="M33" s="303" t="str">
        <f t="shared" si="2"/>
        <v xml:space="preserve"> </v>
      </c>
    </row>
    <row r="34" spans="1:13" ht="15">
      <c r="A34" s="67"/>
      <c r="B34" s="274" t="s">
        <v>508</v>
      </c>
      <c r="C34" s="274"/>
      <c r="D34" s="275" t="s">
        <v>107</v>
      </c>
      <c r="E34" s="1152">
        <f>'Budget-Unrestricted MYP'!F34</f>
        <v>0</v>
      </c>
      <c r="F34" s="1151">
        <f>'1st Interim-Unrestricted MYP'!G34</f>
        <v>0</v>
      </c>
      <c r="G34" s="682"/>
      <c r="H34" s="682"/>
      <c r="I34" s="266" t="str">
        <f t="shared" si="0"/>
        <v xml:space="preserve"> </v>
      </c>
      <c r="J34" s="682"/>
      <c r="K34" s="266" t="str">
        <f t="shared" si="1"/>
        <v xml:space="preserve"> </v>
      </c>
      <c r="L34" s="773"/>
      <c r="M34" s="303" t="str">
        <f t="shared" si="2"/>
        <v xml:space="preserve"> </v>
      </c>
    </row>
    <row r="35" spans="1:13" ht="15">
      <c r="A35" s="67"/>
      <c r="B35" s="274" t="s">
        <v>507</v>
      </c>
      <c r="C35" s="274"/>
      <c r="D35" s="275">
        <v>6900</v>
      </c>
      <c r="E35" s="1152">
        <f>'Budget-Unrestricted MYP'!F36</f>
        <v>0</v>
      </c>
      <c r="F35" s="1151">
        <f>'1st Interim-Unrestricted MYP'!G35</f>
        <v>0</v>
      </c>
      <c r="G35" s="682"/>
      <c r="H35" s="682"/>
      <c r="I35" s="266" t="str">
        <f t="shared" ref="I35" si="3">IF(E35&lt;1," ",IF(H35&lt;1," ",(H35-E35)/E35))</f>
        <v xml:space="preserve"> </v>
      </c>
      <c r="J35" s="682"/>
      <c r="K35" s="266" t="str">
        <f t="shared" ref="K35" si="4">IF(H35&lt;1," ",IF(J35&lt;1," ",(J35-H35)/H35))</f>
        <v xml:space="preserve"> </v>
      </c>
      <c r="L35" s="773"/>
      <c r="M35" s="303" t="str">
        <f t="shared" ref="M35" si="5">IF(J35&lt;1," ",IF(L35&lt;1," ",(L35-J35)/J35))</f>
        <v xml:space="preserve"> </v>
      </c>
    </row>
    <row r="36" spans="1:13" ht="15">
      <c r="A36" s="67"/>
      <c r="B36" s="274" t="s">
        <v>27</v>
      </c>
      <c r="C36" s="274"/>
      <c r="D36" s="275" t="s">
        <v>108</v>
      </c>
      <c r="E36" s="1152">
        <f>'Budget-Unrestricted MYP'!F36</f>
        <v>0</v>
      </c>
      <c r="F36" s="1151">
        <f>'1st Interim-Unrestricted MYP'!G36</f>
        <v>0</v>
      </c>
      <c r="G36" s="682"/>
      <c r="H36" s="682"/>
      <c r="I36" s="266" t="str">
        <f t="shared" si="0"/>
        <v xml:space="preserve"> </v>
      </c>
      <c r="J36" s="682"/>
      <c r="K36" s="266" t="str">
        <f t="shared" si="1"/>
        <v xml:space="preserve"> </v>
      </c>
      <c r="L36" s="773"/>
      <c r="M36" s="303" t="str">
        <f t="shared" si="2"/>
        <v xml:space="preserve"> </v>
      </c>
    </row>
    <row r="37" spans="1:13" ht="15.4" thickBot="1">
      <c r="A37" s="67"/>
      <c r="B37" s="906" t="s">
        <v>146</v>
      </c>
      <c r="C37" s="906"/>
      <c r="D37" s="617" t="s">
        <v>111</v>
      </c>
      <c r="E37" s="1153">
        <f>'Budget-Unrestricted MYP'!F37</f>
        <v>0</v>
      </c>
      <c r="F37" s="1155">
        <f>'1st Interim-Unrestricted MYP'!G37</f>
        <v>0</v>
      </c>
      <c r="G37" s="907"/>
      <c r="H37" s="908"/>
      <c r="I37" s="293" t="str">
        <f t="shared" si="0"/>
        <v xml:space="preserve"> </v>
      </c>
      <c r="J37" s="909"/>
      <c r="K37" s="293" t="str">
        <f t="shared" si="1"/>
        <v xml:space="preserve"> </v>
      </c>
      <c r="L37" s="936"/>
      <c r="M37" s="578" t="str">
        <f t="shared" si="2"/>
        <v xml:space="preserve"> </v>
      </c>
    </row>
    <row r="38" spans="1:13" ht="15.75" thickTop="1" thickBot="1">
      <c r="A38" s="67"/>
      <c r="B38" s="896" t="s">
        <v>28</v>
      </c>
      <c r="C38" s="941"/>
      <c r="D38" s="942"/>
      <c r="E38" s="1135">
        <f>'Budget-Unrestricted MYP'!F38</f>
        <v>7561392</v>
      </c>
      <c r="F38" s="1135">
        <f>SUM(F29:F37)</f>
        <v>0</v>
      </c>
      <c r="G38" s="884">
        <f>SUM(G29:G37)</f>
        <v>0</v>
      </c>
      <c r="H38" s="884">
        <f>SUM(H29:H37)</f>
        <v>0</v>
      </c>
      <c r="I38" s="576" t="str">
        <f t="shared" si="0"/>
        <v xml:space="preserve"> </v>
      </c>
      <c r="J38" s="884">
        <f>SUM(J29:J37)</f>
        <v>0</v>
      </c>
      <c r="K38" s="576" t="str">
        <f t="shared" si="1"/>
        <v xml:space="preserve"> </v>
      </c>
      <c r="L38" s="884">
        <f>SUM(L29:L37)</f>
        <v>0</v>
      </c>
      <c r="M38" s="579" t="str">
        <f t="shared" si="2"/>
        <v xml:space="preserve"> </v>
      </c>
    </row>
    <row r="39" spans="1:13" ht="15.75" thickTop="1" thickBot="1">
      <c r="A39" s="67"/>
      <c r="B39" s="1"/>
      <c r="C39" s="1"/>
      <c r="D39" s="166"/>
      <c r="E39" s="20"/>
      <c r="F39" s="20"/>
      <c r="G39" s="20"/>
      <c r="H39" s="20"/>
      <c r="I39" s="856"/>
      <c r="J39" s="20"/>
      <c r="K39" s="966"/>
      <c r="M39" s="849"/>
    </row>
    <row r="40" spans="1:13" ht="15.75" thickTop="1" thickBot="1">
      <c r="A40" s="929" t="s">
        <v>205</v>
      </c>
      <c r="B40" s="943"/>
      <c r="C40" s="945"/>
      <c r="D40" s="946"/>
      <c r="E40" s="1156">
        <f>'Budget-Unrestricted MYP'!F40</f>
        <v>-497610.85529000033</v>
      </c>
      <c r="F40" s="1156" t="e">
        <f>SUM(F26-F38)</f>
        <v>#VALUE!</v>
      </c>
      <c r="G40" s="938">
        <f>SUM(G26-G38)</f>
        <v>0</v>
      </c>
      <c r="H40" s="938" t="e">
        <f>SUM(H26-H38)</f>
        <v>#VALUE!</v>
      </c>
      <c r="I40" s="930" t="str">
        <f>IF(E40&lt;1," ",IF(H40&lt;1," ",(H40-E40)/E40))</f>
        <v xml:space="preserve"> </v>
      </c>
      <c r="J40" s="938" t="e">
        <f>SUM(J26-J38)</f>
        <v>#VALUE!</v>
      </c>
      <c r="K40" s="930" t="e">
        <f>IF(H40&lt;1," ",IF(J40&lt;1," ",(J40-H40)/H40))</f>
        <v>#VALUE!</v>
      </c>
      <c r="L40" s="938" t="e">
        <f>SUM(L26-L38)</f>
        <v>#VALUE!</v>
      </c>
      <c r="M40" s="931" t="e">
        <f>IF(J40&lt;1," ",IF(L40&lt;1," ",(L40-J40)/J40))</f>
        <v>#VALUE!</v>
      </c>
    </row>
    <row r="41" spans="1:13" ht="15.4" thickTop="1">
      <c r="A41" s="67"/>
      <c r="B41" s="1"/>
      <c r="C41" s="339"/>
      <c r="D41" s="340"/>
      <c r="E41" s="1157"/>
      <c r="F41" s="1157"/>
      <c r="G41" s="82"/>
      <c r="H41" s="82"/>
      <c r="I41" s="835"/>
      <c r="J41" s="82"/>
      <c r="K41" s="840"/>
      <c r="L41" s="486"/>
      <c r="M41" s="845"/>
    </row>
    <row r="42" spans="1:13" ht="15">
      <c r="A42" s="302" t="s">
        <v>29</v>
      </c>
      <c r="B42" s="1"/>
      <c r="C42" s="153"/>
      <c r="D42" s="341"/>
      <c r="E42" s="81"/>
      <c r="F42" s="81"/>
      <c r="G42" s="81"/>
      <c r="H42" s="81"/>
      <c r="I42" s="836"/>
      <c r="J42" s="81"/>
      <c r="K42" s="841"/>
      <c r="L42" s="453"/>
      <c r="M42" s="846"/>
    </row>
    <row r="43" spans="1:13" ht="15">
      <c r="A43" s="67"/>
      <c r="B43" s="145" t="s">
        <v>124</v>
      </c>
      <c r="C43" s="139"/>
      <c r="D43" s="306">
        <v>8900</v>
      </c>
      <c r="E43" s="1158">
        <f>'Budget-Unrestricted MYP'!F43</f>
        <v>-134189</v>
      </c>
      <c r="F43" s="1136">
        <f>'1st Interim-Unrestricted MYP'!G43</f>
        <v>0</v>
      </c>
      <c r="G43" s="773"/>
      <c r="H43" s="773"/>
      <c r="I43" s="49" t="str">
        <f>IF(E43&lt;1," ",IF(H43&lt;1," ",(H43-E43)/E43))</f>
        <v xml:space="preserve"> </v>
      </c>
      <c r="J43" s="773"/>
      <c r="K43" s="622" t="str">
        <f>IF(H43&lt;1," ",IF(J43&lt;1," ",(J43-H43)/H43))</f>
        <v xml:space="preserve"> </v>
      </c>
      <c r="L43" s="773"/>
      <c r="M43" s="621" t="str">
        <f>IF(J43&lt;1," ",IF(L43&lt;1," ",(L43-J43)/J43))</f>
        <v xml:space="preserve"> </v>
      </c>
    </row>
    <row r="44" spans="1:13" ht="15.4" thickBot="1">
      <c r="A44" s="67"/>
      <c r="B44" s="883" t="s">
        <v>30</v>
      </c>
      <c r="C44" s="151"/>
      <c r="D44" s="912">
        <v>7600</v>
      </c>
      <c r="E44" s="1159">
        <f>'Budget-Unrestricted MYP'!F44</f>
        <v>0</v>
      </c>
      <c r="F44" s="1139">
        <f>'1st Interim-Unrestricted MYP'!G44</f>
        <v>0</v>
      </c>
      <c r="G44" s="789"/>
      <c r="H44" s="789"/>
      <c r="I44" s="584" t="str">
        <f>IF(E44&lt;1," ",IF(H44&lt;1," ",(H44-E44)/E44))</f>
        <v xml:space="preserve"> </v>
      </c>
      <c r="J44" s="789"/>
      <c r="K44" s="629" t="str">
        <f>IF(H44&lt;1," ",IF(J44&lt;1," ",(J44-H44)/H44))</f>
        <v xml:space="preserve"> </v>
      </c>
      <c r="L44" s="789"/>
      <c r="M44" s="630" t="str">
        <f>IF(J44&lt;1," ",IF(L44&lt;1," ",(L44-J44)/J44))</f>
        <v xml:space="preserve"> </v>
      </c>
    </row>
    <row r="45" spans="1:13" ht="15.75" thickTop="1" thickBot="1">
      <c r="A45" s="67"/>
      <c r="B45" s="896" t="s">
        <v>31</v>
      </c>
      <c r="C45" s="941"/>
      <c r="D45" s="942"/>
      <c r="E45" s="1135">
        <f>'Budget-Unrestricted MYP'!F45</f>
        <v>-134189</v>
      </c>
      <c r="F45" s="1135">
        <f>F43-F44</f>
        <v>0</v>
      </c>
      <c r="G45" s="884">
        <f>G43-G44</f>
        <v>0</v>
      </c>
      <c r="H45" s="884">
        <f>H43-H44</f>
        <v>0</v>
      </c>
      <c r="I45" s="576" t="str">
        <f>IF(E45&lt;1," ",IF(H45&lt;1," ",(H45-E45)/E45))</f>
        <v xml:space="preserve"> </v>
      </c>
      <c r="J45" s="884">
        <f>J43-J44</f>
        <v>0</v>
      </c>
      <c r="K45" s="576" t="str">
        <f>IF(H45&lt;1," ",IF(J45&lt;1," ",(J45-H45)/H45))</f>
        <v xml:space="preserve"> </v>
      </c>
      <c r="L45" s="884">
        <f>L43-L44</f>
        <v>0</v>
      </c>
      <c r="M45" s="579" t="str">
        <f>IF(J45&lt;1," ",IF(L45&lt;1," ",(L45-J45)/J45))</f>
        <v xml:space="preserve"> </v>
      </c>
    </row>
    <row r="46" spans="1:13" ht="15.75" thickTop="1" thickBot="1">
      <c r="A46" s="67"/>
      <c r="B46" s="1"/>
      <c r="C46" s="1"/>
      <c r="D46" s="544"/>
      <c r="E46" s="265"/>
      <c r="F46" s="947"/>
      <c r="G46" s="948"/>
      <c r="H46" s="948"/>
      <c r="I46" s="967"/>
      <c r="J46" s="948"/>
      <c r="K46" s="967"/>
      <c r="L46" s="948"/>
      <c r="M46" s="968"/>
    </row>
    <row r="47" spans="1:13" ht="15.75" thickTop="1" thickBot="1">
      <c r="A47" s="899" t="s">
        <v>32</v>
      </c>
      <c r="B47" s="900"/>
      <c r="C47" s="904"/>
      <c r="D47" s="905"/>
      <c r="E47" s="1135">
        <f>'Budget-Unrestricted MYP'!F47</f>
        <v>-631799.85529000033</v>
      </c>
      <c r="F47" s="1135" t="e">
        <f>F40+F45</f>
        <v>#VALUE!</v>
      </c>
      <c r="G47" s="884">
        <f>G40+G45</f>
        <v>0</v>
      </c>
      <c r="H47" s="884" t="e">
        <f>H40+H45</f>
        <v>#VALUE!</v>
      </c>
      <c r="I47" s="580" t="str">
        <f>IF(E47&lt;1," ",IF(H47&lt;1," ",(H47-E47)/E47))</f>
        <v xml:space="preserve"> </v>
      </c>
      <c r="J47" s="884" t="e">
        <f>J40+J45</f>
        <v>#VALUE!</v>
      </c>
      <c r="K47" s="580" t="e">
        <f>IF(H47&lt;1," ",IF(J47&lt;1," ",(J47-H47)/H47))</f>
        <v>#VALUE!</v>
      </c>
      <c r="L47" s="884" t="e">
        <f>L40+L45</f>
        <v>#VALUE!</v>
      </c>
      <c r="M47" s="581" t="e">
        <f>IF(J47&lt;1," ",IF(L47&lt;1," ",(L47-J47)/J47))</f>
        <v>#VALUE!</v>
      </c>
    </row>
    <row r="48" spans="1:13" ht="15.4" thickTop="1">
      <c r="A48" s="302"/>
      <c r="B48" s="1"/>
      <c r="C48" s="339"/>
      <c r="D48" s="340"/>
      <c r="E48" s="265"/>
      <c r="F48" s="82"/>
      <c r="G48" s="82"/>
      <c r="H48" s="82"/>
      <c r="I48" s="835"/>
      <c r="J48" s="82"/>
      <c r="K48" s="840"/>
      <c r="L48" s="486"/>
      <c r="M48" s="845"/>
    </row>
    <row r="49" spans="1:13" ht="15">
      <c r="A49" s="302" t="s">
        <v>6</v>
      </c>
      <c r="B49" s="1"/>
      <c r="C49" s="153"/>
      <c r="D49" s="341"/>
      <c r="E49" s="265"/>
      <c r="F49" s="452"/>
      <c r="G49" s="452"/>
      <c r="H49" s="452"/>
      <c r="I49" s="834"/>
      <c r="J49" s="452"/>
      <c r="K49" s="839"/>
      <c r="L49" s="150"/>
      <c r="M49" s="844"/>
    </row>
    <row r="50" spans="1:13" ht="15">
      <c r="A50" s="67"/>
      <c r="B50" s="289" t="s">
        <v>159</v>
      </c>
      <c r="C50" s="290"/>
      <c r="D50" s="291">
        <v>9791</v>
      </c>
      <c r="E50" s="1622">
        <f>'Budget-Unrestricted MYP'!F50</f>
        <v>2481096.0499999998</v>
      </c>
      <c r="F50" s="1147">
        <f>'1st Interim-Unrestricted MYP'!G50</f>
        <v>2481096.0499999998</v>
      </c>
      <c r="G50" s="1146">
        <f>E50</f>
        <v>2481096.0499999998</v>
      </c>
      <c r="H50" s="1147">
        <f>E50</f>
        <v>2481096.0499999998</v>
      </c>
      <c r="I50" s="1061"/>
      <c r="J50" s="1059"/>
      <c r="K50" s="1062"/>
      <c r="L50" s="1060"/>
      <c r="M50" s="1063"/>
    </row>
    <row r="51" spans="1:13" ht="15">
      <c r="A51" s="67"/>
      <c r="B51" s="311" t="s">
        <v>133</v>
      </c>
      <c r="C51" s="312"/>
      <c r="D51" s="313">
        <v>9792</v>
      </c>
      <c r="E51" s="1161"/>
      <c r="F51" s="1150">
        <f>'1st Interim-Unrestricted MYP'!G51</f>
        <v>0</v>
      </c>
      <c r="G51" s="1148">
        <f>F51</f>
        <v>0</v>
      </c>
      <c r="H51" s="1149">
        <f>F51</f>
        <v>0</v>
      </c>
      <c r="I51" s="612"/>
      <c r="J51" s="784"/>
      <c r="K51" s="585"/>
      <c r="L51" s="782"/>
      <c r="M51" s="587"/>
    </row>
    <row r="52" spans="1:13" ht="15">
      <c r="A52" s="67"/>
      <c r="B52" s="311" t="s">
        <v>233</v>
      </c>
      <c r="C52" s="312"/>
      <c r="D52" s="1621"/>
      <c r="E52" s="1161"/>
      <c r="F52" s="1150">
        <f>'1st Interim-Unrestricted MYP'!G52</f>
        <v>2481096.0499999998</v>
      </c>
      <c r="G52" s="1148">
        <f>G50+G51</f>
        <v>2481096.0499999998</v>
      </c>
      <c r="H52" s="1150">
        <f>H50+H51</f>
        <v>2481096.0499999998</v>
      </c>
      <c r="I52" s="612"/>
      <c r="J52" s="784"/>
      <c r="K52" s="585"/>
      <c r="L52" s="782"/>
      <c r="M52" s="587"/>
    </row>
    <row r="53" spans="1:13" ht="15">
      <c r="A53" s="67"/>
      <c r="B53" s="311" t="s">
        <v>299</v>
      </c>
      <c r="C53" s="312"/>
      <c r="D53" s="313">
        <v>9793</v>
      </c>
      <c r="E53" s="1161"/>
      <c r="F53" s="1149">
        <f>'1st Interim-Unrestricted MYP'!G53</f>
        <v>0</v>
      </c>
      <c r="G53" s="810">
        <f>F53</f>
        <v>0</v>
      </c>
      <c r="H53" s="810">
        <f>F53</f>
        <v>0</v>
      </c>
      <c r="I53" s="612"/>
      <c r="J53" s="990"/>
      <c r="K53" s="585"/>
      <c r="L53" s="782"/>
      <c r="M53" s="587"/>
    </row>
    <row r="54" spans="1:13" ht="15">
      <c r="A54" s="67"/>
      <c r="B54" s="311" t="s">
        <v>298</v>
      </c>
      <c r="C54" s="312"/>
      <c r="D54" s="313">
        <v>9795</v>
      </c>
      <c r="E54" s="1162"/>
      <c r="F54" s="1149">
        <f>'1st Interim-Unrestricted MYP'!G54</f>
        <v>0</v>
      </c>
      <c r="G54" s="810">
        <f>F54</f>
        <v>0</v>
      </c>
      <c r="H54" s="810">
        <f>F54</f>
        <v>0</v>
      </c>
      <c r="I54" s="612"/>
      <c r="J54" s="785"/>
      <c r="K54" s="586"/>
      <c r="L54" s="783"/>
      <c r="M54" s="588"/>
    </row>
    <row r="55" spans="1:13" ht="15.4" thickBot="1">
      <c r="A55" s="67"/>
      <c r="B55" s="894" t="s">
        <v>281</v>
      </c>
      <c r="C55" s="496"/>
      <c r="D55" s="895"/>
      <c r="E55" s="1623"/>
      <c r="F55" s="1145">
        <f>'1st Interim-Unrestricted MYP'!G55</f>
        <v>2481096.0499999998</v>
      </c>
      <c r="G55" s="1169">
        <f>G52+G53+G54</f>
        <v>2481096.0499999998</v>
      </c>
      <c r="H55" s="1145">
        <f>H52+H53+H54</f>
        <v>2481096.0499999998</v>
      </c>
      <c r="I55" s="603"/>
      <c r="J55" s="1082" t="e">
        <f>H56</f>
        <v>#VALUE!</v>
      </c>
      <c r="K55" s="586"/>
      <c r="L55" s="1083" t="e">
        <f>J56</f>
        <v>#VALUE!</v>
      </c>
      <c r="M55" s="588"/>
    </row>
    <row r="56" spans="1:13" ht="15.75" thickTop="1" thickBot="1">
      <c r="A56" s="67"/>
      <c r="B56" s="896" t="s">
        <v>33</v>
      </c>
      <c r="C56" s="897"/>
      <c r="D56" s="898">
        <v>9790</v>
      </c>
      <c r="E56" s="884">
        <f>'Budget-Unrestricted MYP'!F56</f>
        <v>1849296.1947099995</v>
      </c>
      <c r="F56" s="884" t="e">
        <f>ROUND(F55+F47,0)</f>
        <v>#VALUE!</v>
      </c>
      <c r="G56" s="884">
        <f>ROUND(G55+G47,0)</f>
        <v>2481096</v>
      </c>
      <c r="H56" s="884" t="e">
        <f>ROUND(H55+H47,0)</f>
        <v>#VALUE!</v>
      </c>
      <c r="I56" s="576" t="e">
        <f>IF(E56&lt;1," ",IF(H56&lt;1," ",(H56-E56)/E56))</f>
        <v>#VALUE!</v>
      </c>
      <c r="J56" s="884" t="e">
        <f>ROUND(J55+J47,0)</f>
        <v>#VALUE!</v>
      </c>
      <c r="K56" s="576" t="e">
        <f>IF(H56&lt;1," ",IF(J56&lt;1," ",(J56-H56)/H56))</f>
        <v>#VALUE!</v>
      </c>
      <c r="L56" s="884" t="e">
        <f>ROUND(L55+L47,0)</f>
        <v>#VALUE!</v>
      </c>
      <c r="M56" s="579" t="e">
        <f>IF(J56&lt;1," ",IF(L56&lt;1," ",(L56-J56)/J56))</f>
        <v>#VALUE!</v>
      </c>
    </row>
    <row r="57" spans="1:13" ht="15.4" thickTop="1">
      <c r="A57" s="67"/>
      <c r="B57" s="1"/>
      <c r="C57" s="1"/>
      <c r="D57" s="166"/>
      <c r="E57" s="167"/>
      <c r="F57" s="292"/>
      <c r="G57" s="51"/>
      <c r="H57" s="51"/>
      <c r="I57" s="856"/>
      <c r="J57" s="51"/>
      <c r="K57" s="856"/>
      <c r="L57" s="51"/>
      <c r="M57" s="858"/>
    </row>
    <row r="58" spans="1:13" ht="15">
      <c r="A58" s="320" t="s">
        <v>139</v>
      </c>
      <c r="B58" s="150"/>
      <c r="C58" s="474"/>
      <c r="D58" s="475" t="s">
        <v>2</v>
      </c>
      <c r="E58" s="476"/>
      <c r="F58" s="477"/>
      <c r="G58" s="478"/>
      <c r="H58" s="478"/>
      <c r="I58" s="834"/>
      <c r="J58" s="478"/>
      <c r="K58" s="834"/>
      <c r="L58" s="478"/>
      <c r="M58" s="847"/>
    </row>
    <row r="59" spans="1:13" ht="15">
      <c r="A59" s="67"/>
      <c r="B59" s="344" t="s">
        <v>7</v>
      </c>
      <c r="C59" s="350" t="s">
        <v>140</v>
      </c>
      <c r="D59" s="351"/>
      <c r="E59" s="589"/>
      <c r="F59" s="589"/>
      <c r="G59" s="589"/>
      <c r="H59" s="589"/>
      <c r="I59" s="573"/>
      <c r="J59" s="589"/>
      <c r="K59" s="842"/>
      <c r="L59" s="144"/>
      <c r="M59" s="848"/>
    </row>
    <row r="60" spans="1:13" ht="15">
      <c r="A60" s="67"/>
      <c r="B60" s="347"/>
      <c r="C60" s="345" t="s">
        <v>34</v>
      </c>
      <c r="D60" s="285">
        <v>9711</v>
      </c>
      <c r="E60" s="1152">
        <f>'Budget-Unrestricted MYP'!F60</f>
        <v>0</v>
      </c>
      <c r="F60" s="1163">
        <f>'1st Interim-Unrestricted MYP'!G60</f>
        <v>0</v>
      </c>
      <c r="G60" s="812"/>
      <c r="H60" s="812"/>
      <c r="I60" s="266" t="str">
        <f>IF(E60&lt;1," ",IF(H60&lt;1," ",(H60-E60)/E60))</f>
        <v xml:space="preserve"> </v>
      </c>
      <c r="J60" s="812"/>
      <c r="K60" s="625" t="str">
        <f>IF(H60&lt;1," ",IF(J60&lt;1," ",(J60-H60)/H60))</f>
        <v xml:space="preserve"> </v>
      </c>
      <c r="L60" s="812"/>
      <c r="M60" s="854" t="str">
        <f>IF(J60&lt;1," ",IF(L60&lt;1," ",(L60-J60)/J60))</f>
        <v xml:space="preserve"> </v>
      </c>
    </row>
    <row r="61" spans="1:13" ht="15">
      <c r="A61" s="67"/>
      <c r="B61" s="344"/>
      <c r="C61" s="345" t="s">
        <v>10</v>
      </c>
      <c r="D61" s="285">
        <v>9712</v>
      </c>
      <c r="E61" s="1164">
        <f>'Budget-Unrestricted MYP'!F61</f>
        <v>0</v>
      </c>
      <c r="F61" s="1163">
        <f>'1st Interim-Unrestricted MYP'!G61</f>
        <v>0</v>
      </c>
      <c r="G61" s="812"/>
      <c r="H61" s="812"/>
      <c r="I61" s="623" t="str">
        <f>IF(E61&lt;1," ",IF(H61&lt;1," ",(H61-E61)/E61))</f>
        <v xml:space="preserve"> </v>
      </c>
      <c r="J61" s="812"/>
      <c r="K61" s="626" t="str">
        <f>IF(H61&lt;1," ",IF(J61&lt;1," ",(J61-H61)/H61))</f>
        <v xml:space="preserve"> </v>
      </c>
      <c r="L61" s="812"/>
      <c r="M61" s="627" t="str">
        <f>IF(J61&lt;1," ",IF(L61&lt;1," ",(L61-J61)/J61))</f>
        <v xml:space="preserve"> </v>
      </c>
    </row>
    <row r="62" spans="1:13" ht="15">
      <c r="A62" s="67"/>
      <c r="B62" s="344"/>
      <c r="C62" s="345" t="s">
        <v>11</v>
      </c>
      <c r="D62" s="285">
        <v>9713</v>
      </c>
      <c r="E62" s="1150">
        <f>'Budget-Unrestricted MYP'!F62</f>
        <v>0</v>
      </c>
      <c r="F62" s="1138">
        <f>'1st Interim-Unrestricted MYP'!G62</f>
        <v>0</v>
      </c>
      <c r="G62" s="788"/>
      <c r="H62" s="788"/>
      <c r="I62" s="49" t="str">
        <f>IF(E62&lt;1," ",IF(H62&lt;1," ",(H62-E62)/E62))</f>
        <v xml:space="preserve"> </v>
      </c>
      <c r="J62" s="788"/>
      <c r="K62" s="622" t="str">
        <f>IF(H62&lt;1," ",IF(J62&lt;1," ",(J62-H62)/H62))</f>
        <v xml:space="preserve"> </v>
      </c>
      <c r="L62" s="788"/>
      <c r="M62" s="621" t="str">
        <f>IF(J62&lt;1," ",IF(L62&lt;1," ",(L62-J62)/J62))</f>
        <v xml:space="preserve"> </v>
      </c>
    </row>
    <row r="63" spans="1:13" ht="15">
      <c r="A63" s="67"/>
      <c r="B63" s="344"/>
      <c r="C63" s="345" t="s">
        <v>141</v>
      </c>
      <c r="D63" s="285">
        <v>9719</v>
      </c>
      <c r="E63" s="1150">
        <f>'Budget-Unrestricted MYP'!F63</f>
        <v>0</v>
      </c>
      <c r="F63" s="1138">
        <f>'1st Interim-Unrestricted MYP'!G63</f>
        <v>0</v>
      </c>
      <c r="G63" s="788"/>
      <c r="H63" s="788"/>
      <c r="I63" s="49" t="str">
        <f>IF(E63&lt;1," ",IF(H63&lt;1," ",(H63-E63)/E63))</f>
        <v xml:space="preserve"> </v>
      </c>
      <c r="J63" s="788"/>
      <c r="K63" s="622" t="str">
        <f>IF(H63&lt;1," ",IF(J63&lt;1," ",(J63-H63)/H63))</f>
        <v xml:space="preserve"> </v>
      </c>
      <c r="L63" s="788"/>
      <c r="M63" s="621" t="str">
        <f>IF(J63&lt;1," ",IF(L63&lt;1," ",(L63-J63)/J63))</f>
        <v xml:space="preserve"> </v>
      </c>
    </row>
    <row r="64" spans="1:13" ht="15">
      <c r="A64" s="322"/>
      <c r="B64" s="471" t="s">
        <v>8</v>
      </c>
      <c r="C64" s="472" t="s">
        <v>142</v>
      </c>
      <c r="D64" s="473">
        <v>9740</v>
      </c>
      <c r="E64" s="1165"/>
      <c r="F64" s="1166"/>
      <c r="G64" s="813"/>
      <c r="H64" s="813"/>
      <c r="I64" s="612"/>
      <c r="J64" s="813"/>
      <c r="K64" s="585"/>
      <c r="L64" s="813"/>
      <c r="M64" s="587"/>
    </row>
    <row r="65" spans="1:13" ht="15">
      <c r="A65" s="67"/>
      <c r="B65" s="344" t="s">
        <v>9</v>
      </c>
      <c r="C65" s="350" t="s">
        <v>344</v>
      </c>
      <c r="D65" s="971"/>
      <c r="E65" s="1167"/>
      <c r="F65" s="1167"/>
      <c r="G65" s="817"/>
      <c r="H65" s="817"/>
      <c r="I65" s="624"/>
      <c r="J65" s="817"/>
      <c r="K65" s="624"/>
      <c r="L65" s="817"/>
      <c r="M65" s="628"/>
    </row>
    <row r="66" spans="1:13" ht="15">
      <c r="A66" s="67"/>
      <c r="B66" s="344"/>
      <c r="C66" s="345" t="s">
        <v>143</v>
      </c>
      <c r="D66" s="286">
        <v>9750</v>
      </c>
      <c r="E66" s="1150">
        <f>'Budget-Unrestricted MYP'!F66</f>
        <v>0</v>
      </c>
      <c r="F66" s="1138">
        <f>'1st Interim-Unrestricted MYP'!G66</f>
        <v>0</v>
      </c>
      <c r="G66" s="788"/>
      <c r="H66" s="788"/>
      <c r="I66" s="49" t="str">
        <f>IF(E66&lt;1," ",IF(H66&lt;1," ",(H66-E66)/E66))</f>
        <v xml:space="preserve"> </v>
      </c>
      <c r="J66" s="788"/>
      <c r="K66" s="622" t="str">
        <f>IF(H66&lt;1," ",IF(J66&lt;1," ",(J66-H66)/H66))</f>
        <v xml:space="preserve"> </v>
      </c>
      <c r="L66" s="788"/>
      <c r="M66" s="621" t="str">
        <f>IF(J66&lt;1," ",IF(L66&lt;1," ",(L66-J66)/J66))</f>
        <v xml:space="preserve"> </v>
      </c>
    </row>
    <row r="67" spans="1:13" ht="15">
      <c r="A67" s="67"/>
      <c r="B67" s="344"/>
      <c r="C67" s="345" t="s">
        <v>144</v>
      </c>
      <c r="D67" s="286">
        <v>9760</v>
      </c>
      <c r="E67" s="1150">
        <f>'Budget-Unrestricted MYP'!F67</f>
        <v>0</v>
      </c>
      <c r="F67" s="1138">
        <f>'1st Interim-Unrestricted MYP'!G67</f>
        <v>0</v>
      </c>
      <c r="G67" s="788"/>
      <c r="H67" s="788"/>
      <c r="I67" s="49" t="str">
        <f>IF(E67&lt;1," ",IF(H67&lt;1," ",(H67-E67)/E67))</f>
        <v xml:space="preserve"> </v>
      </c>
      <c r="J67" s="788"/>
      <c r="K67" s="622" t="str">
        <f>IF(H67&lt;1," ",IF(J67&lt;1," ",(J67-H67)/H67))</f>
        <v xml:space="preserve"> </v>
      </c>
      <c r="L67" s="788"/>
      <c r="M67" s="621" t="str">
        <f>IF(J67&lt;1," ",IF(L67&lt;1," ",(L67-J67)/J67))</f>
        <v xml:space="preserve"> </v>
      </c>
    </row>
    <row r="68" spans="1:13" ht="15">
      <c r="A68" s="67"/>
      <c r="B68" s="344" t="s">
        <v>38</v>
      </c>
      <c r="C68" s="346" t="s">
        <v>145</v>
      </c>
      <c r="D68" s="285">
        <v>9780</v>
      </c>
      <c r="E68" s="1150">
        <f>'Budget-Unrestricted MYP'!F68</f>
        <v>0</v>
      </c>
      <c r="F68" s="1138">
        <f>'1st Interim-Unrestricted MYP'!G68</f>
        <v>0</v>
      </c>
      <c r="G68" s="788"/>
      <c r="H68" s="788"/>
      <c r="I68" s="49" t="str">
        <f>IF(E68&lt;1," ",IF(H68&lt;1," ",(H68-E68)/E68))</f>
        <v xml:space="preserve"> </v>
      </c>
      <c r="J68" s="788"/>
      <c r="K68" s="622" t="str">
        <f>IF(H68&lt;1," ",IF(J68&lt;1," ",(J68-H68)/H68))</f>
        <v xml:space="preserve"> </v>
      </c>
      <c r="L68" s="788"/>
      <c r="M68" s="621" t="str">
        <f>IF(J68&lt;1," ",IF(L68&lt;1," ",(L68-J68)/J68))</f>
        <v xml:space="preserve"> </v>
      </c>
    </row>
    <row r="69" spans="1:13" ht="15">
      <c r="A69" s="67"/>
      <c r="B69" s="344" t="s">
        <v>40</v>
      </c>
      <c r="C69" s="350" t="s">
        <v>347</v>
      </c>
      <c r="D69" s="592"/>
      <c r="E69" s="1167"/>
      <c r="F69" s="1167"/>
      <c r="G69" s="817"/>
      <c r="H69" s="817"/>
      <c r="I69" s="624"/>
      <c r="J69" s="817"/>
      <c r="K69" s="624"/>
      <c r="L69" s="817"/>
      <c r="M69" s="628"/>
    </row>
    <row r="70" spans="1:13" ht="15">
      <c r="A70" s="67"/>
      <c r="B70" s="344"/>
      <c r="C70" s="345" t="s">
        <v>345</v>
      </c>
      <c r="D70" s="286">
        <v>9789</v>
      </c>
      <c r="E70" s="1150">
        <f>'Budget-Unrestricted MYP'!F70</f>
        <v>456269.25</v>
      </c>
      <c r="F70" s="1138">
        <f>'1st Interim-Unrestricted MYP'!G70</f>
        <v>0</v>
      </c>
      <c r="G70" s="787"/>
      <c r="H70" s="787"/>
      <c r="I70" s="49" t="str">
        <f>IF(E70&lt;1," ",IF(H70&lt;1," ",(H70-E70)/E70))</f>
        <v xml:space="preserve"> </v>
      </c>
      <c r="J70" s="787"/>
      <c r="K70" s="622" t="str">
        <f>IF(H70&lt;1," ",IF(J70&lt;1," ",(J70-H70)/H70))</f>
        <v xml:space="preserve"> </v>
      </c>
      <c r="L70" s="787"/>
      <c r="M70" s="621" t="str">
        <f>IF(J70&lt;1," ",IF(L70&lt;1," ",(L70-J70)/J70))</f>
        <v xml:space="preserve"> </v>
      </c>
    </row>
    <row r="71" spans="1:13" ht="15.4" thickBot="1">
      <c r="A71" s="67"/>
      <c r="B71" s="883"/>
      <c r="C71" s="889" t="s">
        <v>346</v>
      </c>
      <c r="D71" s="617">
        <v>9790</v>
      </c>
      <c r="E71" s="1159">
        <f>E56-E66-E67-E68-E70-E60-E61-E62-E63-E64</f>
        <v>1393026.9447099995</v>
      </c>
      <c r="F71" s="1159" t="e">
        <f>'1st Interim-Unrestricted MYP'!G71</f>
        <v>#VALUE!</v>
      </c>
      <c r="G71" s="1159">
        <f>G56-G66-G67-G68-G70-G60-G61-G62-G63-G64</f>
        <v>2481096</v>
      </c>
      <c r="H71" s="1159" t="e">
        <f>H56-H66-H67-H68-H70-H60-H61-H62-H63-H64</f>
        <v>#VALUE!</v>
      </c>
      <c r="I71" s="584" t="e">
        <f>IF(E71&lt;1," ",IF(H71&lt;1," ",(H71-E71)/E71))</f>
        <v>#VALUE!</v>
      </c>
      <c r="J71" s="799" t="e">
        <f>J56-J66-J67-J68-J70-J60-J61-J62-J63-J64</f>
        <v>#VALUE!</v>
      </c>
      <c r="K71" s="629" t="e">
        <f>IF(H71&lt;1," ",IF(J71&lt;1," ",(J71-H71)/H71))</f>
        <v>#VALUE!</v>
      </c>
      <c r="L71" s="799" t="e">
        <f>L56-L66-L67-L68-L70-L60-L61-L62-L63-L64</f>
        <v>#VALUE!</v>
      </c>
      <c r="M71" s="630" t="e">
        <f>IF(J71&lt;1," ",IF(L71&lt;1," ",(L71-J71)/J71))</f>
        <v>#VALUE!</v>
      </c>
    </row>
    <row r="72" spans="1:13" ht="15.75" thickTop="1" thickBot="1">
      <c r="A72" s="67"/>
      <c r="B72" s="1768"/>
      <c r="C72" s="1769"/>
      <c r="D72" s="1769"/>
      <c r="E72" s="1168"/>
      <c r="F72" s="1168"/>
      <c r="G72" s="982"/>
      <c r="H72" s="982"/>
      <c r="I72" s="982"/>
      <c r="J72" s="982"/>
      <c r="K72" s="982"/>
      <c r="L72" s="982"/>
      <c r="M72" s="983"/>
    </row>
    <row r="73" spans="1:13" ht="15.4" thickTop="1">
      <c r="A73" s="328"/>
      <c r="B73" s="221"/>
      <c r="C73" s="221"/>
      <c r="D73" s="221"/>
      <c r="E73" s="221"/>
      <c r="F73" s="222"/>
      <c r="G73" s="222"/>
      <c r="H73" s="222"/>
      <c r="I73" s="222"/>
      <c r="J73" s="222"/>
      <c r="K73" s="222"/>
      <c r="M73" s="849"/>
    </row>
    <row r="74" spans="1:13" ht="15">
      <c r="A74" s="328" t="s">
        <v>313</v>
      </c>
      <c r="B74" s="221"/>
      <c r="C74" s="221"/>
      <c r="D74" s="221"/>
      <c r="E74" s="221"/>
      <c r="F74" s="222"/>
      <c r="G74" s="222"/>
      <c r="H74" s="222"/>
      <c r="I74" s="222"/>
      <c r="J74" s="222"/>
      <c r="K74" s="222"/>
      <c r="M74" s="849"/>
    </row>
    <row r="75" spans="1:13" ht="15">
      <c r="A75" s="280"/>
      <c r="B75" s="164"/>
      <c r="C75" s="1739" t="s">
        <v>321</v>
      </c>
      <c r="D75" s="1739"/>
      <c r="E75" s="1739"/>
      <c r="F75" s="1739"/>
      <c r="G75" s="1739"/>
      <c r="H75" s="361"/>
      <c r="I75" s="837"/>
      <c r="J75" s="361"/>
      <c r="K75" s="837"/>
      <c r="L75" s="453"/>
      <c r="M75" s="849"/>
    </row>
    <row r="76" spans="1:13" ht="15">
      <c r="A76" s="328"/>
      <c r="B76" s="287">
        <v>1</v>
      </c>
      <c r="C76" s="1774" t="s">
        <v>241</v>
      </c>
      <c r="D76" s="1774"/>
      <c r="E76" s="1160">
        <f>'Budget-Unrestricted MYP'!F76</f>
        <v>0</v>
      </c>
      <c r="F76" s="1147">
        <f>'1st Interim-Unrestricted MYP'!G76</f>
        <v>0</v>
      </c>
      <c r="G76" s="708"/>
      <c r="H76" s="708"/>
      <c r="I76" s="49" t="str">
        <f t="shared" ref="I76:I84" si="6">IF(E76&lt;1," ",IF(H76&lt;1," ",(H76-E76)/E76))</f>
        <v xml:space="preserve"> </v>
      </c>
      <c r="J76" s="714"/>
      <c r="K76" s="483" t="str">
        <f t="shared" ref="K76:K85" si="7">IF(H76&lt;1," ",IF(J76&lt;1," ",(J76-H76)/H76))</f>
        <v xml:space="preserve"> </v>
      </c>
      <c r="L76" s="698"/>
      <c r="M76" s="482" t="str">
        <f t="shared" ref="M76:M85" si="8">IF(J76&lt;1," ",IF(L76&lt;1," ",(L76-J76)/J76))</f>
        <v xml:space="preserve"> </v>
      </c>
    </row>
    <row r="77" spans="1:13" ht="15">
      <c r="A77" s="280"/>
      <c r="B77" s="287">
        <v>2</v>
      </c>
      <c r="C77" s="1724"/>
      <c r="D77" s="1724"/>
      <c r="E77" s="1160">
        <f>'Budget-Unrestricted MYP'!F77</f>
        <v>0</v>
      </c>
      <c r="F77" s="1147">
        <f>'1st Interim-Unrestricted MYP'!G77</f>
        <v>0</v>
      </c>
      <c r="G77" s="708"/>
      <c r="H77" s="708"/>
      <c r="I77" s="49" t="str">
        <f t="shared" si="6"/>
        <v xml:space="preserve"> </v>
      </c>
      <c r="J77" s="714"/>
      <c r="K77" s="483" t="str">
        <f t="shared" si="7"/>
        <v xml:space="preserve"> </v>
      </c>
      <c r="L77" s="698"/>
      <c r="M77" s="482" t="str">
        <f t="shared" si="8"/>
        <v xml:space="preserve"> </v>
      </c>
    </row>
    <row r="78" spans="1:13" ht="15">
      <c r="A78" s="280"/>
      <c r="B78" s="287">
        <v>3</v>
      </c>
      <c r="C78" s="1724"/>
      <c r="D78" s="1724"/>
      <c r="E78" s="1160">
        <f>'Budget-Unrestricted MYP'!F78</f>
        <v>0</v>
      </c>
      <c r="F78" s="1147">
        <f>'1st Interim-Unrestricted MYP'!G78</f>
        <v>0</v>
      </c>
      <c r="G78" s="708"/>
      <c r="H78" s="708"/>
      <c r="I78" s="49" t="str">
        <f t="shared" si="6"/>
        <v xml:space="preserve"> </v>
      </c>
      <c r="J78" s="714"/>
      <c r="K78" s="483" t="str">
        <f t="shared" si="7"/>
        <v xml:space="preserve"> </v>
      </c>
      <c r="L78" s="698"/>
      <c r="M78" s="482" t="str">
        <f t="shared" si="8"/>
        <v xml:space="preserve"> </v>
      </c>
    </row>
    <row r="79" spans="1:13" ht="15">
      <c r="A79" s="280"/>
      <c r="B79" s="287">
        <v>4</v>
      </c>
      <c r="C79" s="1724"/>
      <c r="D79" s="1724"/>
      <c r="E79" s="1160">
        <f>'Budget-Unrestricted MYP'!F79</f>
        <v>0</v>
      </c>
      <c r="F79" s="1147">
        <f>'1st Interim-Unrestricted MYP'!G79</f>
        <v>0</v>
      </c>
      <c r="G79" s="708"/>
      <c r="H79" s="708"/>
      <c r="I79" s="49" t="str">
        <f t="shared" si="6"/>
        <v xml:space="preserve"> </v>
      </c>
      <c r="J79" s="714"/>
      <c r="K79" s="483" t="str">
        <f t="shared" si="7"/>
        <v xml:space="preserve"> </v>
      </c>
      <c r="L79" s="698"/>
      <c r="M79" s="482" t="str">
        <f t="shared" si="8"/>
        <v xml:space="preserve"> </v>
      </c>
    </row>
    <row r="80" spans="1:13" ht="15">
      <c r="A80" s="280"/>
      <c r="B80" s="287">
        <v>5</v>
      </c>
      <c r="C80" s="1724"/>
      <c r="D80" s="1724"/>
      <c r="E80" s="1160">
        <f>'Budget-Unrestricted MYP'!F80</f>
        <v>0</v>
      </c>
      <c r="F80" s="1147">
        <f>'1st Interim-Unrestricted MYP'!G80</f>
        <v>0</v>
      </c>
      <c r="G80" s="708"/>
      <c r="H80" s="708"/>
      <c r="I80" s="49" t="str">
        <f t="shared" si="6"/>
        <v xml:space="preserve"> </v>
      </c>
      <c r="J80" s="714"/>
      <c r="K80" s="483" t="str">
        <f t="shared" si="7"/>
        <v xml:space="preserve"> </v>
      </c>
      <c r="L80" s="698"/>
      <c r="M80" s="482" t="str">
        <f t="shared" si="8"/>
        <v xml:space="preserve"> </v>
      </c>
    </row>
    <row r="81" spans="1:13" ht="15">
      <c r="A81" s="280"/>
      <c r="B81" s="288">
        <v>6</v>
      </c>
      <c r="C81" s="1722"/>
      <c r="D81" s="1722"/>
      <c r="E81" s="1160">
        <f>'Budget-Unrestricted MYP'!F81</f>
        <v>0</v>
      </c>
      <c r="F81" s="1147">
        <f>'1st Interim-Unrestricted MYP'!G81</f>
        <v>0</v>
      </c>
      <c r="G81" s="708"/>
      <c r="H81" s="708"/>
      <c r="I81" s="49" t="str">
        <f t="shared" si="6"/>
        <v xml:space="preserve"> </v>
      </c>
      <c r="J81" s="714"/>
      <c r="K81" s="483" t="str">
        <f t="shared" si="7"/>
        <v xml:space="preserve"> </v>
      </c>
      <c r="L81" s="698"/>
      <c r="M81" s="482" t="str">
        <f t="shared" si="8"/>
        <v xml:space="preserve"> </v>
      </c>
    </row>
    <row r="82" spans="1:13" ht="15">
      <c r="A82" s="280"/>
      <c r="B82" s="288">
        <v>7</v>
      </c>
      <c r="C82" s="1722"/>
      <c r="D82" s="1722"/>
      <c r="E82" s="1160">
        <f>'Budget-Unrestricted MYP'!F82</f>
        <v>0</v>
      </c>
      <c r="F82" s="1147">
        <f>'1st Interim-Unrestricted MYP'!G82</f>
        <v>0</v>
      </c>
      <c r="G82" s="708"/>
      <c r="H82" s="708"/>
      <c r="I82" s="49" t="str">
        <f t="shared" si="6"/>
        <v xml:space="preserve"> </v>
      </c>
      <c r="J82" s="714"/>
      <c r="K82" s="483" t="str">
        <f t="shared" si="7"/>
        <v xml:space="preserve"> </v>
      </c>
      <c r="L82" s="698"/>
      <c r="M82" s="482" t="str">
        <f t="shared" si="8"/>
        <v xml:space="preserve"> </v>
      </c>
    </row>
    <row r="83" spans="1:13" ht="15">
      <c r="A83" s="67"/>
      <c r="B83" s="288">
        <v>8</v>
      </c>
      <c r="C83" s="1722"/>
      <c r="D83" s="1722"/>
      <c r="E83" s="1160">
        <f>'Budget-Unrestricted MYP'!F83</f>
        <v>0</v>
      </c>
      <c r="F83" s="1147">
        <f>'1st Interim-Unrestricted MYP'!G83</f>
        <v>0</v>
      </c>
      <c r="G83" s="709"/>
      <c r="H83" s="709"/>
      <c r="I83" s="49" t="str">
        <f t="shared" si="6"/>
        <v xml:space="preserve"> </v>
      </c>
      <c r="J83" s="716"/>
      <c r="K83" s="483" t="str">
        <f t="shared" si="7"/>
        <v xml:space="preserve"> </v>
      </c>
      <c r="L83" s="705"/>
      <c r="M83" s="482" t="str">
        <f t="shared" si="8"/>
        <v xml:space="preserve"> </v>
      </c>
    </row>
    <row r="84" spans="1:13" ht="15.4" thickBot="1">
      <c r="A84" s="67"/>
      <c r="B84" s="922">
        <v>9</v>
      </c>
      <c r="C84" s="1857"/>
      <c r="D84" s="1857"/>
      <c r="E84" s="1160">
        <f>'Budget-Unrestricted MYP'!F84</f>
        <v>0</v>
      </c>
      <c r="F84" s="1147">
        <f>'1st Interim-Unrestricted MYP'!G84</f>
        <v>0</v>
      </c>
      <c r="G84" s="710"/>
      <c r="H84" s="710"/>
      <c r="I84" s="49" t="str">
        <f t="shared" si="6"/>
        <v xml:space="preserve"> </v>
      </c>
      <c r="J84" s="818"/>
      <c r="K84" s="484" t="str">
        <f t="shared" si="7"/>
        <v xml:space="preserve"> </v>
      </c>
      <c r="L84" s="699"/>
      <c r="M84" s="485" t="str">
        <f t="shared" si="8"/>
        <v xml:space="preserve"> </v>
      </c>
    </row>
    <row r="85" spans="1:13" ht="15.75" thickTop="1" thickBot="1">
      <c r="A85" s="67"/>
      <c r="B85" s="923" t="s">
        <v>2</v>
      </c>
      <c r="C85" s="1728" t="s">
        <v>318</v>
      </c>
      <c r="D85" s="1729"/>
      <c r="E85" s="1135">
        <f>SUM(E76:E84)</f>
        <v>0</v>
      </c>
      <c r="F85" s="1135">
        <f>SUM(F76:F84)</f>
        <v>0</v>
      </c>
      <c r="G85" s="1135">
        <f>SUM(G76:G84)</f>
        <v>0</v>
      </c>
      <c r="H85" s="1135">
        <f>SUM(H76:H84)</f>
        <v>0</v>
      </c>
      <c r="I85" s="1087" t="str">
        <f>IF(E85&lt;1," ",IF(H85&lt;1," ",(H85-E85)/E85))</f>
        <v xml:space="preserve"> </v>
      </c>
      <c r="J85" s="884">
        <f>SUM(J76:J84)</f>
        <v>0</v>
      </c>
      <c r="K85" s="885" t="str">
        <f t="shared" si="7"/>
        <v xml:space="preserve"> </v>
      </c>
      <c r="L85" s="884">
        <f>SUM(L76:L84)</f>
        <v>0</v>
      </c>
      <c r="M85" s="886" t="str">
        <f t="shared" si="8"/>
        <v xml:space="preserve"> </v>
      </c>
    </row>
    <row r="86" spans="1:13" ht="15.4" thickTop="1">
      <c r="A86" s="67"/>
      <c r="B86" s="969"/>
      <c r="C86" s="952"/>
      <c r="D86" s="952"/>
      <c r="E86" s="167"/>
      <c r="F86" s="167"/>
      <c r="G86" s="51"/>
      <c r="H86" s="167"/>
      <c r="I86" s="51"/>
      <c r="J86" s="167"/>
      <c r="K86" s="51"/>
      <c r="L86" s="51"/>
      <c r="M86" s="309"/>
    </row>
    <row r="87" spans="1:13" ht="15">
      <c r="A87" s="67"/>
      <c r="B87" s="956" t="s">
        <v>125</v>
      </c>
      <c r="C87" s="348"/>
      <c r="D87" s="960"/>
      <c r="E87" s="1088">
        <f>'Budget-Unrestricted MYP'!F87</f>
        <v>177</v>
      </c>
      <c r="F87" s="1064">
        <f>'1st Interim-Unrestricted MYP'!G87</f>
        <v>0</v>
      </c>
      <c r="G87" s="570"/>
      <c r="H87" s="959">
        <f>'2nd Interim-Assumptions'!G16</f>
        <v>0</v>
      </c>
      <c r="I87" s="465"/>
      <c r="J87" s="959">
        <f>'2nd Interim-Assumptions'!H16</f>
        <v>0</v>
      </c>
      <c r="K87" s="465"/>
      <c r="L87" s="959">
        <f>'2nd Interim-Assumptions'!J16</f>
        <v>0</v>
      </c>
      <c r="M87" s="678"/>
    </row>
    <row r="88" spans="1:13" ht="15">
      <c r="A88" s="280"/>
      <c r="B88" s="956" t="s">
        <v>134</v>
      </c>
      <c r="C88" s="348"/>
      <c r="D88" s="960"/>
      <c r="E88" s="1089">
        <f>'Budget-Unrestricted MYP'!F88</f>
        <v>92527.144709999993</v>
      </c>
      <c r="F88" s="1065" t="e">
        <f>'1st Interim-Unrestricted MYP'!G88</f>
        <v>#VALUE!</v>
      </c>
      <c r="G88" s="571"/>
      <c r="H88" s="962" t="e">
        <f>(1.04446*'2nd Interim-ADA'!O76)*H87</f>
        <v>#VALUE!</v>
      </c>
      <c r="I88" s="49" t="e">
        <f>IF(E88&lt;1," ",IF(H88&lt;1," ",(H88-E88)/E88))</f>
        <v>#VALUE!</v>
      </c>
      <c r="J88" s="962" t="e">
        <f>(1.04446*'2nd Interim-ADA'!R76)*J87</f>
        <v>#VALUE!</v>
      </c>
      <c r="K88" s="268" t="e">
        <f>IF(H88&lt;1," ",IF(J88&lt;1," ",(J88-H88)/H88))</f>
        <v>#VALUE!</v>
      </c>
      <c r="L88" s="962" t="e">
        <f>(1.04446*'2nd Interim-ADA'!U76)*L87</f>
        <v>#VALUE!</v>
      </c>
      <c r="M88" s="304" t="e">
        <f>IF(J88&lt;1," ",IF(L88&lt;1," ",(L88-J88)/J88))</f>
        <v>#VALUE!</v>
      </c>
    </row>
    <row r="89" spans="1:13" ht="15">
      <c r="A89" s="67"/>
      <c r="B89" s="953"/>
      <c r="C89" s="953"/>
      <c r="D89" s="953"/>
      <c r="E89" s="954"/>
      <c r="F89" s="955"/>
      <c r="G89" s="51"/>
      <c r="H89" s="51"/>
      <c r="I89" s="51"/>
      <c r="J89" s="51"/>
      <c r="K89" s="51"/>
      <c r="L89" s="51"/>
      <c r="M89" s="309"/>
    </row>
    <row r="90" spans="1:13" ht="15">
      <c r="A90" s="280"/>
      <c r="B90" s="164"/>
      <c r="C90" s="164" t="s">
        <v>126</v>
      </c>
      <c r="D90" s="164"/>
      <c r="E90" s="164"/>
      <c r="F90" s="541"/>
      <c r="G90" s="541"/>
      <c r="H90" s="541"/>
      <c r="I90" s="541"/>
      <c r="J90" s="541"/>
      <c r="K90" s="541"/>
      <c r="L90" s="51"/>
      <c r="M90" s="309"/>
    </row>
    <row r="91" spans="1:13" ht="15">
      <c r="A91" s="280"/>
      <c r="B91" s="287">
        <v>1</v>
      </c>
      <c r="C91" s="1724"/>
      <c r="D91" s="1725"/>
      <c r="E91" s="1094">
        <f>'Budget-Unrestricted MYP'!F91</f>
        <v>21254</v>
      </c>
      <c r="F91" s="1125">
        <f>'1st Interim-Unrestricted MYP'!G91</f>
        <v>0</v>
      </c>
      <c r="G91" s="1128"/>
      <c r="H91" s="708"/>
      <c r="I91" s="49" t="str">
        <f t="shared" ref="I91:I109" si="9">IF(E91&lt;1," ",IF(H91&lt;1," ",(H91-E91)/E91))</f>
        <v xml:space="preserve"> </v>
      </c>
      <c r="J91" s="714"/>
      <c r="K91" s="484" t="str">
        <f t="shared" ref="K91:K109" si="10">IF(H91&lt;1," ",IF(J91&lt;1," ",(J91-H91)/H91))</f>
        <v xml:space="preserve"> </v>
      </c>
      <c r="L91" s="703"/>
      <c r="M91" s="596" t="str">
        <f t="shared" ref="M91:M109" si="11">IF(J91&lt;1," ",IF(L91&lt;1," ",(L91-J91)/J91))</f>
        <v xml:space="preserve"> </v>
      </c>
    </row>
    <row r="92" spans="1:13" ht="15">
      <c r="A92" s="280"/>
      <c r="B92" s="287">
        <v>2</v>
      </c>
      <c r="C92" s="1724"/>
      <c r="D92" s="1725"/>
      <c r="E92" s="1090">
        <f>'Budget-Unrestricted MYP'!F92</f>
        <v>0</v>
      </c>
      <c r="F92" s="1126">
        <f>'1st Interim-Unrestricted MYP'!G92</f>
        <v>0</v>
      </c>
      <c r="G92" s="1115"/>
      <c r="H92" s="709"/>
      <c r="I92" s="49" t="str">
        <f t="shared" si="9"/>
        <v xml:space="preserve"> </v>
      </c>
      <c r="J92" s="716"/>
      <c r="K92" s="484" t="str">
        <f t="shared" si="10"/>
        <v xml:space="preserve"> </v>
      </c>
      <c r="L92" s="705"/>
      <c r="M92" s="485" t="str">
        <f t="shared" si="11"/>
        <v xml:space="preserve"> </v>
      </c>
    </row>
    <row r="93" spans="1:13" ht="15">
      <c r="A93" s="280"/>
      <c r="B93" s="287">
        <v>3</v>
      </c>
      <c r="C93" s="1724"/>
      <c r="D93" s="1725"/>
      <c r="E93" s="1090">
        <f>'Budget-Unrestricted MYP'!F93</f>
        <v>0</v>
      </c>
      <c r="F93" s="1126">
        <f>'1st Interim-Unrestricted MYP'!G93</f>
        <v>0</v>
      </c>
      <c r="G93" s="1115"/>
      <c r="H93" s="709"/>
      <c r="I93" s="49" t="str">
        <f t="shared" si="9"/>
        <v xml:space="preserve"> </v>
      </c>
      <c r="J93" s="716"/>
      <c r="K93" s="484" t="str">
        <f t="shared" si="10"/>
        <v xml:space="preserve"> </v>
      </c>
      <c r="L93" s="705"/>
      <c r="M93" s="485" t="str">
        <f t="shared" si="11"/>
        <v xml:space="preserve"> </v>
      </c>
    </row>
    <row r="94" spans="1:13" ht="15">
      <c r="A94" s="280"/>
      <c r="B94" s="287">
        <v>4</v>
      </c>
      <c r="C94" s="1724"/>
      <c r="D94" s="1725"/>
      <c r="E94" s="1090">
        <f>'Budget-Unrestricted MYP'!F94</f>
        <v>0</v>
      </c>
      <c r="F94" s="1125">
        <f>'1st Interim-Unrestricted MYP'!G94</f>
        <v>0</v>
      </c>
      <c r="G94" s="1128"/>
      <c r="H94" s="708"/>
      <c r="I94" s="49" t="str">
        <f t="shared" si="9"/>
        <v xml:space="preserve"> </v>
      </c>
      <c r="J94" s="714"/>
      <c r="K94" s="484" t="str">
        <f t="shared" si="10"/>
        <v xml:space="preserve"> </v>
      </c>
      <c r="L94" s="698"/>
      <c r="M94" s="485" t="str">
        <f t="shared" si="11"/>
        <v xml:space="preserve"> </v>
      </c>
    </row>
    <row r="95" spans="1:13" ht="15">
      <c r="A95" s="67"/>
      <c r="B95" s="287">
        <v>5</v>
      </c>
      <c r="C95" s="1724"/>
      <c r="D95" s="1725"/>
      <c r="E95" s="1090">
        <f>'Budget-Unrestricted MYP'!F95</f>
        <v>0</v>
      </c>
      <c r="F95" s="1127">
        <f>'1st Interim-Unrestricted MYP'!G95</f>
        <v>0</v>
      </c>
      <c r="G95" s="1129"/>
      <c r="H95" s="726"/>
      <c r="I95" s="49" t="str">
        <f t="shared" si="9"/>
        <v xml:space="preserve"> </v>
      </c>
      <c r="J95" s="819"/>
      <c r="K95" s="484" t="str">
        <f t="shared" si="10"/>
        <v xml:space="preserve"> </v>
      </c>
      <c r="L95" s="824"/>
      <c r="M95" s="485" t="str">
        <f t="shared" si="11"/>
        <v xml:space="preserve"> </v>
      </c>
    </row>
    <row r="96" spans="1:13" ht="15">
      <c r="A96" s="281"/>
      <c r="B96" s="288">
        <v>6</v>
      </c>
      <c r="C96" s="1722"/>
      <c r="D96" s="1723"/>
      <c r="E96" s="1090">
        <f>'Budget-Unrestricted MYP'!F96</f>
        <v>0</v>
      </c>
      <c r="F96" s="1092">
        <f>'1st Interim-Unrestricted MYP'!G96</f>
        <v>0</v>
      </c>
      <c r="G96" s="1114"/>
      <c r="H96" s="727"/>
      <c r="I96" s="49" t="str">
        <f t="shared" si="9"/>
        <v xml:space="preserve"> </v>
      </c>
      <c r="J96" s="820"/>
      <c r="K96" s="483" t="str">
        <f t="shared" si="10"/>
        <v xml:space="preserve"> </v>
      </c>
      <c r="L96" s="825"/>
      <c r="M96" s="482" t="str">
        <f t="shared" si="11"/>
        <v xml:space="preserve"> </v>
      </c>
    </row>
    <row r="97" spans="1:13" ht="15">
      <c r="A97" s="281"/>
      <c r="B97" s="288">
        <v>7</v>
      </c>
      <c r="C97" s="1722"/>
      <c r="D97" s="1723"/>
      <c r="E97" s="1090">
        <f>'Budget-Unrestricted MYP'!F97</f>
        <v>0</v>
      </c>
      <c r="F97" s="1091">
        <f>'1st Interim-Unrestricted MYP'!G97</f>
        <v>0</v>
      </c>
      <c r="G97" s="1115"/>
      <c r="H97" s="709"/>
      <c r="I97" s="49" t="str">
        <f t="shared" si="9"/>
        <v xml:space="preserve"> </v>
      </c>
      <c r="J97" s="716"/>
      <c r="K97" s="483" t="str">
        <f t="shared" si="10"/>
        <v xml:space="preserve"> </v>
      </c>
      <c r="L97" s="705"/>
      <c r="M97" s="482" t="str">
        <f t="shared" si="11"/>
        <v xml:space="preserve"> </v>
      </c>
    </row>
    <row r="98" spans="1:13" ht="15">
      <c r="A98" s="281"/>
      <c r="B98" s="288">
        <v>8</v>
      </c>
      <c r="C98" s="1722"/>
      <c r="D98" s="1723"/>
      <c r="E98" s="1093">
        <f>'Budget-Unrestricted MYP'!F98</f>
        <v>0</v>
      </c>
      <c r="F98" s="1091">
        <f>'1st Interim-Unrestricted MYP'!G98</f>
        <v>0</v>
      </c>
      <c r="G98" s="1115"/>
      <c r="H98" s="712"/>
      <c r="I98" s="49" t="str">
        <f t="shared" si="9"/>
        <v xml:space="preserve"> </v>
      </c>
      <c r="J98" s="716"/>
      <c r="K98" s="483" t="str">
        <f t="shared" si="10"/>
        <v xml:space="preserve"> </v>
      </c>
      <c r="L98" s="705"/>
      <c r="M98" s="482" t="str">
        <f t="shared" si="11"/>
        <v xml:space="preserve"> </v>
      </c>
    </row>
    <row r="99" spans="1:13" ht="15">
      <c r="A99" s="281"/>
      <c r="B99" s="288">
        <v>9</v>
      </c>
      <c r="C99" s="1724"/>
      <c r="D99" s="1725"/>
      <c r="E99" s="1083">
        <f>'Budget-Unrestricted MYP'!F99</f>
        <v>0</v>
      </c>
      <c r="F99" s="1091">
        <f>'1st Interim-Unrestricted MYP'!G99</f>
        <v>0</v>
      </c>
      <c r="G99" s="1115"/>
      <c r="H99" s="712"/>
      <c r="I99" s="49" t="str">
        <f t="shared" si="9"/>
        <v xml:space="preserve"> </v>
      </c>
      <c r="J99" s="716"/>
      <c r="K99" s="483" t="str">
        <f t="shared" si="10"/>
        <v xml:space="preserve"> </v>
      </c>
      <c r="L99" s="705"/>
      <c r="M99" s="482" t="str">
        <f t="shared" si="11"/>
        <v xml:space="preserve"> </v>
      </c>
    </row>
    <row r="100" spans="1:13" ht="15">
      <c r="A100" s="281"/>
      <c r="B100" s="145">
        <v>10</v>
      </c>
      <c r="C100" s="1722"/>
      <c r="D100" s="1723"/>
      <c r="E100" s="1094">
        <f>'Budget-Unrestricted MYP'!F100</f>
        <v>0</v>
      </c>
      <c r="F100" s="1091">
        <f>'1st Interim-Unrestricted MYP'!G100</f>
        <v>0</v>
      </c>
      <c r="G100" s="1115"/>
      <c r="H100" s="712"/>
      <c r="I100" s="49" t="str">
        <f t="shared" si="9"/>
        <v xml:space="preserve"> </v>
      </c>
      <c r="J100" s="716"/>
      <c r="K100" s="483" t="str">
        <f t="shared" si="10"/>
        <v xml:space="preserve"> </v>
      </c>
      <c r="L100" s="705"/>
      <c r="M100" s="482" t="str">
        <f t="shared" si="11"/>
        <v xml:space="preserve"> </v>
      </c>
    </row>
    <row r="101" spans="1:13" ht="15">
      <c r="A101" s="67"/>
      <c r="B101" s="145">
        <v>11</v>
      </c>
      <c r="C101" s="1722"/>
      <c r="D101" s="1723"/>
      <c r="E101" s="1090">
        <f>'Budget-Unrestricted MYP'!F101</f>
        <v>0</v>
      </c>
      <c r="F101" s="1095">
        <f>'1st Interim-Unrestricted MYP'!G101</f>
        <v>0</v>
      </c>
      <c r="G101" s="1116"/>
      <c r="H101" s="1108"/>
      <c r="I101" s="49" t="str">
        <f t="shared" si="9"/>
        <v xml:space="preserve"> </v>
      </c>
      <c r="J101" s="719"/>
      <c r="K101" s="483" t="str">
        <f t="shared" si="10"/>
        <v xml:space="preserve"> </v>
      </c>
      <c r="L101" s="826"/>
      <c r="M101" s="482" t="str">
        <f t="shared" si="11"/>
        <v xml:space="preserve"> </v>
      </c>
    </row>
    <row r="102" spans="1:13" ht="15">
      <c r="A102" s="67"/>
      <c r="B102" s="145">
        <v>12</v>
      </c>
      <c r="C102" s="1722"/>
      <c r="D102" s="1723"/>
      <c r="E102" s="1090">
        <f>'Budget-Unrestricted MYP'!F102</f>
        <v>0</v>
      </c>
      <c r="F102" s="969">
        <f>'1st Interim-Unrestricted MYP'!G102</f>
        <v>0</v>
      </c>
      <c r="G102" s="1117"/>
      <c r="H102" s="1109"/>
      <c r="I102" s="49" t="str">
        <f t="shared" si="9"/>
        <v xml:space="preserve"> </v>
      </c>
      <c r="J102" s="720"/>
      <c r="K102" s="483" t="str">
        <f t="shared" si="10"/>
        <v xml:space="preserve"> </v>
      </c>
      <c r="L102" s="827"/>
      <c r="M102" s="482" t="str">
        <f t="shared" si="11"/>
        <v xml:space="preserve"> </v>
      </c>
    </row>
    <row r="103" spans="1:13" ht="15">
      <c r="A103" s="67"/>
      <c r="B103" s="145">
        <v>13</v>
      </c>
      <c r="C103" s="1722"/>
      <c r="D103" s="1723"/>
      <c r="E103" s="1090">
        <f>'Budget-Unrestricted MYP'!F103</f>
        <v>0</v>
      </c>
      <c r="F103" s="1096">
        <f>'1st Interim-Unrestricted MYP'!G103</f>
        <v>0</v>
      </c>
      <c r="G103" s="1118"/>
      <c r="H103" s="1110"/>
      <c r="I103" s="49" t="str">
        <f t="shared" si="9"/>
        <v xml:space="preserve"> </v>
      </c>
      <c r="J103" s="821"/>
      <c r="K103" s="483" t="str">
        <f t="shared" si="10"/>
        <v xml:space="preserve"> </v>
      </c>
      <c r="L103" s="734"/>
      <c r="M103" s="482" t="str">
        <f t="shared" si="11"/>
        <v xml:space="preserve"> </v>
      </c>
    </row>
    <row r="104" spans="1:13" ht="15">
      <c r="A104" s="67"/>
      <c r="B104" s="145">
        <v>14</v>
      </c>
      <c r="C104" s="1722"/>
      <c r="D104" s="1723"/>
      <c r="E104" s="1090">
        <f>'Budget-Unrestricted MYP'!F104</f>
        <v>0</v>
      </c>
      <c r="F104" s="1097">
        <f>'1st Interim-Unrestricted MYP'!G104</f>
        <v>0</v>
      </c>
      <c r="G104" s="738"/>
      <c r="H104" s="832"/>
      <c r="I104" s="49" t="str">
        <f t="shared" si="9"/>
        <v xml:space="preserve"> </v>
      </c>
      <c r="J104" s="742"/>
      <c r="K104" s="483" t="str">
        <f t="shared" si="10"/>
        <v xml:space="preserve"> </v>
      </c>
      <c r="L104" s="735"/>
      <c r="M104" s="482" t="str">
        <f t="shared" si="11"/>
        <v xml:space="preserve"> </v>
      </c>
    </row>
    <row r="105" spans="1:13" ht="15">
      <c r="A105" s="67"/>
      <c r="B105" s="145">
        <v>15</v>
      </c>
      <c r="C105" s="1722"/>
      <c r="D105" s="1723"/>
      <c r="E105" s="1090">
        <f>'Budget-Unrestricted MYP'!F105</f>
        <v>0</v>
      </c>
      <c r="F105" s="1096">
        <f>'1st Interim-Unrestricted MYP'!G105</f>
        <v>0</v>
      </c>
      <c r="G105" s="1118"/>
      <c r="H105" s="1110"/>
      <c r="I105" s="49" t="str">
        <f t="shared" si="9"/>
        <v xml:space="preserve"> </v>
      </c>
      <c r="J105" s="821"/>
      <c r="K105" s="483" t="str">
        <f t="shared" si="10"/>
        <v xml:space="preserve"> </v>
      </c>
      <c r="L105" s="734"/>
      <c r="M105" s="482" t="str">
        <f t="shared" si="11"/>
        <v xml:space="preserve"> </v>
      </c>
    </row>
    <row r="106" spans="1:13" ht="15">
      <c r="A106" s="67"/>
      <c r="B106" s="145">
        <v>16</v>
      </c>
      <c r="C106" s="1722"/>
      <c r="D106" s="1723"/>
      <c r="E106" s="1090">
        <f>'Budget-Unrestricted MYP'!F106</f>
        <v>0</v>
      </c>
      <c r="F106" s="1098">
        <f>'1st Interim-Unrestricted MYP'!G106</f>
        <v>0</v>
      </c>
      <c r="G106" s="1119"/>
      <c r="H106" s="1111"/>
      <c r="I106" s="49" t="str">
        <f t="shared" si="9"/>
        <v xml:space="preserve"> </v>
      </c>
      <c r="J106" s="822"/>
      <c r="K106" s="483" t="str">
        <f t="shared" si="10"/>
        <v xml:space="preserve"> </v>
      </c>
      <c r="L106" s="736"/>
      <c r="M106" s="482" t="str">
        <f t="shared" si="11"/>
        <v xml:space="preserve"> </v>
      </c>
    </row>
    <row r="107" spans="1:13" ht="15">
      <c r="A107" s="67"/>
      <c r="B107" s="145">
        <v>17</v>
      </c>
      <c r="C107" s="1722"/>
      <c r="D107" s="1723"/>
      <c r="E107" s="1093">
        <f>'Budget-Unrestricted MYP'!F107</f>
        <v>0</v>
      </c>
      <c r="F107" s="1099">
        <f>'1st Interim-Unrestricted MYP'!G107</f>
        <v>0</v>
      </c>
      <c r="G107" s="1120"/>
      <c r="H107" s="1112"/>
      <c r="I107" s="49" t="str">
        <f t="shared" si="9"/>
        <v xml:space="preserve"> </v>
      </c>
      <c r="J107" s="823"/>
      <c r="K107" s="483" t="str">
        <f t="shared" si="10"/>
        <v xml:space="preserve"> </v>
      </c>
      <c r="L107" s="737"/>
      <c r="M107" s="482" t="str">
        <f t="shared" si="11"/>
        <v xml:space="preserve"> </v>
      </c>
    </row>
    <row r="108" spans="1:13" ht="15.4" thickBot="1">
      <c r="A108" s="67"/>
      <c r="B108" s="883">
        <v>18</v>
      </c>
      <c r="C108" s="1726"/>
      <c r="D108" s="1727"/>
      <c r="E108" s="1083">
        <f>'Budget-Unrestricted MYP'!F108</f>
        <v>0</v>
      </c>
      <c r="F108" s="1100">
        <f>'1st Interim-Unrestricted MYP'!G108</f>
        <v>0</v>
      </c>
      <c r="G108" s="1121"/>
      <c r="H108" s="1113"/>
      <c r="I108" s="49" t="str">
        <f t="shared" si="9"/>
        <v xml:space="preserve"> </v>
      </c>
      <c r="J108" s="725"/>
      <c r="K108" s="593" t="str">
        <f t="shared" si="10"/>
        <v xml:space="preserve"> </v>
      </c>
      <c r="L108" s="828"/>
      <c r="M108" s="594" t="str">
        <f t="shared" si="11"/>
        <v xml:space="preserve"> </v>
      </c>
    </row>
    <row r="109" spans="1:13" ht="15.75" thickTop="1" thickBot="1">
      <c r="A109" s="67"/>
      <c r="B109" s="887"/>
      <c r="C109" s="1728" t="s">
        <v>317</v>
      </c>
      <c r="D109" s="1729"/>
      <c r="E109" s="1107">
        <f>SUM(E91:E108)</f>
        <v>21254</v>
      </c>
      <c r="F109" s="1107">
        <f>SUM(F91:F108)</f>
        <v>0</v>
      </c>
      <c r="G109" s="1107">
        <f>SUM(G91:G108)</f>
        <v>0</v>
      </c>
      <c r="H109" s="884">
        <f>SUM(H91:H108)</f>
        <v>0</v>
      </c>
      <c r="I109" s="1106" t="str">
        <f t="shared" si="9"/>
        <v xml:space="preserve"> </v>
      </c>
      <c r="J109" s="884">
        <f>SUM(J91:J108)</f>
        <v>0</v>
      </c>
      <c r="K109" s="885" t="str">
        <f t="shared" si="10"/>
        <v xml:space="preserve"> </v>
      </c>
      <c r="L109" s="884">
        <f>SUM(L91:L108)</f>
        <v>0</v>
      </c>
      <c r="M109" s="886" t="str">
        <f t="shared" si="11"/>
        <v xml:space="preserve"> </v>
      </c>
    </row>
    <row r="110" spans="1:13" ht="15.4" thickTop="1">
      <c r="A110" s="67"/>
      <c r="B110" s="151"/>
      <c r="C110" s="1860"/>
      <c r="D110" s="1860"/>
      <c r="E110" s="646"/>
      <c r="F110" s="853"/>
      <c r="G110" s="454"/>
      <c r="H110" s="454"/>
      <c r="I110" s="857"/>
      <c r="J110" s="454"/>
      <c r="K110" s="857"/>
      <c r="L110" s="454"/>
      <c r="M110" s="859"/>
    </row>
    <row r="111" spans="1:13" ht="15">
      <c r="A111" s="280"/>
      <c r="B111" s="164"/>
      <c r="C111" s="164" t="s">
        <v>326</v>
      </c>
      <c r="D111" s="164"/>
      <c r="E111" s="164"/>
      <c r="F111" s="541"/>
      <c r="G111" s="541"/>
      <c r="H111" s="541"/>
      <c r="I111" s="541"/>
      <c r="J111" s="541"/>
      <c r="K111" s="541"/>
      <c r="L111" s="51"/>
      <c r="M111" s="309"/>
    </row>
    <row r="112" spans="1:13" ht="15">
      <c r="A112" s="67"/>
      <c r="B112" s="287">
        <v>1</v>
      </c>
      <c r="C112" s="1724" t="s">
        <v>242</v>
      </c>
      <c r="D112" s="1725"/>
      <c r="E112" s="1101">
        <f>'Budget-Unrestricted MYP'!F112</f>
        <v>10000</v>
      </c>
      <c r="F112" s="1097">
        <f>'1st Interim-Unrestricted MYP'!G112</f>
        <v>0</v>
      </c>
      <c r="G112" s="1122"/>
      <c r="H112" s="829"/>
      <c r="I112" s="49" t="str">
        <f t="shared" ref="I112:I118" si="12">IF(E112&lt;1," ",IF(H112&lt;1," ",(H112-E112)/E112))</f>
        <v xml:space="preserve"> </v>
      </c>
      <c r="J112" s="742"/>
      <c r="K112" s="31" t="str">
        <f t="shared" ref="K112:K118" si="13">IF(H112&lt;1," ",IF(J112&lt;1," ",(J112-H112)/H112))</f>
        <v xml:space="preserve"> </v>
      </c>
      <c r="L112" s="829"/>
      <c r="M112" s="632" t="str">
        <f t="shared" ref="M112:M118" si="14">IF(J112&lt;1," ",IF(L112&lt;1," ",(L112-J112)/J112))</f>
        <v xml:space="preserve"> </v>
      </c>
    </row>
    <row r="113" spans="1:13" ht="15">
      <c r="A113" s="67"/>
      <c r="B113" s="287">
        <v>2</v>
      </c>
      <c r="C113" s="1724"/>
      <c r="D113" s="1725"/>
      <c r="E113" s="1102">
        <f>'Budget-Unrestricted MYP'!F113</f>
        <v>0</v>
      </c>
      <c r="F113" s="1103">
        <f>'1st Interim-Unrestricted MYP'!G113</f>
        <v>0</v>
      </c>
      <c r="G113" s="1123"/>
      <c r="H113" s="830"/>
      <c r="I113" s="49" t="str">
        <f t="shared" si="12"/>
        <v xml:space="preserve"> </v>
      </c>
      <c r="J113" s="740"/>
      <c r="K113" s="78" t="str">
        <f t="shared" si="13"/>
        <v xml:space="preserve"> </v>
      </c>
      <c r="L113" s="830"/>
      <c r="M113" s="633" t="str">
        <f t="shared" si="14"/>
        <v xml:space="preserve"> </v>
      </c>
    </row>
    <row r="114" spans="1:13" ht="15">
      <c r="A114" s="67"/>
      <c r="B114" s="287">
        <v>3</v>
      </c>
      <c r="C114" s="1724"/>
      <c r="D114" s="1725"/>
      <c r="E114" s="1104">
        <f>'Budget-Unrestricted MYP'!F114</f>
        <v>150000</v>
      </c>
      <c r="F114" s="1100">
        <f>'1st Interim-Unrestricted MYP'!G114</f>
        <v>0</v>
      </c>
      <c r="G114" s="1124"/>
      <c r="H114" s="831"/>
      <c r="I114" s="49" t="str">
        <f t="shared" si="12"/>
        <v xml:space="preserve"> </v>
      </c>
      <c r="J114" s="743"/>
      <c r="K114" s="330" t="str">
        <f t="shared" si="13"/>
        <v xml:space="preserve"> </v>
      </c>
      <c r="L114" s="831"/>
      <c r="M114" s="634" t="str">
        <f t="shared" si="14"/>
        <v xml:space="preserve"> </v>
      </c>
    </row>
    <row r="115" spans="1:13" ht="15">
      <c r="A115" s="67"/>
      <c r="B115" s="287">
        <v>4</v>
      </c>
      <c r="C115" s="1724"/>
      <c r="D115" s="1725"/>
      <c r="E115" s="1104">
        <f>'Budget-Unrestricted MYP'!F115</f>
        <v>0</v>
      </c>
      <c r="F115" s="1097">
        <f>'1st Interim-Unrestricted MYP'!G115</f>
        <v>0</v>
      </c>
      <c r="G115" s="738"/>
      <c r="H115" s="832"/>
      <c r="I115" s="49" t="str">
        <f t="shared" si="12"/>
        <v xml:space="preserve"> </v>
      </c>
      <c r="J115" s="742"/>
      <c r="K115" s="31" t="str">
        <f t="shared" si="13"/>
        <v xml:space="preserve"> </v>
      </c>
      <c r="L115" s="832"/>
      <c r="M115" s="635" t="str">
        <f t="shared" si="14"/>
        <v xml:space="preserve"> </v>
      </c>
    </row>
    <row r="116" spans="1:13" ht="15">
      <c r="A116" s="67"/>
      <c r="B116" s="287">
        <v>5</v>
      </c>
      <c r="C116" s="1724"/>
      <c r="D116" s="1725"/>
      <c r="E116" s="1104">
        <f>'Budget-Unrestricted MYP'!F116</f>
        <v>0</v>
      </c>
      <c r="F116" s="1097">
        <f>'1st Interim-Unrestricted MYP'!G116</f>
        <v>0</v>
      </c>
      <c r="G116" s="738"/>
      <c r="H116" s="832"/>
      <c r="I116" s="49" t="str">
        <f t="shared" si="12"/>
        <v xml:space="preserve"> </v>
      </c>
      <c r="J116" s="742"/>
      <c r="K116" s="31" t="str">
        <f t="shared" si="13"/>
        <v xml:space="preserve"> </v>
      </c>
      <c r="L116" s="832"/>
      <c r="M116" s="635" t="str">
        <f t="shared" si="14"/>
        <v xml:space="preserve"> </v>
      </c>
    </row>
    <row r="117" spans="1:13" ht="15.4" thickBot="1">
      <c r="A117" s="67"/>
      <c r="B117" s="922">
        <v>6</v>
      </c>
      <c r="C117" s="1726"/>
      <c r="D117" s="1727"/>
      <c r="E117" s="1105">
        <f>'Budget-Unrestricted MYP'!F117</f>
        <v>0</v>
      </c>
      <c r="F117" s="1100">
        <f>'1st Interim-Unrestricted MYP'!G117</f>
        <v>0</v>
      </c>
      <c r="G117" s="1121"/>
      <c r="H117" s="1113"/>
      <c r="I117" s="49" t="str">
        <f t="shared" si="12"/>
        <v xml:space="preserve"> </v>
      </c>
      <c r="J117" s="743"/>
      <c r="K117" s="94" t="str">
        <f t="shared" si="13"/>
        <v xml:space="preserve"> </v>
      </c>
      <c r="L117" s="831"/>
      <c r="M117" s="634" t="str">
        <f t="shared" si="14"/>
        <v xml:space="preserve"> </v>
      </c>
    </row>
    <row r="118" spans="1:13" ht="15.75" thickTop="1" thickBot="1">
      <c r="A118" s="236"/>
      <c r="B118" s="913"/>
      <c r="C118" s="1728" t="s">
        <v>316</v>
      </c>
      <c r="D118" s="1729"/>
      <c r="E118" s="1107">
        <f>SUM(E112:E117)</f>
        <v>160000</v>
      </c>
      <c r="F118" s="1107">
        <f>SUM(F112:F117)</f>
        <v>0</v>
      </c>
      <c r="G118" s="1107">
        <f>SUM(G112:G117)</f>
        <v>0</v>
      </c>
      <c r="H118" s="884">
        <f>SUM(H112:H117)</f>
        <v>0</v>
      </c>
      <c r="I118" s="1106" t="str">
        <f t="shared" si="12"/>
        <v xml:space="preserve"> </v>
      </c>
      <c r="J118" s="884">
        <f>SUM(J112:J117)</f>
        <v>0</v>
      </c>
      <c r="K118" s="885" t="str">
        <f t="shared" si="13"/>
        <v xml:space="preserve"> </v>
      </c>
      <c r="L118" s="884">
        <f>SUM(L112:L117)</f>
        <v>0</v>
      </c>
      <c r="M118" s="579" t="str">
        <f t="shared" si="14"/>
        <v xml:space="preserve"> </v>
      </c>
    </row>
    <row r="119" spans="1:13" ht="15.4">
      <c r="A119" s="2"/>
      <c r="B119" s="3"/>
      <c r="C119" s="3"/>
      <c r="D119" s="46"/>
      <c r="F119" s="4"/>
      <c r="G119" s="47"/>
      <c r="H119" s="47"/>
      <c r="I119" s="4"/>
      <c r="J119" s="47"/>
      <c r="K119" s="4"/>
      <c r="L119" s="47"/>
      <c r="M119" s="4"/>
    </row>
    <row r="120" spans="1:13" ht="15.4">
      <c r="A120" s="2"/>
      <c r="B120" s="2"/>
      <c r="C120" s="2"/>
      <c r="D120" s="2"/>
      <c r="E120" s="2"/>
      <c r="F120" s="2"/>
      <c r="G120" s="32"/>
      <c r="H120" s="32"/>
      <c r="I120" s="2"/>
      <c r="J120" s="32"/>
      <c r="K120" s="2"/>
      <c r="L120" s="32"/>
      <c r="M120" s="2"/>
    </row>
    <row r="121" spans="1:13" ht="15.4">
      <c r="A121" s="2"/>
      <c r="B121" s="2"/>
      <c r="C121" s="2"/>
      <c r="D121" s="2"/>
      <c r="E121" s="2"/>
      <c r="F121" s="2"/>
      <c r="G121" s="32"/>
      <c r="H121" s="32"/>
      <c r="I121" s="2"/>
      <c r="J121" s="32"/>
      <c r="K121" s="2"/>
      <c r="L121" s="32"/>
      <c r="M121" s="2"/>
    </row>
    <row r="122" spans="1:13" ht="15.4">
      <c r="A122" s="2"/>
      <c r="B122" s="2"/>
      <c r="C122" s="2"/>
      <c r="D122" s="2"/>
      <c r="E122" s="2"/>
      <c r="F122" s="2"/>
      <c r="G122" s="32"/>
      <c r="H122" s="32"/>
      <c r="I122" s="2"/>
      <c r="J122" s="32"/>
      <c r="K122" s="2"/>
      <c r="L122" s="32"/>
      <c r="M122" s="2"/>
    </row>
    <row r="123" spans="1:13" ht="15.4">
      <c r="A123" s="2"/>
      <c r="B123" s="2"/>
      <c r="C123" s="2"/>
      <c r="D123" s="2"/>
      <c r="E123" s="2"/>
      <c r="F123" s="2"/>
      <c r="G123" s="32"/>
      <c r="H123" s="32"/>
      <c r="I123" s="2"/>
      <c r="J123" s="32"/>
      <c r="K123" s="2"/>
      <c r="L123" s="32"/>
      <c r="M123" s="2"/>
    </row>
    <row r="124" spans="1:13" ht="15.4">
      <c r="A124" s="2"/>
      <c r="B124" s="2"/>
      <c r="C124" s="2"/>
      <c r="D124" s="2"/>
      <c r="E124" s="2"/>
      <c r="F124" s="2"/>
      <c r="G124" s="32"/>
      <c r="H124" s="32"/>
      <c r="I124" s="2"/>
      <c r="J124" s="32"/>
      <c r="K124" s="2"/>
      <c r="L124" s="32"/>
      <c r="M124" s="2"/>
    </row>
    <row r="125" spans="1:13" ht="15.4">
      <c r="A125" s="2"/>
      <c r="B125" s="2"/>
      <c r="C125" s="2"/>
      <c r="D125" s="2"/>
      <c r="E125" s="2"/>
      <c r="F125" s="2"/>
      <c r="G125" s="32"/>
      <c r="H125" s="32"/>
      <c r="I125" s="2"/>
      <c r="J125" s="32"/>
      <c r="K125" s="2"/>
      <c r="L125" s="32"/>
      <c r="M125" s="2"/>
    </row>
    <row r="126" spans="1:13" ht="15.4">
      <c r="A126" s="2"/>
      <c r="B126" s="2"/>
      <c r="C126" s="2"/>
      <c r="D126" s="2"/>
      <c r="E126" s="2"/>
      <c r="F126" s="2"/>
      <c r="G126" s="32"/>
      <c r="H126" s="32"/>
      <c r="I126" s="2"/>
      <c r="J126" s="32"/>
      <c r="K126" s="2"/>
      <c r="L126" s="32"/>
      <c r="M126" s="2"/>
    </row>
    <row r="127" spans="1:13" ht="15.4">
      <c r="A127" s="2"/>
      <c r="B127" s="2"/>
      <c r="C127" s="2"/>
      <c r="D127" s="2"/>
      <c r="E127" s="2"/>
      <c r="F127" s="2"/>
      <c r="G127" s="32"/>
      <c r="H127" s="32"/>
      <c r="I127" s="2"/>
      <c r="J127" s="32"/>
      <c r="K127" s="2"/>
      <c r="L127" s="32"/>
      <c r="M127" s="2"/>
    </row>
    <row r="128" spans="1:13" ht="15.4">
      <c r="A128" s="2"/>
      <c r="B128" s="2"/>
      <c r="C128" s="2"/>
      <c r="D128" s="2"/>
      <c r="E128" s="2"/>
      <c r="F128" s="2"/>
      <c r="G128" s="32"/>
      <c r="H128" s="32"/>
      <c r="I128" s="2"/>
      <c r="J128" s="32"/>
      <c r="K128" s="2"/>
      <c r="L128" s="32"/>
      <c r="M128" s="2"/>
    </row>
    <row r="129" spans="1:13" ht="15.4">
      <c r="A129" s="2"/>
      <c r="B129" s="2"/>
      <c r="C129" s="2"/>
      <c r="D129" s="2"/>
      <c r="E129" s="2"/>
      <c r="F129" s="2"/>
      <c r="G129" s="32"/>
      <c r="H129" s="32"/>
      <c r="I129" s="2"/>
      <c r="J129" s="32"/>
      <c r="K129" s="2"/>
      <c r="L129" s="32"/>
      <c r="M129" s="2"/>
    </row>
    <row r="130" spans="1:13" ht="15.4">
      <c r="A130" s="2"/>
      <c r="B130" s="2"/>
      <c r="C130" s="2"/>
      <c r="D130" s="2"/>
      <c r="E130" s="2"/>
      <c r="F130" s="2"/>
      <c r="G130" s="32"/>
      <c r="H130" s="32"/>
      <c r="I130" s="2"/>
      <c r="J130" s="32"/>
      <c r="K130" s="2"/>
      <c r="L130" s="32"/>
      <c r="M130" s="2"/>
    </row>
    <row r="131" spans="1:13" ht="15.4">
      <c r="A131" s="2"/>
      <c r="B131" s="2"/>
      <c r="C131" s="2"/>
      <c r="D131" s="2"/>
      <c r="E131" s="2"/>
      <c r="F131" s="2"/>
      <c r="G131" s="32"/>
      <c r="H131" s="32"/>
      <c r="I131" s="2"/>
      <c r="J131" s="32"/>
      <c r="K131" s="2"/>
      <c r="L131" s="32"/>
      <c r="M131" s="2"/>
    </row>
    <row r="132" spans="1:13" ht="15.4">
      <c r="A132" s="2"/>
      <c r="B132" s="2"/>
      <c r="C132" s="2"/>
      <c r="D132" s="2"/>
      <c r="E132" s="2"/>
      <c r="F132" s="2"/>
      <c r="G132" s="32"/>
      <c r="H132" s="32"/>
      <c r="I132" s="2"/>
      <c r="J132" s="32"/>
      <c r="K132" s="2"/>
      <c r="L132" s="32"/>
      <c r="M132" s="2"/>
    </row>
    <row r="133" spans="1:13" ht="15.4">
      <c r="A133" s="2"/>
      <c r="B133" s="2"/>
      <c r="C133" s="2"/>
      <c r="D133" s="2"/>
      <c r="E133" s="2"/>
      <c r="F133" s="2"/>
      <c r="G133" s="32"/>
      <c r="H133" s="32"/>
      <c r="I133" s="2"/>
      <c r="J133" s="32"/>
      <c r="K133" s="2"/>
      <c r="L133" s="32"/>
      <c r="M133" s="2"/>
    </row>
    <row r="134" spans="1:13" ht="15.4">
      <c r="A134" s="2"/>
      <c r="B134" s="2"/>
      <c r="C134" s="2"/>
      <c r="D134" s="2"/>
      <c r="E134" s="2"/>
      <c r="F134" s="2"/>
      <c r="G134" s="32"/>
      <c r="H134" s="32"/>
      <c r="I134" s="2"/>
      <c r="J134" s="32"/>
      <c r="K134" s="2"/>
      <c r="L134" s="32"/>
      <c r="M134" s="2"/>
    </row>
    <row r="135" spans="1:13" ht="15.4">
      <c r="A135" s="2"/>
      <c r="B135" s="2"/>
      <c r="C135" s="2"/>
      <c r="D135" s="2"/>
      <c r="E135" s="2"/>
      <c r="F135" s="2"/>
      <c r="G135" s="32"/>
      <c r="H135" s="32"/>
      <c r="I135" s="2"/>
      <c r="J135" s="32"/>
      <c r="K135" s="2"/>
      <c r="L135" s="32"/>
      <c r="M135" s="2"/>
    </row>
    <row r="136" spans="1:13" ht="15.4">
      <c r="A136" s="2"/>
      <c r="B136" s="2"/>
      <c r="C136" s="2"/>
      <c r="D136" s="2"/>
      <c r="E136" s="2"/>
      <c r="F136" s="2"/>
      <c r="G136" s="32"/>
      <c r="H136" s="32"/>
      <c r="I136" s="2"/>
      <c r="J136" s="32"/>
      <c r="K136" s="2"/>
      <c r="L136" s="32"/>
      <c r="M136" s="2"/>
    </row>
    <row r="137" spans="1:13" ht="15.4">
      <c r="A137" s="2"/>
      <c r="B137" s="2"/>
      <c r="C137" s="2"/>
      <c r="D137" s="2"/>
      <c r="E137" s="2"/>
      <c r="F137" s="2"/>
      <c r="G137" s="32"/>
      <c r="H137" s="32"/>
      <c r="I137" s="2"/>
      <c r="J137" s="32"/>
      <c r="K137" s="2"/>
      <c r="L137" s="32"/>
      <c r="M137" s="2"/>
    </row>
    <row r="138" spans="1:13" ht="15.4">
      <c r="A138" s="2"/>
      <c r="B138" s="2"/>
      <c r="C138" s="2"/>
      <c r="D138" s="2"/>
      <c r="E138" s="2"/>
      <c r="F138" s="2"/>
      <c r="G138" s="32"/>
      <c r="H138" s="32"/>
      <c r="I138" s="2"/>
      <c r="J138" s="32"/>
      <c r="K138" s="2"/>
      <c r="L138" s="32"/>
      <c r="M138" s="2"/>
    </row>
    <row r="139" spans="1:13" ht="15.4">
      <c r="A139" s="2"/>
      <c r="B139" s="2"/>
      <c r="C139" s="2"/>
      <c r="D139" s="2"/>
      <c r="E139" s="2"/>
      <c r="F139" s="2"/>
      <c r="G139" s="32"/>
      <c r="H139" s="32"/>
      <c r="I139" s="2"/>
      <c r="J139" s="32"/>
      <c r="K139" s="2"/>
      <c r="L139" s="32"/>
      <c r="M139" s="2"/>
    </row>
    <row r="140" spans="1:13" ht="15.4">
      <c r="A140" s="2"/>
      <c r="B140" s="2"/>
      <c r="C140" s="2"/>
      <c r="D140" s="2"/>
      <c r="E140" s="2"/>
      <c r="F140" s="2"/>
      <c r="G140" s="32"/>
      <c r="H140" s="32"/>
      <c r="I140" s="2"/>
      <c r="J140" s="32"/>
      <c r="K140" s="2"/>
      <c r="L140" s="32"/>
      <c r="M140" s="2"/>
    </row>
    <row r="141" spans="1:13" ht="15.4">
      <c r="A141" s="2"/>
      <c r="B141" s="2"/>
      <c r="C141" s="2"/>
      <c r="D141" s="2"/>
      <c r="E141" s="2"/>
      <c r="F141" s="2"/>
      <c r="G141" s="32"/>
      <c r="H141" s="32"/>
      <c r="I141" s="2"/>
      <c r="J141" s="32"/>
      <c r="K141" s="2"/>
      <c r="L141" s="32"/>
      <c r="M141" s="2"/>
    </row>
    <row r="142" spans="1:13" ht="15.4">
      <c r="A142" s="2"/>
      <c r="B142" s="2"/>
      <c r="C142" s="2"/>
      <c r="D142" s="2"/>
      <c r="E142" s="2"/>
      <c r="F142" s="2"/>
      <c r="G142" s="32"/>
      <c r="H142" s="32"/>
      <c r="I142" s="2"/>
      <c r="J142" s="32"/>
      <c r="K142" s="2"/>
      <c r="L142" s="32"/>
      <c r="M142" s="2"/>
    </row>
    <row r="143" spans="1:13" ht="15.4">
      <c r="A143" s="2"/>
      <c r="B143" s="2"/>
      <c r="C143" s="2"/>
      <c r="D143" s="2"/>
      <c r="E143" s="2"/>
      <c r="F143" s="2"/>
      <c r="G143" s="32"/>
      <c r="H143" s="32"/>
      <c r="I143" s="2"/>
      <c r="J143" s="32"/>
      <c r="K143" s="2"/>
      <c r="L143" s="32"/>
      <c r="M143" s="2"/>
    </row>
    <row r="144" spans="1:13" ht="15.4">
      <c r="A144" s="2"/>
      <c r="B144" s="2"/>
      <c r="C144" s="2"/>
      <c r="D144" s="2"/>
      <c r="E144" s="2"/>
      <c r="F144" s="2"/>
      <c r="G144" s="32"/>
      <c r="H144" s="32"/>
      <c r="I144" s="2"/>
      <c r="J144" s="32"/>
      <c r="K144" s="2"/>
      <c r="L144" s="32"/>
      <c r="M144" s="2"/>
    </row>
    <row r="145" spans="1:13" ht="15.4">
      <c r="A145" s="2"/>
      <c r="B145" s="2"/>
      <c r="C145" s="2"/>
      <c r="D145" s="2"/>
      <c r="E145" s="2"/>
      <c r="F145" s="2"/>
      <c r="G145" s="32"/>
      <c r="H145" s="32"/>
      <c r="I145" s="2"/>
      <c r="J145" s="32"/>
      <c r="K145" s="2"/>
      <c r="L145" s="32"/>
      <c r="M145" s="2"/>
    </row>
    <row r="146" spans="1:13" ht="15.4">
      <c r="A146" s="2"/>
      <c r="B146" s="2"/>
      <c r="C146" s="2"/>
      <c r="D146" s="2"/>
      <c r="E146" s="2"/>
      <c r="F146" s="2"/>
      <c r="G146" s="32"/>
      <c r="H146" s="32"/>
      <c r="I146" s="2"/>
      <c r="J146" s="32"/>
      <c r="K146" s="2"/>
      <c r="L146" s="32"/>
      <c r="M146" s="2"/>
    </row>
    <row r="147" spans="1:13" ht="15.4">
      <c r="A147" s="2"/>
      <c r="B147" s="2"/>
      <c r="C147" s="2"/>
      <c r="D147" s="2"/>
      <c r="E147" s="2"/>
      <c r="F147" s="2"/>
      <c r="G147" s="32"/>
      <c r="H147" s="32"/>
      <c r="I147" s="2"/>
      <c r="J147" s="32"/>
      <c r="K147" s="2"/>
      <c r="L147" s="32"/>
      <c r="M147" s="2"/>
    </row>
    <row r="148" spans="1:13" ht="15.4">
      <c r="A148" s="2"/>
      <c r="B148" s="2"/>
      <c r="C148" s="2"/>
      <c r="D148" s="2"/>
      <c r="E148" s="2"/>
      <c r="F148" s="2"/>
      <c r="G148" s="32"/>
      <c r="H148" s="32"/>
      <c r="I148" s="2"/>
      <c r="J148" s="32"/>
      <c r="K148" s="2"/>
      <c r="L148" s="32"/>
      <c r="M148" s="2"/>
    </row>
    <row r="149" spans="1:13" ht="15.4">
      <c r="A149" s="2"/>
      <c r="B149" s="2"/>
      <c r="C149" s="2"/>
      <c r="D149" s="2"/>
      <c r="E149" s="2"/>
      <c r="F149" s="2"/>
      <c r="G149" s="32"/>
      <c r="H149" s="32"/>
      <c r="I149" s="2"/>
      <c r="J149" s="32"/>
      <c r="K149" s="2"/>
      <c r="L149" s="32"/>
      <c r="M149" s="2"/>
    </row>
    <row r="150" spans="1:13" ht="15.4">
      <c r="A150" s="2"/>
      <c r="B150" s="2"/>
      <c r="C150" s="2"/>
      <c r="D150" s="2"/>
      <c r="E150" s="2"/>
      <c r="F150" s="2"/>
      <c r="G150" s="32"/>
      <c r="H150" s="32"/>
      <c r="I150" s="2"/>
      <c r="J150" s="32"/>
      <c r="K150" s="2"/>
      <c r="L150" s="32"/>
      <c r="M150" s="2"/>
    </row>
    <row r="151" spans="1:13" ht="15.4">
      <c r="A151" s="2"/>
      <c r="B151" s="2"/>
      <c r="C151" s="2"/>
      <c r="D151" s="2"/>
      <c r="E151" s="2"/>
      <c r="F151" s="2"/>
      <c r="G151" s="32"/>
      <c r="H151" s="32"/>
      <c r="I151" s="2"/>
      <c r="J151" s="32"/>
      <c r="K151" s="2"/>
      <c r="L151" s="32"/>
      <c r="M151" s="2"/>
    </row>
    <row r="152" spans="1:13" ht="15.4">
      <c r="A152" s="2"/>
      <c r="B152" s="2"/>
      <c r="C152" s="2"/>
      <c r="D152" s="2"/>
      <c r="E152" s="2"/>
      <c r="F152" s="2"/>
      <c r="G152" s="32"/>
      <c r="H152" s="32"/>
      <c r="I152" s="2"/>
      <c r="J152" s="32"/>
      <c r="K152" s="2"/>
      <c r="L152" s="32"/>
      <c r="M152" s="2"/>
    </row>
    <row r="153" spans="1:13" ht="15.4">
      <c r="A153" s="2"/>
      <c r="B153" s="2"/>
      <c r="C153" s="2"/>
      <c r="D153" s="2"/>
      <c r="E153" s="2"/>
      <c r="F153" s="2"/>
      <c r="G153" s="32"/>
      <c r="H153" s="32"/>
      <c r="I153" s="2"/>
      <c r="J153" s="32"/>
      <c r="K153" s="2"/>
      <c r="L153" s="32"/>
      <c r="M153" s="2"/>
    </row>
    <row r="154" spans="1:13" ht="15.4">
      <c r="A154" s="2"/>
      <c r="B154" s="2"/>
      <c r="C154" s="2"/>
      <c r="D154" s="2"/>
      <c r="E154" s="2"/>
      <c r="F154" s="2"/>
      <c r="G154" s="32"/>
      <c r="H154" s="32"/>
      <c r="I154" s="2"/>
      <c r="J154" s="32"/>
      <c r="K154" s="2"/>
      <c r="L154" s="32"/>
      <c r="M154" s="2"/>
    </row>
    <row r="155" spans="1:13" ht="15.4">
      <c r="A155" s="2"/>
      <c r="B155" s="2"/>
      <c r="C155" s="2"/>
      <c r="D155" s="2"/>
      <c r="E155" s="2"/>
      <c r="F155" s="2"/>
      <c r="G155" s="32"/>
      <c r="H155" s="32"/>
      <c r="I155" s="2"/>
      <c r="J155" s="32"/>
      <c r="K155" s="2"/>
      <c r="L155" s="32"/>
      <c r="M155" s="2"/>
    </row>
    <row r="156" spans="1:13" ht="15.4">
      <c r="A156" s="2"/>
      <c r="B156" s="2"/>
      <c r="C156" s="2"/>
      <c r="D156" s="2"/>
      <c r="E156" s="2"/>
      <c r="F156" s="2"/>
      <c r="G156" s="32"/>
      <c r="H156" s="32"/>
      <c r="I156" s="2"/>
      <c r="J156" s="32"/>
      <c r="K156" s="2"/>
      <c r="L156" s="32"/>
      <c r="M156" s="2"/>
    </row>
    <row r="157" spans="1:13" ht="15.4">
      <c r="A157" s="2"/>
      <c r="B157" s="2"/>
      <c r="C157" s="2"/>
      <c r="D157" s="2"/>
      <c r="E157" s="2"/>
      <c r="F157" s="2"/>
      <c r="G157" s="32"/>
      <c r="H157" s="32"/>
      <c r="I157" s="2"/>
      <c r="J157" s="32"/>
      <c r="K157" s="2"/>
      <c r="L157" s="32"/>
      <c r="M157" s="2"/>
    </row>
    <row r="158" spans="1:13" ht="15.4">
      <c r="A158" s="2"/>
      <c r="B158" s="2"/>
      <c r="C158" s="2"/>
      <c r="D158" s="2"/>
      <c r="E158" s="2"/>
      <c r="F158" s="2"/>
      <c r="G158" s="32"/>
      <c r="H158" s="32"/>
      <c r="I158" s="2"/>
      <c r="J158" s="32"/>
      <c r="K158" s="2"/>
      <c r="L158" s="32"/>
      <c r="M158" s="2"/>
    </row>
    <row r="159" spans="1:13" ht="15.4">
      <c r="A159" s="2"/>
      <c r="B159" s="2"/>
      <c r="C159" s="2"/>
      <c r="D159" s="2"/>
      <c r="E159" s="2"/>
      <c r="F159" s="2"/>
      <c r="G159" s="32"/>
      <c r="H159" s="32"/>
      <c r="I159" s="2"/>
      <c r="J159" s="32"/>
      <c r="K159" s="2"/>
      <c r="L159" s="32"/>
      <c r="M159" s="2"/>
    </row>
    <row r="160" spans="1:13" ht="15.4">
      <c r="A160" s="2"/>
      <c r="B160" s="2"/>
      <c r="C160" s="2"/>
      <c r="D160" s="2"/>
      <c r="E160" s="2"/>
      <c r="F160" s="2"/>
      <c r="G160" s="32"/>
      <c r="H160" s="32"/>
      <c r="I160" s="2"/>
      <c r="J160" s="32"/>
      <c r="K160" s="2"/>
      <c r="L160" s="32"/>
      <c r="M160" s="2"/>
    </row>
    <row r="161" spans="1:13" ht="15.4">
      <c r="A161" s="2"/>
      <c r="B161" s="2"/>
      <c r="C161" s="2"/>
      <c r="D161" s="2"/>
      <c r="E161" s="2"/>
      <c r="F161" s="2"/>
      <c r="G161" s="32"/>
      <c r="H161" s="32"/>
      <c r="I161" s="2"/>
      <c r="J161" s="32"/>
      <c r="K161" s="2"/>
      <c r="L161" s="32"/>
      <c r="M161" s="2"/>
    </row>
    <row r="162" spans="1:13" ht="15.4">
      <c r="A162" s="2"/>
      <c r="B162" s="2"/>
      <c r="C162" s="2"/>
      <c r="D162" s="2"/>
      <c r="E162" s="2"/>
      <c r="F162" s="2"/>
      <c r="G162" s="32"/>
      <c r="H162" s="32"/>
      <c r="I162" s="2"/>
      <c r="J162" s="32"/>
      <c r="K162" s="2"/>
      <c r="L162" s="32"/>
      <c r="M162" s="2"/>
    </row>
    <row r="163" spans="1:13" ht="15.4">
      <c r="A163" s="2"/>
      <c r="B163" s="2"/>
      <c r="C163" s="2"/>
      <c r="D163" s="2"/>
      <c r="E163" s="2"/>
      <c r="F163" s="2"/>
      <c r="G163" s="32"/>
      <c r="H163" s="32"/>
      <c r="I163" s="2"/>
      <c r="J163" s="32"/>
      <c r="K163" s="2"/>
      <c r="L163" s="32"/>
      <c r="M163" s="2"/>
    </row>
    <row r="164" spans="1:13" ht="15.4">
      <c r="A164" s="2"/>
      <c r="B164" s="2"/>
      <c r="C164" s="2"/>
      <c r="D164" s="2"/>
      <c r="E164" s="2"/>
      <c r="F164" s="2"/>
      <c r="G164" s="32"/>
      <c r="H164" s="32"/>
      <c r="I164" s="2"/>
      <c r="J164" s="32"/>
      <c r="K164" s="2"/>
      <c r="L164" s="32"/>
      <c r="M164" s="2"/>
    </row>
    <row r="165" spans="1:13" ht="15.4">
      <c r="A165" s="2"/>
      <c r="B165" s="2"/>
      <c r="C165" s="2"/>
      <c r="D165" s="2"/>
      <c r="E165" s="2"/>
      <c r="F165" s="2"/>
      <c r="G165" s="32"/>
      <c r="H165" s="32"/>
      <c r="I165" s="2"/>
      <c r="J165" s="32"/>
      <c r="K165" s="2"/>
      <c r="L165" s="32"/>
      <c r="M165" s="2"/>
    </row>
    <row r="166" spans="1:13" ht="15.4">
      <c r="A166" s="2"/>
      <c r="B166" s="2"/>
      <c r="C166" s="2"/>
      <c r="D166" s="2"/>
      <c r="E166" s="2"/>
      <c r="F166" s="2"/>
      <c r="G166" s="32"/>
      <c r="H166" s="32"/>
      <c r="I166" s="2"/>
      <c r="J166" s="32"/>
      <c r="K166" s="2"/>
      <c r="L166" s="32"/>
      <c r="M166" s="2"/>
    </row>
    <row r="167" spans="1:13" ht="15.4">
      <c r="A167" s="2"/>
      <c r="B167" s="2"/>
      <c r="C167" s="2"/>
      <c r="D167" s="2"/>
      <c r="E167" s="2"/>
      <c r="F167" s="2"/>
      <c r="G167" s="32"/>
      <c r="H167" s="32"/>
      <c r="I167" s="2"/>
      <c r="J167" s="32"/>
      <c r="K167" s="2"/>
      <c r="L167" s="32"/>
      <c r="M167" s="2"/>
    </row>
    <row r="168" spans="1:13" ht="15.4">
      <c r="A168" s="2"/>
      <c r="B168" s="2"/>
      <c r="C168" s="2"/>
      <c r="D168" s="2"/>
      <c r="E168" s="2"/>
      <c r="F168" s="2"/>
      <c r="G168" s="32"/>
      <c r="H168" s="32"/>
      <c r="I168" s="2"/>
      <c r="J168" s="32"/>
      <c r="K168" s="2"/>
      <c r="L168" s="32"/>
      <c r="M168" s="2"/>
    </row>
    <row r="169" spans="1:13" ht="15.4">
      <c r="A169" s="2"/>
      <c r="B169" s="2"/>
      <c r="C169" s="2"/>
      <c r="D169" s="2"/>
      <c r="E169" s="2"/>
      <c r="F169" s="2"/>
      <c r="G169" s="32"/>
      <c r="H169" s="32"/>
      <c r="I169" s="2"/>
      <c r="J169" s="32"/>
      <c r="K169" s="2"/>
      <c r="L169" s="32"/>
      <c r="M169" s="2"/>
    </row>
    <row r="170" spans="1:13" ht="15.4">
      <c r="A170" s="2"/>
      <c r="B170" s="2"/>
      <c r="C170" s="2"/>
      <c r="D170" s="2"/>
      <c r="E170" s="2"/>
      <c r="F170" s="2"/>
      <c r="G170" s="32"/>
      <c r="H170" s="32"/>
      <c r="I170" s="2"/>
      <c r="J170" s="32"/>
      <c r="K170" s="2"/>
      <c r="L170" s="32"/>
      <c r="M170" s="2"/>
    </row>
    <row r="171" spans="1:13" ht="15.4">
      <c r="A171" s="2"/>
      <c r="B171" s="2"/>
      <c r="C171" s="2"/>
      <c r="D171" s="2"/>
      <c r="E171" s="2"/>
      <c r="F171" s="2"/>
      <c r="G171" s="32"/>
      <c r="H171" s="32"/>
      <c r="I171" s="2"/>
      <c r="J171" s="32"/>
      <c r="K171" s="2"/>
      <c r="L171" s="32"/>
      <c r="M171" s="2"/>
    </row>
    <row r="172" spans="1:13" ht="15.4">
      <c r="A172" s="2"/>
      <c r="B172" s="2"/>
      <c r="C172" s="2"/>
      <c r="D172" s="2"/>
      <c r="E172" s="2"/>
      <c r="F172" s="2"/>
      <c r="G172" s="32"/>
      <c r="H172" s="32"/>
      <c r="I172" s="2"/>
      <c r="J172" s="32"/>
      <c r="K172" s="2"/>
      <c r="L172" s="32"/>
      <c r="M172" s="2"/>
    </row>
    <row r="173" spans="1:13" ht="15.4">
      <c r="A173" s="2"/>
      <c r="B173" s="2"/>
      <c r="C173" s="2"/>
      <c r="D173" s="2"/>
      <c r="E173" s="2"/>
      <c r="F173" s="2"/>
      <c r="G173" s="32"/>
      <c r="H173" s="32"/>
      <c r="I173" s="2"/>
      <c r="J173" s="32"/>
      <c r="K173" s="2"/>
      <c r="L173" s="32"/>
      <c r="M173" s="2"/>
    </row>
    <row r="174" spans="1:13" ht="15.4">
      <c r="A174" s="2"/>
      <c r="B174" s="2"/>
      <c r="C174" s="2"/>
      <c r="D174" s="2"/>
      <c r="E174" s="2"/>
      <c r="F174" s="2"/>
      <c r="G174" s="32"/>
      <c r="H174" s="32"/>
      <c r="I174" s="2"/>
      <c r="J174" s="32"/>
      <c r="K174" s="2"/>
      <c r="L174" s="32"/>
      <c r="M174" s="2"/>
    </row>
    <row r="175" spans="1:13" ht="15.4">
      <c r="A175" s="2"/>
      <c r="B175" s="2"/>
      <c r="C175" s="2"/>
      <c r="D175" s="2"/>
      <c r="E175" s="2"/>
      <c r="F175" s="2"/>
      <c r="G175" s="32"/>
      <c r="H175" s="32"/>
      <c r="I175" s="2"/>
      <c r="J175" s="32"/>
      <c r="K175" s="2"/>
      <c r="L175" s="32"/>
      <c r="M175" s="2"/>
    </row>
    <row r="176" spans="1:13" ht="15.4">
      <c r="A176" s="2"/>
      <c r="B176" s="2"/>
      <c r="C176" s="2"/>
      <c r="D176" s="2"/>
      <c r="E176" s="2"/>
      <c r="F176" s="2"/>
      <c r="G176" s="32"/>
      <c r="H176" s="32"/>
      <c r="I176" s="2"/>
      <c r="J176" s="32"/>
      <c r="K176" s="2"/>
      <c r="L176" s="32"/>
      <c r="M176" s="2"/>
    </row>
    <row r="177" spans="1:13" ht="15.4">
      <c r="A177" s="2"/>
      <c r="B177" s="2"/>
      <c r="C177" s="2"/>
      <c r="D177" s="2"/>
      <c r="E177" s="2"/>
      <c r="F177" s="2"/>
      <c r="G177" s="32"/>
      <c r="H177" s="32"/>
      <c r="I177" s="2"/>
      <c r="J177" s="32"/>
      <c r="K177" s="2"/>
      <c r="L177" s="32"/>
      <c r="M177" s="2"/>
    </row>
    <row r="178" spans="1:13" ht="15.4">
      <c r="A178" s="2"/>
      <c r="B178" s="2"/>
      <c r="C178" s="2"/>
      <c r="D178" s="2"/>
      <c r="E178" s="2"/>
      <c r="F178" s="2"/>
      <c r="G178" s="32"/>
      <c r="H178" s="32"/>
      <c r="I178" s="2"/>
      <c r="J178" s="32"/>
      <c r="K178" s="2"/>
      <c r="L178" s="32"/>
      <c r="M178" s="2"/>
    </row>
    <row r="179" spans="1:13" ht="15.4">
      <c r="A179" s="2"/>
      <c r="B179" s="2"/>
      <c r="C179" s="2"/>
      <c r="D179" s="2"/>
      <c r="E179" s="2"/>
      <c r="F179" s="2"/>
      <c r="G179" s="32"/>
      <c r="H179" s="32"/>
      <c r="I179" s="2"/>
      <c r="J179" s="32"/>
      <c r="K179" s="2"/>
      <c r="L179" s="32"/>
      <c r="M179" s="2"/>
    </row>
    <row r="180" spans="1:13" ht="15.4">
      <c r="A180" s="2"/>
      <c r="B180" s="2"/>
      <c r="C180" s="2"/>
      <c r="D180" s="2"/>
      <c r="E180" s="2"/>
      <c r="F180" s="2"/>
      <c r="G180" s="32"/>
      <c r="H180" s="32"/>
      <c r="I180" s="2"/>
      <c r="J180" s="32"/>
      <c r="K180" s="2"/>
      <c r="L180" s="32"/>
      <c r="M180" s="2"/>
    </row>
    <row r="181" spans="1:13" ht="15.4">
      <c r="A181" s="2"/>
      <c r="B181" s="2"/>
      <c r="C181" s="2"/>
      <c r="D181" s="2"/>
      <c r="E181" s="2"/>
      <c r="F181" s="2"/>
      <c r="G181" s="32"/>
      <c r="H181" s="32"/>
      <c r="I181" s="2"/>
      <c r="J181" s="32"/>
      <c r="K181" s="2"/>
      <c r="L181" s="32"/>
      <c r="M181" s="2"/>
    </row>
    <row r="182" spans="1:13" ht="15.4">
      <c r="A182" s="2"/>
      <c r="B182" s="2"/>
      <c r="C182" s="2"/>
      <c r="D182" s="2"/>
      <c r="E182" s="2"/>
      <c r="F182" s="2"/>
      <c r="G182" s="32"/>
      <c r="H182" s="32"/>
      <c r="I182" s="2"/>
      <c r="J182" s="32"/>
      <c r="K182" s="2"/>
      <c r="L182" s="32"/>
      <c r="M182" s="2"/>
    </row>
    <row r="183" spans="1:13" ht="15.4">
      <c r="A183" s="2"/>
      <c r="B183" s="2"/>
      <c r="C183" s="2"/>
      <c r="D183" s="2"/>
      <c r="E183" s="2"/>
      <c r="F183" s="2"/>
      <c r="G183" s="32"/>
      <c r="H183" s="32"/>
      <c r="I183" s="2"/>
      <c r="J183" s="32"/>
      <c r="K183" s="2"/>
      <c r="L183" s="32"/>
      <c r="M183" s="2"/>
    </row>
    <row r="184" spans="1:13" ht="15.4">
      <c r="A184" s="2"/>
      <c r="B184" s="2"/>
      <c r="C184" s="2"/>
      <c r="D184" s="2"/>
      <c r="E184" s="2"/>
      <c r="F184" s="2"/>
      <c r="G184" s="32"/>
      <c r="H184" s="32"/>
      <c r="I184" s="2"/>
      <c r="J184" s="32"/>
      <c r="K184" s="2"/>
      <c r="L184" s="32"/>
      <c r="M184" s="2"/>
    </row>
    <row r="185" spans="1:13" ht="15.4">
      <c r="A185" s="2"/>
      <c r="B185" s="2"/>
      <c r="C185" s="2"/>
      <c r="D185" s="2"/>
      <c r="E185" s="2"/>
      <c r="F185" s="2"/>
      <c r="G185" s="32"/>
      <c r="H185" s="32"/>
      <c r="I185" s="2"/>
      <c r="J185" s="32"/>
      <c r="K185" s="2"/>
      <c r="L185" s="32"/>
      <c r="M185" s="2"/>
    </row>
    <row r="186" spans="1:13" ht="15.4">
      <c r="A186" s="2"/>
      <c r="B186" s="2"/>
      <c r="C186" s="2"/>
      <c r="D186" s="2"/>
      <c r="E186" s="2"/>
      <c r="F186" s="2"/>
      <c r="G186" s="32"/>
      <c r="H186" s="32"/>
      <c r="I186" s="2"/>
      <c r="J186" s="32"/>
      <c r="K186" s="2"/>
      <c r="L186" s="32"/>
      <c r="M186" s="2"/>
    </row>
    <row r="187" spans="1:13" ht="15.4">
      <c r="A187" s="2"/>
      <c r="B187" s="2"/>
      <c r="C187" s="2"/>
      <c r="D187" s="2"/>
      <c r="E187" s="2"/>
      <c r="F187" s="2"/>
      <c r="G187" s="32"/>
      <c r="H187" s="32"/>
      <c r="I187" s="2"/>
      <c r="J187" s="32"/>
      <c r="K187" s="2"/>
      <c r="L187" s="32"/>
      <c r="M187" s="2"/>
    </row>
    <row r="188" spans="1:13" ht="15.4">
      <c r="A188" s="2"/>
      <c r="B188" s="2"/>
      <c r="C188" s="2"/>
      <c r="D188" s="2"/>
      <c r="E188" s="2"/>
      <c r="F188" s="2"/>
      <c r="G188" s="32"/>
      <c r="H188" s="32"/>
      <c r="I188" s="2"/>
      <c r="J188" s="32"/>
      <c r="K188" s="2"/>
      <c r="L188" s="32"/>
      <c r="M188" s="2"/>
    </row>
    <row r="189" spans="1:13" ht="15.4">
      <c r="A189" s="2"/>
      <c r="B189" s="2"/>
      <c r="C189" s="2"/>
      <c r="D189" s="2"/>
      <c r="E189" s="2"/>
      <c r="F189" s="2"/>
      <c r="G189" s="32"/>
      <c r="H189" s="32"/>
      <c r="I189" s="2"/>
      <c r="J189" s="32"/>
      <c r="K189" s="2"/>
      <c r="L189" s="32"/>
      <c r="M189" s="2"/>
    </row>
    <row r="190" spans="1:13" ht="15.4">
      <c r="A190" s="2"/>
      <c r="B190" s="2"/>
      <c r="C190" s="2"/>
      <c r="D190" s="2"/>
      <c r="E190" s="2"/>
      <c r="F190" s="2"/>
      <c r="G190" s="32"/>
      <c r="H190" s="32"/>
      <c r="I190" s="2"/>
      <c r="J190" s="32"/>
      <c r="K190" s="2"/>
      <c r="L190" s="32"/>
      <c r="M190" s="2"/>
    </row>
    <row r="191" spans="1:13" ht="15.4">
      <c r="A191" s="2"/>
      <c r="B191" s="2"/>
      <c r="C191" s="2"/>
      <c r="D191" s="2"/>
      <c r="E191" s="2"/>
      <c r="F191" s="2"/>
      <c r="G191" s="32"/>
      <c r="H191" s="32"/>
      <c r="I191" s="2"/>
      <c r="J191" s="32"/>
      <c r="K191" s="2"/>
      <c r="L191" s="32"/>
      <c r="M191" s="2"/>
    </row>
    <row r="192" spans="1:13" ht="15.4">
      <c r="A192" s="2"/>
      <c r="B192" s="2"/>
      <c r="C192" s="2"/>
      <c r="D192" s="2"/>
      <c r="E192" s="2"/>
      <c r="F192" s="2"/>
      <c r="G192" s="32"/>
      <c r="H192" s="32"/>
      <c r="I192" s="2"/>
      <c r="J192" s="32"/>
      <c r="K192" s="2"/>
      <c r="L192" s="32"/>
      <c r="M192" s="2"/>
    </row>
    <row r="193" spans="1:13" ht="15.4">
      <c r="A193" s="2"/>
      <c r="B193" s="2"/>
      <c r="C193" s="2"/>
      <c r="D193" s="2"/>
      <c r="E193" s="2"/>
      <c r="F193" s="2"/>
      <c r="G193" s="32"/>
      <c r="H193" s="32"/>
      <c r="I193" s="2"/>
      <c r="J193" s="32"/>
      <c r="K193" s="2"/>
      <c r="L193" s="32"/>
      <c r="M193" s="2"/>
    </row>
    <row r="194" spans="1:13" ht="15.4">
      <c r="A194" s="2"/>
      <c r="B194" s="2"/>
      <c r="C194" s="2"/>
      <c r="D194" s="2"/>
      <c r="E194" s="2"/>
      <c r="F194" s="2"/>
      <c r="G194" s="32"/>
      <c r="H194" s="32"/>
      <c r="I194" s="2"/>
      <c r="J194" s="32"/>
      <c r="K194" s="2"/>
      <c r="L194" s="32"/>
      <c r="M194" s="2"/>
    </row>
    <row r="195" spans="1:13" ht="15.4">
      <c r="A195" s="2"/>
      <c r="B195" s="2"/>
      <c r="C195" s="2"/>
      <c r="D195" s="2"/>
      <c r="E195" s="2"/>
      <c r="F195" s="2"/>
      <c r="G195" s="32"/>
      <c r="H195" s="32"/>
      <c r="I195" s="2"/>
      <c r="J195" s="32"/>
      <c r="K195" s="2"/>
      <c r="L195" s="32"/>
      <c r="M195" s="2"/>
    </row>
    <row r="196" spans="1:13" ht="15.4">
      <c r="A196" s="2"/>
      <c r="B196" s="2"/>
      <c r="C196" s="2"/>
      <c r="D196" s="2"/>
      <c r="E196" s="2"/>
      <c r="F196" s="2"/>
      <c r="G196" s="32"/>
      <c r="H196" s="32"/>
      <c r="I196" s="2"/>
      <c r="J196" s="32"/>
      <c r="K196" s="2"/>
      <c r="L196" s="32"/>
      <c r="M196" s="2"/>
    </row>
    <row r="197" spans="1:13" ht="15.4">
      <c r="A197" s="2"/>
      <c r="B197" s="2"/>
      <c r="C197" s="2"/>
      <c r="D197" s="2"/>
      <c r="E197" s="2"/>
      <c r="F197" s="2"/>
      <c r="G197" s="32"/>
      <c r="H197" s="32"/>
      <c r="I197" s="2"/>
      <c r="J197" s="32"/>
      <c r="K197" s="2"/>
      <c r="L197" s="32"/>
      <c r="M197" s="2"/>
    </row>
    <row r="198" spans="1:13" ht="15.4">
      <c r="A198" s="2"/>
      <c r="B198" s="2"/>
      <c r="C198" s="2"/>
      <c r="D198" s="2"/>
      <c r="E198" s="2"/>
      <c r="F198" s="2"/>
      <c r="G198" s="32"/>
      <c r="H198" s="32"/>
      <c r="I198" s="2"/>
      <c r="J198" s="32"/>
      <c r="K198" s="2"/>
      <c r="L198" s="32"/>
      <c r="M198" s="2"/>
    </row>
    <row r="199" spans="1:13" ht="15.4">
      <c r="A199" s="2"/>
      <c r="B199" s="2"/>
      <c r="C199" s="2"/>
      <c r="D199" s="2"/>
      <c r="E199" s="2"/>
      <c r="F199" s="2"/>
      <c r="G199" s="32"/>
      <c r="H199" s="32"/>
      <c r="I199" s="2"/>
      <c r="J199" s="32"/>
      <c r="K199" s="2"/>
      <c r="L199" s="32"/>
      <c r="M199" s="2"/>
    </row>
    <row r="200" spans="1:13" ht="15.4">
      <c r="A200" s="2"/>
      <c r="B200" s="2"/>
      <c r="C200" s="2"/>
      <c r="D200" s="2"/>
      <c r="E200" s="2"/>
      <c r="F200" s="2"/>
      <c r="G200" s="32"/>
      <c r="H200" s="32"/>
      <c r="I200" s="2"/>
      <c r="J200" s="32"/>
      <c r="K200" s="2"/>
      <c r="L200" s="32"/>
      <c r="M200" s="2"/>
    </row>
    <row r="201" spans="1:13" ht="15.4">
      <c r="A201" s="2"/>
      <c r="B201" s="2"/>
      <c r="C201" s="2"/>
      <c r="D201" s="2"/>
      <c r="E201" s="2"/>
      <c r="F201" s="2"/>
      <c r="G201" s="32"/>
      <c r="H201" s="32"/>
      <c r="I201" s="2"/>
      <c r="J201" s="32"/>
      <c r="K201" s="2"/>
      <c r="L201" s="32"/>
      <c r="M201" s="2"/>
    </row>
    <row r="202" spans="1:13" ht="15.4">
      <c r="A202" s="2"/>
      <c r="B202" s="2"/>
      <c r="C202" s="2"/>
      <c r="D202" s="2"/>
      <c r="E202" s="2"/>
      <c r="F202" s="2"/>
      <c r="G202" s="32"/>
      <c r="H202" s="32"/>
      <c r="I202" s="2"/>
      <c r="J202" s="32"/>
      <c r="K202" s="2"/>
      <c r="L202" s="32"/>
      <c r="M202" s="2"/>
    </row>
    <row r="203" spans="1:13" ht="15.4">
      <c r="A203" s="2"/>
      <c r="B203" s="2"/>
      <c r="C203" s="2"/>
      <c r="D203" s="2"/>
      <c r="E203" s="2"/>
      <c r="F203" s="2"/>
      <c r="G203" s="32"/>
      <c r="H203" s="32"/>
      <c r="I203" s="2"/>
      <c r="J203" s="32"/>
      <c r="K203" s="2"/>
      <c r="L203" s="32"/>
      <c r="M203" s="2"/>
    </row>
    <row r="204" spans="1:13" ht="15.4">
      <c r="A204" s="2"/>
      <c r="B204" s="2"/>
      <c r="C204" s="2"/>
      <c r="D204" s="2"/>
      <c r="E204" s="2"/>
      <c r="F204" s="2"/>
      <c r="G204" s="32"/>
      <c r="H204" s="32"/>
      <c r="I204" s="2"/>
      <c r="J204" s="32"/>
      <c r="K204" s="2"/>
      <c r="L204" s="32"/>
      <c r="M204" s="2"/>
    </row>
    <row r="205" spans="1:13" ht="15.4">
      <c r="A205" s="2"/>
      <c r="B205" s="2"/>
      <c r="C205" s="2"/>
      <c r="D205" s="2"/>
      <c r="E205" s="2"/>
      <c r="F205" s="2"/>
      <c r="G205" s="32"/>
      <c r="H205" s="32"/>
      <c r="I205" s="2"/>
      <c r="J205" s="32"/>
      <c r="K205" s="2"/>
      <c r="L205" s="32"/>
      <c r="M205" s="2"/>
    </row>
    <row r="206" spans="1:13" ht="15.4">
      <c r="A206" s="2"/>
      <c r="B206" s="2"/>
      <c r="C206" s="2"/>
      <c r="D206" s="2"/>
      <c r="E206" s="2"/>
      <c r="F206" s="2"/>
      <c r="G206" s="32"/>
      <c r="H206" s="32"/>
      <c r="I206" s="2"/>
      <c r="J206" s="32"/>
      <c r="K206" s="2"/>
      <c r="L206" s="32"/>
      <c r="M206" s="2"/>
    </row>
    <row r="207" spans="1:13" ht="15.4">
      <c r="A207" s="2"/>
      <c r="B207" s="2"/>
      <c r="C207" s="2"/>
      <c r="D207" s="2"/>
      <c r="E207" s="2"/>
      <c r="F207" s="2"/>
      <c r="G207" s="32"/>
      <c r="H207" s="32"/>
      <c r="I207" s="2"/>
      <c r="J207" s="32"/>
      <c r="K207" s="2"/>
      <c r="L207" s="32"/>
      <c r="M207" s="2"/>
    </row>
    <row r="208" spans="1:13" ht="15.4">
      <c r="A208" s="2"/>
      <c r="B208" s="2"/>
      <c r="C208" s="2"/>
      <c r="D208" s="2"/>
      <c r="E208" s="2"/>
      <c r="F208" s="2"/>
      <c r="G208" s="32"/>
      <c r="H208" s="32"/>
      <c r="I208" s="2"/>
      <c r="J208" s="32"/>
      <c r="K208" s="2"/>
      <c r="L208" s="32"/>
      <c r="M208" s="2"/>
    </row>
    <row r="209" spans="1:13" ht="15.4">
      <c r="A209" s="2"/>
      <c r="B209" s="2"/>
      <c r="C209" s="2"/>
      <c r="D209" s="2"/>
      <c r="E209" s="2"/>
      <c r="F209" s="2"/>
      <c r="G209" s="32"/>
      <c r="H209" s="32"/>
      <c r="I209" s="2"/>
      <c r="J209" s="32"/>
      <c r="K209" s="2"/>
      <c r="L209" s="32"/>
      <c r="M209" s="2"/>
    </row>
    <row r="210" spans="1:13" ht="15.4">
      <c r="A210" s="2"/>
      <c r="B210" s="2"/>
      <c r="C210" s="2"/>
      <c r="D210" s="2"/>
      <c r="E210" s="2"/>
      <c r="F210" s="2"/>
      <c r="G210" s="32"/>
      <c r="H210" s="32"/>
      <c r="I210" s="2"/>
      <c r="J210" s="32"/>
      <c r="K210" s="2"/>
      <c r="L210" s="32"/>
      <c r="M210" s="2"/>
    </row>
    <row r="211" spans="1:13" ht="15.4">
      <c r="A211" s="2"/>
      <c r="B211" s="2"/>
      <c r="C211" s="2"/>
      <c r="D211" s="2"/>
      <c r="E211" s="2"/>
      <c r="F211" s="2"/>
      <c r="G211" s="32"/>
      <c r="H211" s="32"/>
      <c r="I211" s="2"/>
      <c r="J211" s="32"/>
      <c r="K211" s="2"/>
      <c r="L211" s="32"/>
      <c r="M211" s="2"/>
    </row>
    <row r="212" spans="1:13" ht="15.4">
      <c r="A212" s="2"/>
      <c r="B212" s="2"/>
      <c r="C212" s="2"/>
      <c r="D212" s="2"/>
      <c r="E212" s="2"/>
      <c r="F212" s="2"/>
      <c r="G212" s="32"/>
      <c r="H212" s="32"/>
      <c r="I212" s="2"/>
      <c r="J212" s="32"/>
      <c r="K212" s="2"/>
      <c r="L212" s="32"/>
      <c r="M212" s="2"/>
    </row>
    <row r="213" spans="1:13" ht="15.4">
      <c r="A213" s="2"/>
      <c r="B213" s="2"/>
      <c r="C213" s="2"/>
      <c r="D213" s="2"/>
      <c r="E213" s="2"/>
      <c r="F213" s="2"/>
      <c r="G213" s="32"/>
      <c r="H213" s="32"/>
    </row>
    <row r="214" spans="1:13" ht="15.4">
      <c r="A214" s="2"/>
      <c r="B214" s="2"/>
      <c r="C214" s="2"/>
      <c r="D214" s="2"/>
      <c r="E214" s="2"/>
      <c r="F214" s="2"/>
      <c r="G214" s="32"/>
      <c r="H214" s="32"/>
    </row>
    <row r="215" spans="1:13" ht="15.4">
      <c r="A215" s="2"/>
      <c r="B215" s="2"/>
      <c r="C215" s="2"/>
      <c r="D215" s="2"/>
      <c r="E215" s="2"/>
      <c r="F215" s="2"/>
      <c r="G215" s="32"/>
      <c r="H215" s="32"/>
    </row>
    <row r="216" spans="1:13" ht="15.4">
      <c r="A216" s="2"/>
      <c r="B216" s="2"/>
      <c r="C216" s="2"/>
      <c r="D216" s="2"/>
      <c r="E216" s="2"/>
      <c r="F216" s="2"/>
      <c r="G216" s="32"/>
      <c r="H216" s="32"/>
    </row>
    <row r="217" spans="1:13" ht="15.4">
      <c r="A217" s="2"/>
      <c r="B217" s="2"/>
      <c r="C217" s="2"/>
      <c r="D217" s="2"/>
      <c r="E217" s="2"/>
      <c r="F217" s="2"/>
      <c r="G217" s="32"/>
      <c r="H217" s="32"/>
    </row>
    <row r="218" spans="1:13" ht="15.4">
      <c r="A218" s="2"/>
      <c r="B218" s="2"/>
      <c r="C218" s="2"/>
      <c r="D218" s="2"/>
      <c r="E218" s="2"/>
      <c r="F218" s="2"/>
      <c r="G218" s="32"/>
      <c r="H218" s="32"/>
    </row>
    <row r="219" spans="1:13" ht="15.4">
      <c r="A219" s="2"/>
      <c r="B219" s="2"/>
      <c r="C219" s="2"/>
      <c r="D219" s="2"/>
      <c r="E219" s="2"/>
      <c r="F219" s="2"/>
      <c r="G219" s="32"/>
      <c r="H219" s="32"/>
    </row>
    <row r="220" spans="1:13" ht="15.4">
      <c r="A220" s="2"/>
      <c r="B220" s="2"/>
      <c r="C220" s="2"/>
      <c r="D220" s="2"/>
      <c r="E220" s="2"/>
      <c r="F220" s="2"/>
      <c r="G220" s="32"/>
      <c r="H220" s="32"/>
    </row>
    <row r="221" spans="1:13" ht="15.4">
      <c r="A221" s="2"/>
      <c r="B221" s="2"/>
      <c r="C221" s="2"/>
      <c r="D221" s="2"/>
      <c r="E221" s="2"/>
      <c r="F221" s="2"/>
      <c r="G221" s="32"/>
      <c r="H221" s="32"/>
    </row>
    <row r="222" spans="1:13" ht="15.4">
      <c r="A222" s="2"/>
      <c r="B222" s="2"/>
      <c r="C222" s="2"/>
      <c r="D222" s="2"/>
      <c r="E222" s="2"/>
      <c r="F222" s="2"/>
      <c r="G222" s="32"/>
      <c r="H222" s="32"/>
    </row>
    <row r="223" spans="1:13" ht="15.4">
      <c r="A223" s="2"/>
      <c r="B223" s="2"/>
      <c r="C223" s="2"/>
      <c r="D223" s="2"/>
      <c r="E223" s="2"/>
      <c r="F223" s="2"/>
      <c r="G223" s="32"/>
      <c r="H223" s="32"/>
    </row>
    <row r="224" spans="1:13" ht="15.4">
      <c r="A224" s="2"/>
      <c r="B224" s="2"/>
      <c r="C224" s="2"/>
      <c r="D224" s="2"/>
      <c r="E224" s="2"/>
      <c r="F224" s="2"/>
      <c r="G224" s="32"/>
      <c r="H224" s="32"/>
    </row>
    <row r="225" spans="1:8" ht="15.4">
      <c r="A225" s="2"/>
      <c r="B225" s="2"/>
      <c r="C225" s="2"/>
      <c r="D225" s="2"/>
      <c r="E225" s="2"/>
      <c r="F225" s="2"/>
      <c r="G225" s="32"/>
      <c r="H225" s="32"/>
    </row>
    <row r="226" spans="1:8" ht="15.4">
      <c r="A226" s="2"/>
      <c r="B226" s="2"/>
      <c r="C226" s="2"/>
      <c r="D226" s="2"/>
      <c r="E226" s="2"/>
      <c r="F226" s="2"/>
      <c r="G226" s="32"/>
      <c r="H226" s="32"/>
    </row>
    <row r="227" spans="1:8" ht="15.4">
      <c r="A227" s="2"/>
      <c r="B227" s="2"/>
      <c r="C227" s="2"/>
      <c r="D227" s="2"/>
      <c r="E227" s="2"/>
      <c r="F227" s="2"/>
      <c r="G227" s="32"/>
      <c r="H227" s="32"/>
    </row>
    <row r="228" spans="1:8" ht="15.4">
      <c r="A228" s="2"/>
      <c r="B228" s="2"/>
      <c r="C228" s="2"/>
      <c r="D228" s="2"/>
      <c r="E228" s="2"/>
      <c r="F228" s="2"/>
      <c r="G228" s="32"/>
      <c r="H228" s="32"/>
    </row>
    <row r="229" spans="1:8" ht="15.4">
      <c r="A229" s="2"/>
      <c r="B229" s="2"/>
      <c r="C229" s="2"/>
      <c r="D229" s="2"/>
      <c r="E229" s="2"/>
      <c r="F229" s="2"/>
      <c r="G229" s="32"/>
      <c r="H229" s="32"/>
    </row>
    <row r="230" spans="1:8" ht="15.4">
      <c r="A230" s="2"/>
      <c r="B230" s="2"/>
      <c r="C230" s="2"/>
      <c r="D230" s="2"/>
      <c r="E230" s="2"/>
      <c r="F230" s="2"/>
      <c r="G230" s="32"/>
      <c r="H230" s="32"/>
    </row>
    <row r="231" spans="1:8" ht="15.4">
      <c r="A231" s="2"/>
      <c r="B231" s="2"/>
      <c r="C231" s="2"/>
      <c r="D231" s="2"/>
      <c r="E231" s="2"/>
      <c r="F231" s="2"/>
      <c r="G231" s="32"/>
      <c r="H231" s="32"/>
    </row>
    <row r="232" spans="1:8" ht="15.4">
      <c r="A232" s="2"/>
      <c r="B232" s="2"/>
      <c r="C232" s="2"/>
      <c r="D232" s="2"/>
      <c r="E232" s="2"/>
      <c r="F232" s="2"/>
      <c r="G232" s="32"/>
      <c r="H232" s="32"/>
    </row>
    <row r="233" spans="1:8" ht="15.4">
      <c r="A233" s="2"/>
      <c r="B233" s="2"/>
      <c r="C233" s="2"/>
      <c r="D233" s="2"/>
      <c r="E233" s="2"/>
      <c r="F233" s="2"/>
      <c r="G233" s="32"/>
      <c r="H233" s="32"/>
    </row>
    <row r="234" spans="1:8" ht="15.4">
      <c r="A234" s="2"/>
      <c r="B234" s="2"/>
      <c r="C234" s="2"/>
      <c r="D234" s="2"/>
      <c r="E234" s="2"/>
      <c r="F234" s="2"/>
      <c r="G234" s="32"/>
      <c r="H234" s="32"/>
    </row>
    <row r="235" spans="1:8" ht="15.4">
      <c r="A235" s="2"/>
      <c r="B235" s="2"/>
      <c r="C235" s="2"/>
      <c r="D235" s="2"/>
      <c r="E235" s="2"/>
      <c r="F235" s="2"/>
      <c r="G235" s="32"/>
      <c r="H235" s="32"/>
    </row>
    <row r="236" spans="1:8" ht="15.4">
      <c r="A236" s="2"/>
      <c r="B236" s="2"/>
      <c r="C236" s="2"/>
      <c r="D236" s="2"/>
      <c r="E236" s="2"/>
      <c r="F236" s="2"/>
      <c r="G236" s="32"/>
      <c r="H236" s="32"/>
    </row>
    <row r="237" spans="1:8" ht="15.4">
      <c r="A237" s="2"/>
      <c r="B237" s="2"/>
      <c r="C237" s="2"/>
      <c r="D237" s="2"/>
      <c r="E237" s="2"/>
      <c r="F237" s="2"/>
      <c r="G237" s="32"/>
      <c r="H237" s="32"/>
    </row>
    <row r="238" spans="1:8" ht="15.4">
      <c r="A238" s="2"/>
      <c r="B238" s="2"/>
      <c r="C238" s="2"/>
      <c r="D238" s="2"/>
      <c r="E238" s="2"/>
      <c r="F238" s="2"/>
      <c r="G238" s="32"/>
      <c r="H238" s="32"/>
    </row>
    <row r="239" spans="1:8" ht="15.4">
      <c r="A239" s="2"/>
      <c r="B239" s="2"/>
      <c r="C239" s="2"/>
      <c r="D239" s="2"/>
      <c r="E239" s="2"/>
      <c r="F239" s="2"/>
      <c r="G239" s="32"/>
      <c r="H239" s="32"/>
    </row>
    <row r="240" spans="1:8" ht="15.4">
      <c r="A240" s="2"/>
      <c r="B240" s="2"/>
      <c r="C240" s="2"/>
      <c r="D240" s="2"/>
      <c r="E240" s="2"/>
      <c r="F240" s="2"/>
      <c r="G240" s="32"/>
      <c r="H240" s="32"/>
    </row>
  </sheetData>
  <sheetProtection algorithmName="SHA-512" hashValue="UL8oUyr/Bl8Wp8djJUwdUkxhaVacQy8xXxdGZ8rvVfPfdbPU/JYrmesl2et2BSKBcQv9A1nTzXueoZ9LN68DNQ==" saltValue="aCsjZdUv0R92Ikfqg5uCJg==" spinCount="100000" sheet="1" objects="1" scenarios="1"/>
  <mergeCells count="44">
    <mergeCell ref="C95:D95"/>
    <mergeCell ref="C96:D96"/>
    <mergeCell ref="C97:D97"/>
    <mergeCell ref="C75:G75"/>
    <mergeCell ref="C76:D76"/>
    <mergeCell ref="C81:D81"/>
    <mergeCell ref="A1:C1"/>
    <mergeCell ref="A2:C2"/>
    <mergeCell ref="A3:C3"/>
    <mergeCell ref="C77:D77"/>
    <mergeCell ref="C78:D78"/>
    <mergeCell ref="A8:C8"/>
    <mergeCell ref="A28:C28"/>
    <mergeCell ref="B72:D72"/>
    <mergeCell ref="C99:D99"/>
    <mergeCell ref="C102:D102"/>
    <mergeCell ref="C103:D103"/>
    <mergeCell ref="C101:D101"/>
    <mergeCell ref="C79:D79"/>
    <mergeCell ref="C80:D80"/>
    <mergeCell ref="C93:D93"/>
    <mergeCell ref="C100:D100"/>
    <mergeCell ref="C98:D98"/>
    <mergeCell ref="C82:D82"/>
    <mergeCell ref="C83:D83"/>
    <mergeCell ref="C84:D84"/>
    <mergeCell ref="C85:D85"/>
    <mergeCell ref="C91:D91"/>
    <mergeCell ref="C92:D92"/>
    <mergeCell ref="C94:D94"/>
    <mergeCell ref="C118:D118"/>
    <mergeCell ref="C104:D104"/>
    <mergeCell ref="C105:D105"/>
    <mergeCell ref="C106:D106"/>
    <mergeCell ref="C107:D107"/>
    <mergeCell ref="C108:D108"/>
    <mergeCell ref="C112:D112"/>
    <mergeCell ref="C116:D116"/>
    <mergeCell ref="C117:D117"/>
    <mergeCell ref="C115:D115"/>
    <mergeCell ref="C109:D109"/>
    <mergeCell ref="C114:D114"/>
    <mergeCell ref="C110:D110"/>
    <mergeCell ref="C113:D113"/>
  </mergeCells>
  <conditionalFormatting sqref="A1:A3 D2:D3">
    <cfRule type="containsText" dxfId="36" priority="1" stopIfTrue="1" operator="containsText" text="Enter">
      <formula>NOT(ISERROR(SEARCH("Enter",A1)))</formula>
    </cfRule>
  </conditionalFormatting>
  <printOptions horizontalCentered="1"/>
  <pageMargins left="0.25" right="0.25" top="0.5" bottom="0.5" header="0.5" footer="0.5"/>
  <pageSetup scale="61" fitToHeight="0" orientation="landscape" horizontalDpi="200" verticalDpi="200" r:id="rId1"/>
  <headerFooter alignWithMargins="0">
    <oddFooter>Page &amp;P of &amp;N</oddFooter>
  </headerFooter>
  <rowBreaks count="2" manualBreakCount="2">
    <brk id="47" max="16383" man="1"/>
    <brk id="73"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tabColor theme="5"/>
  </sheetPr>
  <dimension ref="A1:P269"/>
  <sheetViews>
    <sheetView showGridLines="0" zoomScaleNormal="100" zoomScaleSheetLayoutView="100" workbookViewId="0">
      <pane xSplit="4" ySplit="10" topLeftCell="E11" activePane="bottomRight" state="frozen"/>
      <selection activeCell="J13" sqref="J13"/>
      <selection pane="topRight" activeCell="J13" sqref="J13"/>
      <selection pane="bottomLeft" activeCell="J13" sqref="J13"/>
      <selection pane="bottomRight" activeCell="G20" sqref="G20"/>
    </sheetView>
  </sheetViews>
  <sheetFormatPr defaultRowHeight="12.75"/>
  <cols>
    <col min="1" max="1" width="5.46484375" customWidth="1"/>
    <col min="2" max="2" width="3.86328125" customWidth="1"/>
    <col min="3" max="3" width="85.1328125" customWidth="1"/>
    <col min="4" max="4" width="11" customWidth="1"/>
    <col min="5" max="8" width="14.53125" customWidth="1"/>
    <col min="9" max="9" width="10.53125" customWidth="1"/>
    <col min="10" max="10" width="14.53125" customWidth="1"/>
    <col min="11" max="11" width="10.53125" customWidth="1"/>
    <col min="12" max="12" width="14.53125" customWidth="1"/>
    <col min="13" max="13" width="10.53125" customWidth="1"/>
    <col min="14" max="14" width="50.1328125" style="1177" customWidth="1"/>
    <col min="15" max="33" width="9.1328125" customWidth="1"/>
  </cols>
  <sheetData>
    <row r="1" spans="1:16" ht="15">
      <c r="A1" s="1664" t="str">
        <f>IF('INTERIM-CERTIFICATION'!$M$1="","CHARTER NAME: Enter Charter Name on INTERIM-CERTIFICATION Worksheet",(CONCATENATE("CHARTER NAME: ",'INTERIM-CERTIFICATION'!$M$1)))</f>
        <v>CHARTER NAME: Encor Jr./Sr. High School for the Performing and Visual Arts</v>
      </c>
      <c r="B1" s="1664"/>
      <c r="C1" s="1664"/>
      <c r="D1" s="205"/>
      <c r="E1" s="12"/>
      <c r="F1" s="12"/>
      <c r="G1" s="156"/>
      <c r="H1" s="155"/>
      <c r="I1" s="1"/>
      <c r="J1" s="157"/>
      <c r="K1" s="1"/>
      <c r="L1" s="157"/>
      <c r="M1" s="1"/>
    </row>
    <row r="2" spans="1:16" ht="15">
      <c r="A2" s="1664" t="str">
        <f>IF('INTERIM-CERTIFICATION'!$M$2="","CDS #: Enter Charter CDS # on INTERIM-CERTIFICATION Worksheet",(_xlfn.CONCAT("CDS #: ",'INTERIM-CERTIFICATION'!$M$2)))</f>
        <v>CDS #: 35-75044-01166707</v>
      </c>
      <c r="B2" s="1664"/>
      <c r="C2" s="1664"/>
      <c r="D2" s="205"/>
      <c r="E2" s="12"/>
      <c r="F2" s="80"/>
      <c r="G2" s="156"/>
      <c r="H2" s="156"/>
      <c r="I2" s="1"/>
      <c r="J2" s="157"/>
      <c r="K2" s="1"/>
      <c r="L2" s="157"/>
      <c r="M2" s="1"/>
    </row>
    <row r="3" spans="1:16" ht="15">
      <c r="A3" s="1664" t="str">
        <f>IF('INTERIM-CERTIFICATION'!$M$5="","CHARTER #: Enter Charter # on INTERIM-CERTIFICATION Worksheet",(_xlfn.CONCAT("CHARTER #: ",'INTERIM-CERTIFICATION'!$M$5)))</f>
        <v>CHARTER #: 0971</v>
      </c>
      <c r="B3" s="1664"/>
      <c r="C3" s="1664"/>
      <c r="D3" s="205"/>
      <c r="E3" s="12"/>
      <c r="F3" s="12"/>
      <c r="G3" s="155"/>
      <c r="H3" s="155"/>
      <c r="I3" s="1"/>
      <c r="J3" s="157"/>
      <c r="K3" s="1"/>
      <c r="L3" s="157"/>
      <c r="M3" s="1"/>
    </row>
    <row r="4" spans="1:16" ht="15.4">
      <c r="A4" s="2"/>
      <c r="B4" s="52"/>
      <c r="C4" s="52"/>
      <c r="D4" s="158" t="str">
        <f>'2nd Interim-ADA'!J4</f>
        <v>Fiscal Year 2024-25 Second Interim Report</v>
      </c>
      <c r="E4" s="52"/>
      <c r="F4" s="52"/>
      <c r="G4" s="52"/>
      <c r="H4" s="52"/>
      <c r="I4" s="52"/>
      <c r="J4" s="52"/>
      <c r="K4" s="52"/>
      <c r="L4" s="52"/>
      <c r="M4" s="52"/>
    </row>
    <row r="5" spans="1:16" ht="15">
      <c r="A5" s="12"/>
      <c r="B5" s="12"/>
      <c r="C5" s="52"/>
      <c r="D5" s="158" t="s">
        <v>206</v>
      </c>
      <c r="E5" s="52"/>
      <c r="F5" s="52"/>
      <c r="G5" s="159"/>
      <c r="H5" s="159"/>
      <c r="I5" s="1"/>
      <c r="J5" s="160"/>
      <c r="K5" s="1"/>
      <c r="L5" s="160"/>
      <c r="M5" s="1"/>
    </row>
    <row r="6" spans="1:16" ht="15.4" thickBot="1">
      <c r="A6" s="12"/>
      <c r="B6" s="12"/>
      <c r="C6" s="12"/>
      <c r="D6" s="12"/>
      <c r="E6" s="12"/>
      <c r="F6" s="12"/>
      <c r="G6" s="155"/>
      <c r="H6" s="155"/>
      <c r="I6" s="1"/>
      <c r="J6" s="157"/>
      <c r="K6" s="1"/>
      <c r="L6" s="157"/>
      <c r="M6" s="1"/>
    </row>
    <row r="7" spans="1:16" ht="15">
      <c r="A7" s="238"/>
      <c r="B7" s="233"/>
      <c r="C7" s="233"/>
      <c r="D7" s="295"/>
      <c r="E7" s="296"/>
      <c r="F7" s="297" t="s">
        <v>165</v>
      </c>
      <c r="G7" s="297" t="s">
        <v>161</v>
      </c>
      <c r="H7" s="297" t="str">
        <f>$G$7</f>
        <v>Second Interim</v>
      </c>
      <c r="I7" s="296"/>
      <c r="J7" s="298" t="str">
        <f>$G$7</f>
        <v>Second Interim</v>
      </c>
      <c r="K7" s="296"/>
      <c r="L7" s="298" t="str">
        <f>$G$7</f>
        <v>Second Interim</v>
      </c>
      <c r="M7" s="457"/>
    </row>
    <row r="8" spans="1:16" ht="15">
      <c r="A8" s="1775" t="s">
        <v>21</v>
      </c>
      <c r="B8" s="1776"/>
      <c r="C8" s="1776"/>
      <c r="D8" s="53"/>
      <c r="E8" s="14" t="s">
        <v>17</v>
      </c>
      <c r="F8" s="161" t="s">
        <v>19</v>
      </c>
      <c r="G8" s="450" t="s">
        <v>61</v>
      </c>
      <c r="H8" s="161" t="s">
        <v>19</v>
      </c>
      <c r="I8" s="14" t="s">
        <v>18</v>
      </c>
      <c r="J8" s="299" t="s">
        <v>19</v>
      </c>
      <c r="K8" s="14" t="s">
        <v>18</v>
      </c>
      <c r="L8" s="299" t="s">
        <v>19</v>
      </c>
      <c r="M8" s="458" t="s">
        <v>18</v>
      </c>
    </row>
    <row r="9" spans="1:16" ht="15">
      <c r="A9" s="67"/>
      <c r="B9" s="1"/>
      <c r="C9" s="1"/>
      <c r="D9" s="53"/>
      <c r="E9" s="14" t="s">
        <v>16</v>
      </c>
      <c r="F9" s="161" t="s">
        <v>16</v>
      </c>
      <c r="G9" s="161" t="str">
        <f>'2nd Interim-Unrestricted MYP'!G9</f>
        <v>thru January 31,</v>
      </c>
      <c r="H9" s="161" t="s">
        <v>16</v>
      </c>
      <c r="I9" s="14" t="s">
        <v>22</v>
      </c>
      <c r="J9" s="299" t="s">
        <v>16</v>
      </c>
      <c r="K9" s="14" t="s">
        <v>22</v>
      </c>
      <c r="L9" s="299" t="s">
        <v>16</v>
      </c>
      <c r="M9" s="458" t="s">
        <v>22</v>
      </c>
    </row>
    <row r="10" spans="1:16" ht="15.4" thickBot="1">
      <c r="A10" s="1563" t="str">
        <f>Instructions!H1</f>
        <v>Form Revised (revision date here if revised)</v>
      </c>
      <c r="B10" s="162"/>
      <c r="C10" s="162"/>
      <c r="D10" s="54"/>
      <c r="E10" s="15" t="str">
        <f>'Budget-Unrestricted MYP'!F10</f>
        <v>2024-25</v>
      </c>
      <c r="F10" s="204" t="str">
        <f>E10</f>
        <v>2024-25</v>
      </c>
      <c r="G10" s="15">
        <f>'2nd Interim-Unrestricted MYP'!G10</f>
        <v>2025</v>
      </c>
      <c r="H10" s="163" t="str">
        <f>F10</f>
        <v>2024-25</v>
      </c>
      <c r="I10" s="15"/>
      <c r="J10" s="301" t="str">
        <f>'Budget-Unrestricted MYP'!H10</f>
        <v>2025-26</v>
      </c>
      <c r="K10" s="15"/>
      <c r="L10" s="301" t="str">
        <f>'Budget-Unrestricted MYP'!J10</f>
        <v>2026-27</v>
      </c>
      <c r="M10" s="459"/>
    </row>
    <row r="11" spans="1:16" ht="15.4" thickTop="1">
      <c r="A11" s="302" t="s">
        <v>1</v>
      </c>
      <c r="B11" s="1"/>
      <c r="C11" s="1"/>
      <c r="D11" s="333"/>
      <c r="E11" s="13"/>
      <c r="F11" s="1863"/>
      <c r="G11" s="1863"/>
      <c r="H11" s="1863"/>
      <c r="I11" s="1863"/>
      <c r="J11" s="1863"/>
      <c r="K11" s="451"/>
      <c r="L11" s="451"/>
      <c r="M11" s="460"/>
    </row>
    <row r="12" spans="1:16" ht="15">
      <c r="A12" s="302"/>
      <c r="B12" s="274" t="s">
        <v>303</v>
      </c>
      <c r="C12" s="145"/>
      <c r="D12" s="139"/>
      <c r="E12" s="334"/>
      <c r="F12" s="1861"/>
      <c r="G12" s="1861"/>
      <c r="H12" s="1861"/>
      <c r="I12" s="1861"/>
      <c r="J12" s="1861"/>
      <c r="K12" s="150"/>
      <c r="L12" s="150"/>
      <c r="M12" s="461"/>
    </row>
    <row r="13" spans="1:16" ht="15">
      <c r="A13" s="302"/>
      <c r="B13" s="462"/>
      <c r="C13" s="463" t="s">
        <v>152</v>
      </c>
      <c r="D13" s="464">
        <v>8011</v>
      </c>
      <c r="E13" s="571"/>
      <c r="F13" s="1130"/>
      <c r="G13" s="571"/>
      <c r="H13" s="571"/>
      <c r="I13" s="480"/>
      <c r="J13" s="574"/>
      <c r="K13" s="480"/>
      <c r="L13" s="571"/>
      <c r="M13" s="349"/>
      <c r="P13" t="s">
        <v>154</v>
      </c>
    </row>
    <row r="14" spans="1:16" ht="15">
      <c r="A14" s="302"/>
      <c r="B14" s="462"/>
      <c r="C14" s="463" t="s">
        <v>153</v>
      </c>
      <c r="D14" s="464">
        <v>8012</v>
      </c>
      <c r="E14" s="571"/>
      <c r="F14" s="1130"/>
      <c r="G14" s="571"/>
      <c r="H14" s="571"/>
      <c r="I14" s="599"/>
      <c r="J14" s="574"/>
      <c r="K14" s="480"/>
      <c r="L14" s="571"/>
      <c r="M14" s="349"/>
    </row>
    <row r="15" spans="1:16" ht="15">
      <c r="A15" s="67"/>
      <c r="B15" s="462"/>
      <c r="C15" s="463" t="s">
        <v>301</v>
      </c>
      <c r="D15" s="464">
        <v>8019</v>
      </c>
      <c r="E15" s="571"/>
      <c r="F15" s="1131"/>
      <c r="G15" s="571"/>
      <c r="H15" s="571"/>
      <c r="I15" s="599"/>
      <c r="J15" s="574"/>
      <c r="K15" s="480"/>
      <c r="L15" s="571"/>
      <c r="M15" s="349"/>
    </row>
    <row r="16" spans="1:16" ht="15">
      <c r="A16" s="67"/>
      <c r="B16" s="462"/>
      <c r="C16" s="463" t="s">
        <v>302</v>
      </c>
      <c r="D16" s="464">
        <v>8096</v>
      </c>
      <c r="E16" s="571"/>
      <c r="F16" s="1130"/>
      <c r="G16" s="571"/>
      <c r="H16" s="570"/>
      <c r="I16" s="855"/>
      <c r="J16" s="575"/>
      <c r="K16" s="480"/>
      <c r="L16" s="570"/>
      <c r="M16" s="349"/>
    </row>
    <row r="17" spans="1:13" ht="15">
      <c r="A17" s="67"/>
      <c r="B17" s="274" t="s">
        <v>304</v>
      </c>
      <c r="C17" s="274"/>
      <c r="D17" s="342" t="s">
        <v>99</v>
      </c>
      <c r="E17" s="684">
        <f>'Budget-Restricted MYP'!F17</f>
        <v>534301.255</v>
      </c>
      <c r="F17" s="1132">
        <f>'1st Interim-Restricted MYP'!G17</f>
        <v>0</v>
      </c>
      <c r="G17" s="744">
        <f>G114</f>
        <v>0</v>
      </c>
      <c r="H17" s="744">
        <f>H114</f>
        <v>0</v>
      </c>
      <c r="I17" s="266" t="str">
        <f>IF(E17&lt;1," ",IF(H17&lt;1," ",(H17-E17)/E17))</f>
        <v xml:space="preserve"> </v>
      </c>
      <c r="J17" s="287">
        <f>J114</f>
        <v>0</v>
      </c>
      <c r="K17" s="266" t="str">
        <f>IF(H17&lt;1," ",IF(J17&lt;1," ",(J17-H17)/H17))</f>
        <v xml:space="preserve"> </v>
      </c>
      <c r="L17" s="744">
        <f>L114</f>
        <v>0</v>
      </c>
      <c r="M17" s="303" t="str">
        <f>IF(J17&lt;1," ",IF(L17&lt;1," ",(L17-J17)/J17))</f>
        <v xml:space="preserve"> </v>
      </c>
    </row>
    <row r="18" spans="1:13" ht="15">
      <c r="A18" s="67"/>
      <c r="B18" s="145" t="s">
        <v>305</v>
      </c>
      <c r="C18" s="139"/>
      <c r="D18" s="139"/>
      <c r="E18" s="567"/>
      <c r="F18" s="1133"/>
      <c r="G18" s="569"/>
      <c r="H18" s="569"/>
      <c r="I18" s="573"/>
      <c r="J18" s="569"/>
      <c r="K18" s="573"/>
      <c r="L18" s="569"/>
      <c r="M18" s="577"/>
    </row>
    <row r="19" spans="1:13" ht="15">
      <c r="A19" s="67"/>
      <c r="B19" s="462"/>
      <c r="C19" s="463" t="s">
        <v>306</v>
      </c>
      <c r="D19" s="464">
        <v>8560</v>
      </c>
      <c r="E19" s="570"/>
      <c r="F19" s="1130"/>
      <c r="G19" s="570"/>
      <c r="H19" s="570"/>
      <c r="I19" s="480"/>
      <c r="J19" s="575"/>
      <c r="K19" s="480"/>
      <c r="L19" s="570"/>
      <c r="M19" s="349"/>
    </row>
    <row r="20" spans="1:13" ht="15">
      <c r="A20" s="67"/>
      <c r="B20" s="145"/>
      <c r="C20" s="276" t="s">
        <v>307</v>
      </c>
      <c r="D20" s="342">
        <v>8560</v>
      </c>
      <c r="E20" s="684">
        <f>'Budget-Restricted MYP'!F20</f>
        <v>37638.160559999997</v>
      </c>
      <c r="F20" s="1132" t="e">
        <f>'1st Interim-Restricted MYP'!G20</f>
        <v>#VALUE!</v>
      </c>
      <c r="G20" s="772"/>
      <c r="H20" s="744" t="e">
        <f>H117</f>
        <v>#VALUE!</v>
      </c>
      <c r="I20" s="266" t="e">
        <f>IF(E20&lt;1," ",IF(H20&lt;1," ",(H20-E20)/E20))</f>
        <v>#VALUE!</v>
      </c>
      <c r="J20" s="287" t="e">
        <f>J117</f>
        <v>#VALUE!</v>
      </c>
      <c r="K20" s="266" t="e">
        <f>IF(H20&lt;1," ",IF(J20&lt;1," ",(J20-H20)/H20))</f>
        <v>#VALUE!</v>
      </c>
      <c r="L20" s="744" t="e">
        <f>L117</f>
        <v>#VALUE!</v>
      </c>
      <c r="M20" s="303" t="e">
        <f>IF(J20&lt;1," ",IF(L20&lt;1," ",(L20-J20)/J20))</f>
        <v>#VALUE!</v>
      </c>
    </row>
    <row r="21" spans="1:13" ht="15">
      <c r="A21" s="67"/>
      <c r="B21" s="145"/>
      <c r="C21" s="276" t="s">
        <v>308</v>
      </c>
      <c r="D21" s="342" t="s">
        <v>100</v>
      </c>
      <c r="E21" s="684">
        <f>'Budget-Restricted MYP'!F21</f>
        <v>1493612</v>
      </c>
      <c r="F21" s="1132">
        <f>'1st Interim-Restricted MYP'!G21</f>
        <v>0</v>
      </c>
      <c r="G21" s="744">
        <f>G138</f>
        <v>0</v>
      </c>
      <c r="H21" s="744">
        <f>H138</f>
        <v>0</v>
      </c>
      <c r="I21" s="266" t="str">
        <f>IF(E21&lt;1," ",IF(H21&lt;1," ",(H21-E21)/E21))</f>
        <v xml:space="preserve"> </v>
      </c>
      <c r="J21" s="287">
        <f>J138</f>
        <v>0</v>
      </c>
      <c r="K21" s="266" t="str">
        <f>IF(H21&lt;1," ",IF(J21&lt;1," ",(J21-H21)/H21))</f>
        <v xml:space="preserve"> </v>
      </c>
      <c r="L21" s="744">
        <f>L138</f>
        <v>0</v>
      </c>
      <c r="M21" s="303" t="str">
        <f>IF(J21&lt;1," ",IF(L21&lt;1," ",(L21-J21)/J21))</f>
        <v xml:space="preserve"> </v>
      </c>
    </row>
    <row r="22" spans="1:13" ht="15">
      <c r="A22" s="67"/>
      <c r="B22" s="145" t="s">
        <v>309</v>
      </c>
      <c r="C22" s="139"/>
      <c r="D22" s="139"/>
      <c r="E22" s="567"/>
      <c r="F22" s="1133"/>
      <c r="G22" s="569"/>
      <c r="H22" s="569"/>
      <c r="I22" s="573"/>
      <c r="J22" s="569"/>
      <c r="K22" s="573"/>
      <c r="L22" s="569"/>
      <c r="M22" s="488"/>
    </row>
    <row r="23" spans="1:13" ht="15">
      <c r="A23" s="67"/>
      <c r="B23" s="145"/>
      <c r="C23" s="276" t="s">
        <v>236</v>
      </c>
      <c r="D23" s="342">
        <v>8660</v>
      </c>
      <c r="E23" s="684">
        <f>'Budget-Restricted MYP'!F23</f>
        <v>0</v>
      </c>
      <c r="F23" s="1132">
        <f>'1st Interim-Restricted MYP'!G23</f>
        <v>0</v>
      </c>
      <c r="G23" s="772"/>
      <c r="H23" s="772"/>
      <c r="I23" s="266" t="str">
        <f>IF(E23&lt;1," ",IF(H23&lt;1," ",(H23-E23)/E23))</f>
        <v xml:space="preserve"> </v>
      </c>
      <c r="J23" s="775"/>
      <c r="K23" s="266" t="str">
        <f>IF(H23&lt;1," ",IF(J23&lt;1," ",(J23-H23)/H23))</f>
        <v xml:space="preserve"> </v>
      </c>
      <c r="L23" s="772"/>
      <c r="M23" s="303" t="str">
        <f>IF(J23&lt;1," ",IF(L23&lt;1," ",(L23-J23)/J23))</f>
        <v xml:space="preserve"> </v>
      </c>
    </row>
    <row r="24" spans="1:13" ht="15">
      <c r="A24" s="67"/>
      <c r="B24" s="145"/>
      <c r="C24" s="276" t="s">
        <v>310</v>
      </c>
      <c r="D24" s="342">
        <v>8792</v>
      </c>
      <c r="E24" s="684">
        <f>'Budget-Restricted MYP'!F24</f>
        <v>0</v>
      </c>
      <c r="F24" s="1132">
        <f>'1st Interim-Restricted MYP'!G24</f>
        <v>0</v>
      </c>
      <c r="G24" s="772"/>
      <c r="H24" s="772"/>
      <c r="I24" s="266" t="str">
        <f>IF(E24&lt;1," ",IF(H24&lt;1," ",(H24-E24)/E24))</f>
        <v xml:space="preserve"> </v>
      </c>
      <c r="J24" s="775"/>
      <c r="K24" s="266" t="str">
        <f>IF(H24&lt;1," ",IF(J24&lt;1," ",(J24-H24)/H24))</f>
        <v xml:space="preserve"> </v>
      </c>
      <c r="L24" s="772"/>
      <c r="M24" s="303" t="str">
        <f>IF(J24&lt;1," ",IF(L24&lt;1," ",(L24-J24)/J24))</f>
        <v xml:space="preserve"> </v>
      </c>
    </row>
    <row r="25" spans="1:13" ht="15.4" thickBot="1">
      <c r="A25" s="67"/>
      <c r="B25" s="883"/>
      <c r="C25" s="916" t="s">
        <v>311</v>
      </c>
      <c r="D25" s="917" t="s">
        <v>101</v>
      </c>
      <c r="E25" s="691">
        <f>'Budget-Restricted MYP'!F25</f>
        <v>0</v>
      </c>
      <c r="F25" s="1134">
        <f>'1st Interim-Restricted MYP'!G25</f>
        <v>0</v>
      </c>
      <c r="G25" s="786">
        <f>G147</f>
        <v>0</v>
      </c>
      <c r="H25" s="786">
        <f>H147</f>
        <v>0</v>
      </c>
      <c r="I25" s="293" t="str">
        <f>IF(E25&lt;1," ",IF(H25&lt;1," ",(H25-E25)/E25))</f>
        <v xml:space="preserve"> </v>
      </c>
      <c r="J25" s="935">
        <f>J147</f>
        <v>0</v>
      </c>
      <c r="K25" s="293" t="str">
        <f>IF(H25&lt;1," ",IF(J25&lt;1," ",(J25-H25)/H25))</f>
        <v xml:space="preserve"> </v>
      </c>
      <c r="L25" s="786">
        <f>L147</f>
        <v>0</v>
      </c>
      <c r="M25" s="578" t="str">
        <f>IF(J25&lt;1," ",IF(L25&lt;1," ",(L25-J25)/J25))</f>
        <v xml:space="preserve"> </v>
      </c>
    </row>
    <row r="26" spans="1:13" ht="15.75" thickTop="1" thickBot="1">
      <c r="A26" s="67"/>
      <c r="B26" s="896" t="s">
        <v>312</v>
      </c>
      <c r="C26" s="941"/>
      <c r="D26" s="915"/>
      <c r="E26" s="884">
        <f>'Budget-Restricted MYP'!F26</f>
        <v>2065551.4155600001</v>
      </c>
      <c r="F26" s="1135" t="e">
        <f>SUM(F13:F25)</f>
        <v>#VALUE!</v>
      </c>
      <c r="G26" s="794">
        <f>SUM(G13:G25)</f>
        <v>0</v>
      </c>
      <c r="H26" s="794" t="e">
        <f>SUM(H13:H25)</f>
        <v>#VALUE!</v>
      </c>
      <c r="I26" s="576" t="e">
        <f>IF(E26&lt;1," ",IF(H26&lt;1," ",(H26-E26)/E26))</f>
        <v>#VALUE!</v>
      </c>
      <c r="J26" s="794" t="e">
        <f>SUM(J13:J25)</f>
        <v>#VALUE!</v>
      </c>
      <c r="K26" s="576" t="e">
        <f>IF(H26&lt;1," ",IF(J26&lt;1," ",(J26-H26)/H26))</f>
        <v>#VALUE!</v>
      </c>
      <c r="L26" s="794" t="e">
        <f>SUM(L13:L25)</f>
        <v>#VALUE!</v>
      </c>
      <c r="M26" s="579" t="e">
        <f>IF(J26&lt;1," ",IF(L26&lt;1," ",(L26-J26)/J26))</f>
        <v>#VALUE!</v>
      </c>
    </row>
    <row r="27" spans="1:13" ht="15.4" thickTop="1">
      <c r="A27" s="67"/>
      <c r="B27" s="1"/>
      <c r="C27" s="1"/>
      <c r="D27" s="1"/>
      <c r="E27" s="265"/>
      <c r="F27" s="1734"/>
      <c r="G27" s="1734"/>
      <c r="H27" s="1734"/>
      <c r="I27" s="1734"/>
      <c r="J27" s="1734"/>
      <c r="M27" s="467"/>
    </row>
    <row r="28" spans="1:13" ht="15">
      <c r="A28" s="1736" t="s">
        <v>3</v>
      </c>
      <c r="B28" s="1737"/>
      <c r="C28" s="1737"/>
      <c r="D28" s="153"/>
      <c r="E28" s="265"/>
      <c r="F28" s="1861"/>
      <c r="G28" s="1861"/>
      <c r="H28" s="1861"/>
      <c r="I28" s="1861"/>
      <c r="J28" s="1861"/>
      <c r="K28" s="150"/>
      <c r="L28" s="150"/>
      <c r="M28" s="461"/>
    </row>
    <row r="29" spans="1:13" ht="15">
      <c r="A29" s="67"/>
      <c r="B29" s="274" t="s">
        <v>4</v>
      </c>
      <c r="C29" s="274"/>
      <c r="D29" s="275" t="s">
        <v>102</v>
      </c>
      <c r="E29" s="684">
        <f>'Budget-Restricted MYP'!F29</f>
        <v>523222</v>
      </c>
      <c r="F29" s="1136">
        <f>'1st Interim-Restricted MYP'!G29</f>
        <v>0</v>
      </c>
      <c r="G29" s="773"/>
      <c r="H29" s="773"/>
      <c r="I29" s="266" t="str">
        <f t="shared" ref="I29:I38" si="0">IF(E29&lt;1," ",IF(H29&lt;1," ",(H29-E29)/E29))</f>
        <v xml:space="preserve"> </v>
      </c>
      <c r="J29" s="777"/>
      <c r="K29" s="266" t="str">
        <f t="shared" ref="K29:K38" si="1">IF(H29&lt;1," ",IF(J29&lt;1," ",(J29-H29)/H29))</f>
        <v xml:space="preserve"> </v>
      </c>
      <c r="L29" s="773"/>
      <c r="M29" s="303" t="str">
        <f t="shared" ref="M29:M38" si="2">IF(J29&lt;1," ",IF(L29&lt;1," ",(L29-J29)/J29))</f>
        <v xml:space="preserve"> </v>
      </c>
    </row>
    <row r="30" spans="1:13" ht="15">
      <c r="A30" s="67"/>
      <c r="B30" s="274" t="s">
        <v>23</v>
      </c>
      <c r="C30" s="274"/>
      <c r="D30" s="275" t="s">
        <v>103</v>
      </c>
      <c r="E30" s="684">
        <f>'Budget-Restricted MYP'!F30</f>
        <v>136232</v>
      </c>
      <c r="F30" s="1136">
        <f>'1st Interim-Restricted MYP'!G30</f>
        <v>0</v>
      </c>
      <c r="G30" s="773"/>
      <c r="H30" s="773"/>
      <c r="I30" s="266" t="str">
        <f t="shared" si="0"/>
        <v xml:space="preserve"> </v>
      </c>
      <c r="J30" s="777"/>
      <c r="K30" s="266" t="str">
        <f t="shared" si="1"/>
        <v xml:space="preserve"> </v>
      </c>
      <c r="L30" s="773"/>
      <c r="M30" s="303" t="str">
        <f t="shared" si="2"/>
        <v xml:space="preserve"> </v>
      </c>
    </row>
    <row r="31" spans="1:13" ht="15">
      <c r="A31" s="67"/>
      <c r="B31" s="274" t="s">
        <v>24</v>
      </c>
      <c r="C31" s="274"/>
      <c r="D31" s="275" t="s">
        <v>104</v>
      </c>
      <c r="E31" s="684">
        <f>'Budget-Restricted MYP'!F31</f>
        <v>117111</v>
      </c>
      <c r="F31" s="1136">
        <f>'1st Interim-Restricted MYP'!G31</f>
        <v>0</v>
      </c>
      <c r="G31" s="773"/>
      <c r="H31" s="773"/>
      <c r="I31" s="266" t="str">
        <f t="shared" si="0"/>
        <v xml:space="preserve"> </v>
      </c>
      <c r="J31" s="777"/>
      <c r="K31" s="266" t="str">
        <f t="shared" si="1"/>
        <v xml:space="preserve"> </v>
      </c>
      <c r="L31" s="773"/>
      <c r="M31" s="303" t="str">
        <f t="shared" si="2"/>
        <v xml:space="preserve"> </v>
      </c>
    </row>
    <row r="32" spans="1:13" ht="15">
      <c r="A32" s="67"/>
      <c r="B32" s="274" t="s">
        <v>25</v>
      </c>
      <c r="C32" s="274"/>
      <c r="D32" s="275" t="s">
        <v>105</v>
      </c>
      <c r="E32" s="684">
        <f>'Budget-Restricted MYP'!F32</f>
        <v>328859</v>
      </c>
      <c r="F32" s="1136">
        <f>'1st Interim-Restricted MYP'!G32</f>
        <v>0</v>
      </c>
      <c r="G32" s="773"/>
      <c r="H32" s="773"/>
      <c r="I32" s="266" t="str">
        <f t="shared" si="0"/>
        <v xml:space="preserve"> </v>
      </c>
      <c r="J32" s="777"/>
      <c r="K32" s="266" t="str">
        <f t="shared" si="1"/>
        <v xml:space="preserve"> </v>
      </c>
      <c r="L32" s="773"/>
      <c r="M32" s="303" t="str">
        <f t="shared" si="2"/>
        <v xml:space="preserve"> </v>
      </c>
    </row>
    <row r="33" spans="1:13" ht="15">
      <c r="A33" s="67"/>
      <c r="B33" s="274" t="s">
        <v>26</v>
      </c>
      <c r="C33" s="274"/>
      <c r="D33" s="275" t="s">
        <v>106</v>
      </c>
      <c r="E33" s="684">
        <f>'Budget-Restricted MYP'!F33</f>
        <v>769017</v>
      </c>
      <c r="F33" s="1136">
        <f>'1st Interim-Restricted MYP'!G33</f>
        <v>0</v>
      </c>
      <c r="G33" s="773"/>
      <c r="H33" s="773"/>
      <c r="I33" s="266" t="str">
        <f t="shared" si="0"/>
        <v xml:space="preserve"> </v>
      </c>
      <c r="J33" s="777"/>
      <c r="K33" s="266" t="str">
        <f t="shared" si="1"/>
        <v xml:space="preserve"> </v>
      </c>
      <c r="L33" s="773"/>
      <c r="M33" s="303" t="str">
        <f t="shared" si="2"/>
        <v xml:space="preserve"> </v>
      </c>
    </row>
    <row r="34" spans="1:13" ht="15">
      <c r="A34" s="67"/>
      <c r="B34" s="274" t="s">
        <v>508</v>
      </c>
      <c r="C34" s="274"/>
      <c r="D34" s="275" t="s">
        <v>107</v>
      </c>
      <c r="E34" s="684">
        <f>'Budget-Restricted MYP'!F34</f>
        <v>0</v>
      </c>
      <c r="F34" s="1136">
        <f>'1st Interim-Restricted MYP'!G34</f>
        <v>0</v>
      </c>
      <c r="G34" s="773"/>
      <c r="H34" s="773"/>
      <c r="I34" s="266" t="str">
        <f t="shared" si="0"/>
        <v xml:space="preserve"> </v>
      </c>
      <c r="J34" s="777"/>
      <c r="K34" s="266" t="str">
        <f t="shared" si="1"/>
        <v xml:space="preserve"> </v>
      </c>
      <c r="L34" s="773"/>
      <c r="M34" s="303" t="str">
        <f t="shared" si="2"/>
        <v xml:space="preserve"> </v>
      </c>
    </row>
    <row r="35" spans="1:13" ht="15">
      <c r="A35" s="67"/>
      <c r="B35" s="274" t="s">
        <v>507</v>
      </c>
      <c r="C35" s="274"/>
      <c r="D35" s="275">
        <v>6900</v>
      </c>
      <c r="E35" s="1152">
        <f>'Budget-Unrestricted MYP'!F36</f>
        <v>0</v>
      </c>
      <c r="F35" s="1151">
        <f>'1st Interim-Unrestricted MYP'!G35</f>
        <v>0</v>
      </c>
      <c r="G35" s="682"/>
      <c r="H35" s="682"/>
      <c r="I35" s="266" t="str">
        <f t="shared" si="0"/>
        <v xml:space="preserve"> </v>
      </c>
      <c r="J35" s="682"/>
      <c r="K35" s="266" t="str">
        <f t="shared" si="1"/>
        <v xml:space="preserve"> </v>
      </c>
      <c r="L35" s="773"/>
      <c r="M35" s="303" t="str">
        <f t="shared" si="2"/>
        <v xml:space="preserve"> </v>
      </c>
    </row>
    <row r="36" spans="1:13" ht="15">
      <c r="A36" s="67"/>
      <c r="B36" s="274" t="s">
        <v>27</v>
      </c>
      <c r="C36" s="274"/>
      <c r="D36" s="275" t="s">
        <v>108</v>
      </c>
      <c r="E36" s="684">
        <f>'Budget-Restricted MYP'!F36</f>
        <v>0</v>
      </c>
      <c r="F36" s="1136">
        <f>'1st Interim-Restricted MYP'!G36</f>
        <v>0</v>
      </c>
      <c r="G36" s="773"/>
      <c r="H36" s="773"/>
      <c r="I36" s="266" t="str">
        <f t="shared" si="0"/>
        <v xml:space="preserve"> </v>
      </c>
      <c r="J36" s="777"/>
      <c r="K36" s="266" t="str">
        <f t="shared" si="1"/>
        <v xml:space="preserve"> </v>
      </c>
      <c r="L36" s="773"/>
      <c r="M36" s="303" t="str">
        <f t="shared" si="2"/>
        <v xml:space="preserve"> </v>
      </c>
    </row>
    <row r="37" spans="1:13" ht="15.4" thickBot="1">
      <c r="A37" s="67"/>
      <c r="B37" s="906" t="s">
        <v>146</v>
      </c>
      <c r="C37" s="906"/>
      <c r="D37" s="617" t="s">
        <v>111</v>
      </c>
      <c r="E37" s="691">
        <f>'Budget-Restricted MYP'!F37</f>
        <v>0</v>
      </c>
      <c r="F37" s="1137">
        <f>'1st Interim-Restricted MYP'!G37</f>
        <v>0</v>
      </c>
      <c r="G37" s="936"/>
      <c r="H37" s="936"/>
      <c r="I37" s="293" t="str">
        <f t="shared" si="0"/>
        <v xml:space="preserve"> </v>
      </c>
      <c r="J37" s="937"/>
      <c r="K37" s="293" t="str">
        <f t="shared" si="1"/>
        <v xml:space="preserve"> </v>
      </c>
      <c r="L37" s="936"/>
      <c r="M37" s="578" t="str">
        <f t="shared" si="2"/>
        <v xml:space="preserve"> </v>
      </c>
    </row>
    <row r="38" spans="1:13" ht="15.75" thickTop="1" thickBot="1">
      <c r="A38" s="67"/>
      <c r="B38" s="896" t="s">
        <v>28</v>
      </c>
      <c r="C38" s="941"/>
      <c r="D38" s="942"/>
      <c r="E38" s="884">
        <f>'Budget-Restricted MYP'!F38</f>
        <v>1874441</v>
      </c>
      <c r="F38" s="1135">
        <f>SUM(F29:F37)</f>
        <v>0</v>
      </c>
      <c r="G38" s="794">
        <f>SUM(G29:G37)</f>
        <v>0</v>
      </c>
      <c r="H38" s="794">
        <f>SUM(H29:H37)</f>
        <v>0</v>
      </c>
      <c r="I38" s="576" t="str">
        <f t="shared" si="0"/>
        <v xml:space="preserve"> </v>
      </c>
      <c r="J38" s="794">
        <f>SUM(J29:J37)</f>
        <v>0</v>
      </c>
      <c r="K38" s="576" t="str">
        <f t="shared" si="1"/>
        <v xml:space="preserve"> </v>
      </c>
      <c r="L38" s="794">
        <f>SUM(L29:L37)</f>
        <v>0</v>
      </c>
      <c r="M38" s="579" t="str">
        <f t="shared" si="2"/>
        <v xml:space="preserve"> </v>
      </c>
    </row>
    <row r="39" spans="1:13" ht="15.75" thickTop="1" thickBot="1">
      <c r="A39" s="67"/>
      <c r="B39" s="1"/>
      <c r="C39" s="1"/>
      <c r="D39" s="166"/>
      <c r="E39" s="20"/>
      <c r="F39" s="1854"/>
      <c r="G39" s="1854"/>
      <c r="H39" s="1854"/>
      <c r="I39" s="1854"/>
      <c r="J39" s="1854"/>
      <c r="M39" s="467"/>
    </row>
    <row r="40" spans="1:13" ht="15.75" thickTop="1" thickBot="1">
      <c r="A40" s="932" t="s">
        <v>205</v>
      </c>
      <c r="B40" s="897"/>
      <c r="C40" s="941"/>
      <c r="D40" s="942"/>
      <c r="E40" s="884">
        <f>'Budget-Restricted MYP'!F40</f>
        <v>191110.41556000011</v>
      </c>
      <c r="F40" s="884" t="e">
        <f>SUM(F26-F38)</f>
        <v>#VALUE!</v>
      </c>
      <c r="G40" s="794">
        <f>SUM(G26-G38)</f>
        <v>0</v>
      </c>
      <c r="H40" s="794" t="e">
        <f>SUM(H26-H38)</f>
        <v>#VALUE!</v>
      </c>
      <c r="I40" s="576" t="e">
        <f>IF(E40&lt;1," ",IF(H40&lt;1," ",(H40-E40)/E40))</f>
        <v>#VALUE!</v>
      </c>
      <c r="J40" s="794" t="e">
        <f>SUM(J26-J38)</f>
        <v>#VALUE!</v>
      </c>
      <c r="K40" s="576" t="e">
        <f>IF(H40&lt;1," ",IF(J40&lt;1," ",(J40-H40)/H40))</f>
        <v>#VALUE!</v>
      </c>
      <c r="L40" s="794" t="e">
        <f>SUM(L26-L38)</f>
        <v>#VALUE!</v>
      </c>
      <c r="M40" s="579" t="e">
        <f>IF(J40&lt;1," ",IF(L40&lt;1," ",(L40-J40)/J40))</f>
        <v>#VALUE!</v>
      </c>
    </row>
    <row r="41" spans="1:13" ht="15.4" thickTop="1">
      <c r="A41" s="67"/>
      <c r="B41" s="1"/>
      <c r="C41" s="1"/>
      <c r="D41" s="166"/>
      <c r="E41" s="265"/>
      <c r="F41" s="1734"/>
      <c r="G41" s="1734"/>
      <c r="H41" s="1734"/>
      <c r="I41" s="1734"/>
      <c r="J41" s="1734"/>
      <c r="M41" s="467"/>
    </row>
    <row r="42" spans="1:13" ht="15">
      <c r="A42" s="302" t="s">
        <v>29</v>
      </c>
      <c r="B42" s="1"/>
      <c r="C42" s="153"/>
      <c r="D42" s="341"/>
      <c r="E42" s="81"/>
      <c r="F42" s="1754"/>
      <c r="G42" s="1754"/>
      <c r="H42" s="1754"/>
      <c r="I42" s="1754"/>
      <c r="J42" s="1754"/>
      <c r="K42" s="453"/>
      <c r="L42" s="453"/>
      <c r="M42" s="470"/>
    </row>
    <row r="43" spans="1:13" ht="15">
      <c r="A43" s="67"/>
      <c r="B43" s="145" t="s">
        <v>124</v>
      </c>
      <c r="C43" s="139"/>
      <c r="D43" s="306">
        <v>8900</v>
      </c>
      <c r="E43" s="752">
        <f>'Budget-Restricted MYP'!F43</f>
        <v>134189</v>
      </c>
      <c r="F43" s="1138">
        <f>'1st Interim-Restricted MYP'!G43</f>
        <v>0</v>
      </c>
      <c r="G43" s="788"/>
      <c r="H43" s="788"/>
      <c r="I43" s="49" t="str">
        <f>IF(E43&lt;1," ",IF(H43&lt;1," ",(H43-E43)/E43))</f>
        <v xml:space="preserve"> </v>
      </c>
      <c r="J43" s="790"/>
      <c r="K43" s="622" t="str">
        <f>IF(H43&lt;1," ",IF(J43&lt;1," ",(J43-H43)/H43))</f>
        <v xml:space="preserve"> </v>
      </c>
      <c r="L43" s="792"/>
      <c r="M43" s="621" t="str">
        <f>IF(J43&lt;1," ",IF(L43&lt;1," ",(L43-J43)/J43))</f>
        <v xml:space="preserve"> </v>
      </c>
    </row>
    <row r="44" spans="1:13" ht="15.4" thickBot="1">
      <c r="A44" s="67"/>
      <c r="B44" s="883" t="s">
        <v>30</v>
      </c>
      <c r="C44" s="151"/>
      <c r="D44" s="912">
        <v>7600</v>
      </c>
      <c r="E44" s="799">
        <f>'Budget-Restricted MYP'!F44</f>
        <v>0</v>
      </c>
      <c r="F44" s="1139">
        <f>'1st Interim-Restricted MYP'!G44</f>
        <v>0</v>
      </c>
      <c r="G44" s="789"/>
      <c r="H44" s="789"/>
      <c r="I44" s="584" t="str">
        <f>IF(E44&lt;1," ",IF(H44&lt;1," ",(H44-E44)/E44))</f>
        <v xml:space="preserve"> </v>
      </c>
      <c r="J44" s="791"/>
      <c r="K44" s="629" t="str">
        <f>IF(H44&lt;1," ",IF(J44&lt;1," ",(J44-H44)/H44))</f>
        <v xml:space="preserve"> </v>
      </c>
      <c r="L44" s="793"/>
      <c r="M44" s="630" t="str">
        <f>IF(J44&lt;1," ",IF(L44&lt;1," ",(L44-J44)/J44))</f>
        <v xml:space="preserve"> </v>
      </c>
    </row>
    <row r="45" spans="1:13" ht="15.75" thickTop="1" thickBot="1">
      <c r="A45" s="67"/>
      <c r="B45" s="896" t="s">
        <v>31</v>
      </c>
      <c r="C45" s="941"/>
      <c r="D45" s="942"/>
      <c r="E45" s="884">
        <f>'Budget-Restricted MYP'!F45</f>
        <v>134189</v>
      </c>
      <c r="F45" s="1135">
        <f>F43-F44</f>
        <v>0</v>
      </c>
      <c r="G45" s="794">
        <f>G43-G44</f>
        <v>0</v>
      </c>
      <c r="H45" s="794">
        <f>H43-H44</f>
        <v>0</v>
      </c>
      <c r="I45" s="576" t="str">
        <f>IF(E45&lt;1," ",IF(H45&lt;1," ",(H45-E45)/E45))</f>
        <v xml:space="preserve"> </v>
      </c>
      <c r="J45" s="794">
        <f>J43-J44</f>
        <v>0</v>
      </c>
      <c r="K45" s="576" t="str">
        <f>IF(H45&lt;1," ",IF(J45&lt;1," ",(J45-H45)/H45))</f>
        <v xml:space="preserve"> </v>
      </c>
      <c r="L45" s="794">
        <f>L43-L44</f>
        <v>0</v>
      </c>
      <c r="M45" s="579" t="str">
        <f>IF(J45&lt;1," ",IF(L45&lt;1," ",(L45-J45)/J45))</f>
        <v xml:space="preserve"> </v>
      </c>
    </row>
    <row r="46" spans="1:13" ht="15.75" thickTop="1" thickBot="1">
      <c r="A46" s="67"/>
      <c r="B46" s="1"/>
      <c r="C46" s="1"/>
      <c r="D46" s="166"/>
      <c r="E46" s="265"/>
      <c r="F46" s="1140"/>
      <c r="G46" s="51"/>
      <c r="H46" s="51"/>
      <c r="I46" s="265"/>
      <c r="J46" s="51"/>
      <c r="K46" s="265"/>
      <c r="L46" s="51"/>
      <c r="M46" s="865"/>
    </row>
    <row r="47" spans="1:13" ht="15.75" thickTop="1" thickBot="1">
      <c r="A47" s="932" t="s">
        <v>32</v>
      </c>
      <c r="B47" s="897"/>
      <c r="C47" s="941"/>
      <c r="D47" s="942"/>
      <c r="E47" s="884">
        <f>'Budget-Restricted MYP'!F47</f>
        <v>325299.41556000011</v>
      </c>
      <c r="F47" s="1135" t="e">
        <f>F40+F45</f>
        <v>#VALUE!</v>
      </c>
      <c r="G47" s="794">
        <f>G40+G45</f>
        <v>0</v>
      </c>
      <c r="H47" s="794" t="e">
        <f>H40+H45</f>
        <v>#VALUE!</v>
      </c>
      <c r="I47" s="576" t="e">
        <f>IF(E47&lt;1," ",IF(H47&lt;1," ",(H47-E47)/E47))</f>
        <v>#VALUE!</v>
      </c>
      <c r="J47" s="794" t="e">
        <f>J40+J45</f>
        <v>#VALUE!</v>
      </c>
      <c r="K47" s="576" t="e">
        <f>IF(H47&lt;1," ",IF(J47&lt;1," ",(J47-H47)/H47))</f>
        <v>#VALUE!</v>
      </c>
      <c r="L47" s="794" t="e">
        <f>L40+L45</f>
        <v>#VALUE!</v>
      </c>
      <c r="M47" s="579" t="e">
        <f>IF(J47&lt;1," ",IF(L47&lt;1," ",(L47-J47)/J47))</f>
        <v>#VALUE!</v>
      </c>
    </row>
    <row r="48" spans="1:13" ht="15.4" thickTop="1">
      <c r="A48" s="302"/>
      <c r="B48" s="1"/>
      <c r="C48" s="1"/>
      <c r="D48" s="166"/>
      <c r="E48" s="265"/>
      <c r="F48" s="1734"/>
      <c r="G48" s="1734"/>
      <c r="H48" s="1734"/>
      <c r="I48" s="1734"/>
      <c r="J48" s="1734"/>
      <c r="M48" s="467"/>
    </row>
    <row r="49" spans="1:13" ht="15">
      <c r="A49" s="302" t="s">
        <v>6</v>
      </c>
      <c r="B49" s="1"/>
      <c r="C49" s="1"/>
      <c r="D49" s="166"/>
      <c r="E49" s="265"/>
      <c r="F49" s="1734"/>
      <c r="G49" s="1734"/>
      <c r="H49" s="1734"/>
      <c r="I49" s="1734"/>
      <c r="J49" s="1734"/>
      <c r="M49" s="467"/>
    </row>
    <row r="50" spans="1:13" ht="15">
      <c r="A50" s="67"/>
      <c r="B50" s="289" t="s">
        <v>159</v>
      </c>
      <c r="C50" s="290"/>
      <c r="D50" s="291">
        <v>9791</v>
      </c>
      <c r="E50" s="1624">
        <f>'Budget-Restricted MYP'!F50</f>
        <v>2078650</v>
      </c>
      <c r="F50" s="1141">
        <f>E50</f>
        <v>2078650</v>
      </c>
      <c r="G50" s="1146">
        <f>E50</f>
        <v>2078650</v>
      </c>
      <c r="H50" s="1147">
        <f>E50</f>
        <v>2078650</v>
      </c>
      <c r="I50" s="1061"/>
      <c r="J50" s="1059"/>
      <c r="K50" s="1062"/>
      <c r="L50" s="1060"/>
      <c r="M50" s="1063"/>
    </row>
    <row r="51" spans="1:13" ht="15">
      <c r="A51" s="67"/>
      <c r="B51" s="311" t="s">
        <v>133</v>
      </c>
      <c r="C51" s="312"/>
      <c r="D51" s="313">
        <v>9792</v>
      </c>
      <c r="E51" s="1625"/>
      <c r="F51" s="1142">
        <f>'1st Interim-Restricted MYP'!G51</f>
        <v>0</v>
      </c>
      <c r="G51" s="1148">
        <f>F51</f>
        <v>0</v>
      </c>
      <c r="H51" s="1149">
        <f>F51</f>
        <v>0</v>
      </c>
      <c r="I51" s="612"/>
      <c r="J51" s="784"/>
      <c r="K51" s="585"/>
      <c r="L51" s="782"/>
      <c r="M51" s="587"/>
    </row>
    <row r="52" spans="1:13" ht="15">
      <c r="A52" s="67"/>
      <c r="B52" s="311" t="s">
        <v>233</v>
      </c>
      <c r="C52" s="312"/>
      <c r="D52" s="1621"/>
      <c r="E52" s="1625"/>
      <c r="F52" s="1143">
        <f>SUM(F50:F51)</f>
        <v>2078650</v>
      </c>
      <c r="G52" s="1148">
        <f>G50+G51</f>
        <v>2078650</v>
      </c>
      <c r="H52" s="1150">
        <f>H50+H51</f>
        <v>2078650</v>
      </c>
      <c r="I52" s="612"/>
      <c r="J52" s="784"/>
      <c r="K52" s="585"/>
      <c r="L52" s="782"/>
      <c r="M52" s="587"/>
    </row>
    <row r="53" spans="1:13" ht="15">
      <c r="A53" s="67"/>
      <c r="B53" s="311" t="s">
        <v>299</v>
      </c>
      <c r="C53" s="312"/>
      <c r="D53" s="313">
        <v>9793</v>
      </c>
      <c r="E53" s="1625"/>
      <c r="F53" s="1144">
        <f>'1st Interim-Restricted MYP'!G53</f>
        <v>0</v>
      </c>
      <c r="G53" s="787"/>
      <c r="H53" s="810"/>
      <c r="I53" s="612"/>
      <c r="J53" s="990"/>
      <c r="K53" s="585"/>
      <c r="L53" s="782"/>
      <c r="M53" s="587"/>
    </row>
    <row r="54" spans="1:13" ht="15">
      <c r="A54" s="67"/>
      <c r="B54" s="311" t="s">
        <v>298</v>
      </c>
      <c r="C54" s="312"/>
      <c r="D54" s="313">
        <v>9795</v>
      </c>
      <c r="E54" s="1626"/>
      <c r="F54" s="1144">
        <f>'1st Interim-Restricted MYP'!G54</f>
        <v>0</v>
      </c>
      <c r="G54" s="787"/>
      <c r="H54" s="810"/>
      <c r="I54" s="612"/>
      <c r="J54" s="785"/>
      <c r="K54" s="586"/>
      <c r="L54" s="783"/>
      <c r="M54" s="588"/>
    </row>
    <row r="55" spans="1:13" ht="15.4" thickBot="1">
      <c r="A55" s="67"/>
      <c r="B55" s="894" t="s">
        <v>281</v>
      </c>
      <c r="C55" s="496"/>
      <c r="D55" s="895"/>
      <c r="E55" s="1627"/>
      <c r="F55" s="1145">
        <f>SUM(F52:F54)</f>
        <v>2078650</v>
      </c>
      <c r="G55" s="811">
        <f>G52+G53+G54</f>
        <v>2078650</v>
      </c>
      <c r="H55" s="798">
        <f>H52+H53+H54</f>
        <v>2078650</v>
      </c>
      <c r="I55" s="603"/>
      <c r="J55" s="1082" t="e">
        <f>H56</f>
        <v>#VALUE!</v>
      </c>
      <c r="K55" s="586"/>
      <c r="L55" s="1083" t="e">
        <f>J56</f>
        <v>#VALUE!</v>
      </c>
      <c r="M55" s="588"/>
    </row>
    <row r="56" spans="1:13" ht="15.75" thickTop="1" thickBot="1">
      <c r="A56" s="67"/>
      <c r="B56" s="896" t="s">
        <v>33</v>
      </c>
      <c r="C56" s="897"/>
      <c r="D56" s="898"/>
      <c r="E56" s="884">
        <f>'Budget-Restricted MYP'!F56</f>
        <v>2403949</v>
      </c>
      <c r="F56" s="1135" t="e">
        <f>ROUND(F55+F47,0)</f>
        <v>#VALUE!</v>
      </c>
      <c r="G56" s="1135">
        <f>ROUND(G55+G47,0)</f>
        <v>2078650</v>
      </c>
      <c r="H56" s="1135" t="e">
        <f>ROUND(H55+H47,0)</f>
        <v>#VALUE!</v>
      </c>
      <c r="I56" s="576" t="e">
        <f>IF(E56&lt;1," ",IF(H56&lt;1," ",(H56-E56)/E56))</f>
        <v>#VALUE!</v>
      </c>
      <c r="J56" s="1135" t="e">
        <f>ROUND(J55+J47,0)</f>
        <v>#VALUE!</v>
      </c>
      <c r="K56" s="576" t="e">
        <f>IF(H56&lt;1," ",IF(J56&lt;1," ",(J56-H56)/H56))</f>
        <v>#VALUE!</v>
      </c>
      <c r="L56" s="1135" t="e">
        <f>ROUND(L55+L47,0)</f>
        <v>#VALUE!</v>
      </c>
      <c r="M56" s="579" t="e">
        <f>IF(J56&lt;1," ",IF(L56&lt;1," ",(L56-J56)/J56))</f>
        <v>#VALUE!</v>
      </c>
    </row>
    <row r="57" spans="1:13" ht="15.4" thickTop="1">
      <c r="A57" s="67"/>
      <c r="B57" s="1"/>
      <c r="C57" s="1"/>
      <c r="D57" s="166"/>
      <c r="E57" s="167"/>
      <c r="F57" s="292"/>
      <c r="G57" s="51"/>
      <c r="H57" s="51"/>
      <c r="I57" s="167"/>
      <c r="J57" s="51"/>
      <c r="K57" s="167"/>
      <c r="L57" s="51"/>
      <c r="M57" s="469"/>
    </row>
    <row r="58" spans="1:13" ht="15">
      <c r="A58" s="320" t="s">
        <v>139</v>
      </c>
      <c r="B58" s="150"/>
      <c r="C58" s="474"/>
      <c r="D58" s="475" t="s">
        <v>2</v>
      </c>
      <c r="E58" s="476"/>
      <c r="F58" s="477"/>
      <c r="G58" s="478"/>
      <c r="H58" s="478"/>
      <c r="I58" s="476"/>
      <c r="J58" s="478"/>
      <c r="K58" s="476"/>
      <c r="L58" s="478"/>
      <c r="M58" s="479"/>
    </row>
    <row r="59" spans="1:13" ht="15">
      <c r="A59" s="67"/>
      <c r="B59" s="344" t="s">
        <v>7</v>
      </c>
      <c r="C59" s="350" t="s">
        <v>140</v>
      </c>
      <c r="D59" s="351"/>
      <c r="E59" s="352"/>
      <c r="F59" s="1795"/>
      <c r="G59" s="1795"/>
      <c r="H59" s="1795"/>
      <c r="I59" s="1795"/>
      <c r="J59" s="1795"/>
      <c r="K59" s="610"/>
      <c r="L59" s="610"/>
      <c r="M59" s="611"/>
    </row>
    <row r="60" spans="1:13" ht="15">
      <c r="A60" s="67"/>
      <c r="B60" s="494"/>
      <c r="C60" s="495" t="s">
        <v>34</v>
      </c>
      <c r="D60" s="473">
        <v>9711</v>
      </c>
      <c r="E60" s="778"/>
      <c r="F60" s="778"/>
      <c r="G60" s="778"/>
      <c r="H60" s="778"/>
      <c r="I60" s="480"/>
      <c r="J60" s="778"/>
      <c r="K60" s="636"/>
      <c r="L60" s="979"/>
      <c r="M60" s="638"/>
    </row>
    <row r="61" spans="1:13" ht="15">
      <c r="A61" s="67"/>
      <c r="B61" s="471"/>
      <c r="C61" s="495" t="s">
        <v>10</v>
      </c>
      <c r="D61" s="473">
        <v>9712</v>
      </c>
      <c r="E61" s="974"/>
      <c r="F61" s="975"/>
      <c r="G61" s="976"/>
      <c r="H61" s="976"/>
      <c r="I61" s="640"/>
      <c r="J61" s="977"/>
      <c r="K61" s="585"/>
      <c r="L61" s="980"/>
      <c r="M61" s="587"/>
    </row>
    <row r="62" spans="1:13" ht="15">
      <c r="A62" s="67"/>
      <c r="B62" s="471"/>
      <c r="C62" s="495" t="s">
        <v>11</v>
      </c>
      <c r="D62" s="473">
        <v>9713</v>
      </c>
      <c r="E62" s="815"/>
      <c r="F62" s="872"/>
      <c r="G62" s="813"/>
      <c r="H62" s="813"/>
      <c r="I62" s="612"/>
      <c r="J62" s="978"/>
      <c r="K62" s="585"/>
      <c r="L62" s="980"/>
      <c r="M62" s="587"/>
    </row>
    <row r="63" spans="1:13" ht="15">
      <c r="A63" s="67"/>
      <c r="B63" s="471"/>
      <c r="C63" s="495" t="s">
        <v>141</v>
      </c>
      <c r="D63" s="473">
        <v>9719</v>
      </c>
      <c r="E63" s="815"/>
      <c r="F63" s="872"/>
      <c r="G63" s="813"/>
      <c r="H63" s="813"/>
      <c r="I63" s="612"/>
      <c r="J63" s="978"/>
      <c r="K63" s="585"/>
      <c r="L63" s="980"/>
      <c r="M63" s="587"/>
    </row>
    <row r="64" spans="1:13" ht="15">
      <c r="A64" s="67"/>
      <c r="B64" s="344" t="s">
        <v>8</v>
      </c>
      <c r="C64" s="346" t="s">
        <v>142</v>
      </c>
      <c r="D64" s="285">
        <v>9740</v>
      </c>
      <c r="E64" s="751">
        <f>ROUND(IF(E56&lt;0,0,E56),0)</f>
        <v>2403949</v>
      </c>
      <c r="F64" s="751" t="e">
        <f>ROUND(IF(F56&lt;0,0,F56),0)</f>
        <v>#VALUE!</v>
      </c>
      <c r="G64" s="751">
        <f>ROUND(IF(G56&lt;0,0,G56),0)</f>
        <v>2078650</v>
      </c>
      <c r="H64" s="751" t="e">
        <f>ROUND(IF(H56&lt;0,0,H56),0)</f>
        <v>#VALUE!</v>
      </c>
      <c r="I64" s="49" t="e">
        <f>IF(E64&lt;1," ",IF(H64&lt;1," ",(H64-E64)/E64))</f>
        <v>#VALUE!</v>
      </c>
      <c r="J64" s="751" t="e">
        <f>ROUND(IF(J56&lt;0,0,J56),0)</f>
        <v>#VALUE!</v>
      </c>
      <c r="K64" s="622" t="e">
        <f>IF(H64&lt;1," ",IF(J64&lt;1," ",(J64-H64)/H64))</f>
        <v>#VALUE!</v>
      </c>
      <c r="L64" s="751" t="e">
        <f>ROUND(IF(L56&lt;0,0,L56),0)</f>
        <v>#VALUE!</v>
      </c>
      <c r="M64" s="621" t="e">
        <f>IF(J64&lt;1," ",IF(L64&lt;1," ",(L64-J64)/J64))</f>
        <v>#VALUE!</v>
      </c>
    </row>
    <row r="65" spans="1:13" ht="15">
      <c r="A65" s="67"/>
      <c r="B65" s="471" t="s">
        <v>9</v>
      </c>
      <c r="C65" s="950" t="s">
        <v>344</v>
      </c>
      <c r="D65" s="973"/>
      <c r="E65" s="815"/>
      <c r="F65" s="872"/>
      <c r="G65" s="813"/>
      <c r="H65" s="813"/>
      <c r="I65" s="612"/>
      <c r="J65" s="978"/>
      <c r="K65" s="585"/>
      <c r="L65" s="980"/>
      <c r="M65" s="587"/>
    </row>
    <row r="66" spans="1:13" ht="15">
      <c r="A66" s="67"/>
      <c r="B66" s="471"/>
      <c r="C66" s="495" t="s">
        <v>143</v>
      </c>
      <c r="D66" s="498">
        <v>9750</v>
      </c>
      <c r="E66" s="815"/>
      <c r="F66" s="872"/>
      <c r="G66" s="813"/>
      <c r="H66" s="813"/>
      <c r="I66" s="612"/>
      <c r="J66" s="978"/>
      <c r="K66" s="585"/>
      <c r="L66" s="980"/>
      <c r="M66" s="587"/>
    </row>
    <row r="67" spans="1:13" ht="15">
      <c r="A67" s="67"/>
      <c r="B67" s="471"/>
      <c r="C67" s="495" t="s">
        <v>144</v>
      </c>
      <c r="D67" s="498">
        <v>9760</v>
      </c>
      <c r="E67" s="815"/>
      <c r="F67" s="872"/>
      <c r="G67" s="813"/>
      <c r="H67" s="813"/>
      <c r="I67" s="612"/>
      <c r="J67" s="978"/>
      <c r="K67" s="585"/>
      <c r="L67" s="980"/>
      <c r="M67" s="587"/>
    </row>
    <row r="68" spans="1:13" ht="15">
      <c r="A68" s="67"/>
      <c r="B68" s="471" t="s">
        <v>38</v>
      </c>
      <c r="C68" s="472" t="s">
        <v>145</v>
      </c>
      <c r="D68" s="473">
        <v>9780</v>
      </c>
      <c r="E68" s="815"/>
      <c r="F68" s="872"/>
      <c r="G68" s="813"/>
      <c r="H68" s="813"/>
      <c r="I68" s="612"/>
      <c r="J68" s="978"/>
      <c r="K68" s="585"/>
      <c r="L68" s="980"/>
      <c r="M68" s="587"/>
    </row>
    <row r="69" spans="1:13" ht="15">
      <c r="A69" s="67"/>
      <c r="B69" s="471" t="s">
        <v>40</v>
      </c>
      <c r="C69" s="950" t="s">
        <v>347</v>
      </c>
      <c r="D69" s="951"/>
      <c r="E69" s="815"/>
      <c r="F69" s="872"/>
      <c r="G69" s="813"/>
      <c r="H69" s="813"/>
      <c r="I69" s="612"/>
      <c r="J69" s="978"/>
      <c r="K69" s="585"/>
      <c r="L69" s="980"/>
      <c r="M69" s="587"/>
    </row>
    <row r="70" spans="1:13" ht="15">
      <c r="A70" s="67"/>
      <c r="B70" s="471"/>
      <c r="C70" s="495" t="s">
        <v>345</v>
      </c>
      <c r="D70" s="498">
        <v>9789</v>
      </c>
      <c r="E70" s="815"/>
      <c r="F70" s="872"/>
      <c r="G70" s="872"/>
      <c r="H70" s="872"/>
      <c r="I70" s="612"/>
      <c r="J70" s="939"/>
      <c r="K70" s="585"/>
      <c r="L70" s="876"/>
      <c r="M70" s="587"/>
    </row>
    <row r="71" spans="1:13" ht="15.4" thickBot="1">
      <c r="A71" s="67"/>
      <c r="B71" s="1069"/>
      <c r="C71" s="1070" t="s">
        <v>346</v>
      </c>
      <c r="D71" s="1071">
        <v>9790</v>
      </c>
      <c r="E71" s="815"/>
      <c r="F71" s="815"/>
      <c r="G71" s="815"/>
      <c r="H71" s="815"/>
      <c r="I71" s="612"/>
      <c r="J71" s="815"/>
      <c r="K71" s="585"/>
      <c r="L71" s="815"/>
      <c r="M71" s="587"/>
    </row>
    <row r="72" spans="1:13" ht="15.75" thickTop="1" thickBot="1">
      <c r="A72" s="67"/>
      <c r="B72" s="1882"/>
      <c r="C72" s="1883"/>
      <c r="D72" s="1883"/>
      <c r="E72" s="892"/>
      <c r="F72" s="892"/>
      <c r="G72" s="892"/>
      <c r="H72" s="892"/>
      <c r="I72" s="892"/>
      <c r="J72" s="892"/>
      <c r="K72" s="892"/>
      <c r="L72" s="892"/>
      <c r="M72" s="1058"/>
    </row>
    <row r="73" spans="1:13" ht="15.4" thickTop="1">
      <c r="A73" s="67"/>
      <c r="B73" s="1351"/>
      <c r="C73" s="1351"/>
      <c r="D73" s="871"/>
      <c r="E73" s="1352"/>
      <c r="F73" s="1353"/>
      <c r="G73" s="1352"/>
      <c r="H73" s="1353"/>
      <c r="I73" s="1352"/>
      <c r="J73" s="1352"/>
      <c r="K73" s="1356"/>
      <c r="L73" s="486"/>
      <c r="M73" s="1235"/>
    </row>
    <row r="74" spans="1:13" ht="15">
      <c r="A74" s="67"/>
      <c r="B74" s="1351" t="s">
        <v>463</v>
      </c>
      <c r="C74" s="1351"/>
      <c r="D74" s="871"/>
      <c r="E74" s="1352"/>
      <c r="F74" s="1353"/>
      <c r="G74" s="1352"/>
      <c r="H74" s="1353"/>
      <c r="I74" s="1352"/>
      <c r="J74" s="1352"/>
      <c r="K74" s="1378"/>
      <c r="L74" s="453"/>
      <c r="M74" s="1235"/>
    </row>
    <row r="75" spans="1:13" ht="15">
      <c r="A75" s="67"/>
      <c r="B75" s="287">
        <v>1</v>
      </c>
      <c r="C75" s="1774" t="s">
        <v>464</v>
      </c>
      <c r="D75" s="1792"/>
      <c r="E75" s="808">
        <f>'Budget-Restricted MYP'!F75</f>
        <v>2403949</v>
      </c>
      <c r="F75" s="701">
        <f>'1st Interim-Restricted MYP'!G75</f>
        <v>0</v>
      </c>
      <c r="G75" s="31" t="str">
        <f>IF(E75&lt;1," ",IF(F75&lt;1," ",(F75-E75)/E75))</f>
        <v xml:space="preserve"> </v>
      </c>
      <c r="H75" s="746"/>
      <c r="I75" s="31" t="str">
        <f>IF(F75&lt;1," ",IF(H75&lt;1," ",(H75-F75)/F75))</f>
        <v xml:space="preserve"> </v>
      </c>
      <c r="J75" s="746"/>
      <c r="K75" s="31" t="str">
        <f>IF(H75&lt;1," ",IF(J75&lt;1," ",(J75-H75)/H75))</f>
        <v xml:space="preserve"> </v>
      </c>
      <c r="L75" s="746"/>
      <c r="M75" s="307" t="str">
        <f>IF(J75&lt;1," ",IF(L75&lt;1," ",(L75-J75)/J75))</f>
        <v xml:space="preserve"> </v>
      </c>
    </row>
    <row r="76" spans="1:13" ht="15">
      <c r="A76" s="67"/>
      <c r="B76" s="287">
        <v>2</v>
      </c>
      <c r="C76" s="1774"/>
      <c r="D76" s="1792"/>
      <c r="E76" s="808">
        <f>'Budget-Restricted MYP'!F76</f>
        <v>0</v>
      </c>
      <c r="F76" s="701">
        <f>'1st Interim-Restricted MYP'!G76</f>
        <v>0</v>
      </c>
      <c r="G76" s="31"/>
      <c r="H76" s="746"/>
      <c r="I76" s="31"/>
      <c r="J76" s="746"/>
      <c r="K76" s="31"/>
      <c r="L76" s="746"/>
      <c r="M76" s="307"/>
    </row>
    <row r="77" spans="1:13" ht="15">
      <c r="A77" s="67"/>
      <c r="B77" s="287">
        <v>3</v>
      </c>
      <c r="C77" s="1774"/>
      <c r="D77" s="1792"/>
      <c r="E77" s="808">
        <f>'Budget-Restricted MYP'!F77</f>
        <v>0</v>
      </c>
      <c r="F77" s="701">
        <f>'1st Interim-Restricted MYP'!G77</f>
        <v>0</v>
      </c>
      <c r="G77" s="31"/>
      <c r="H77" s="746"/>
      <c r="I77" s="31"/>
      <c r="J77" s="746"/>
      <c r="K77" s="31"/>
      <c r="L77" s="746"/>
      <c r="M77" s="307"/>
    </row>
    <row r="78" spans="1:13" ht="15">
      <c r="A78" s="67"/>
      <c r="B78" s="287">
        <v>4</v>
      </c>
      <c r="C78" s="1567"/>
      <c r="D78" s="1569"/>
      <c r="E78" s="808">
        <f>'Budget-Restricted MYP'!F78</f>
        <v>0</v>
      </c>
      <c r="F78" s="701">
        <f>'1st Interim-Restricted MYP'!G78</f>
        <v>0</v>
      </c>
      <c r="G78" s="31"/>
      <c r="H78" s="746"/>
      <c r="I78" s="31"/>
      <c r="J78" s="746"/>
      <c r="K78" s="31"/>
      <c r="L78" s="746"/>
      <c r="M78" s="307"/>
    </row>
    <row r="79" spans="1:13" ht="15">
      <c r="A79" s="67"/>
      <c r="B79" s="287">
        <v>5</v>
      </c>
      <c r="C79" s="1567"/>
      <c r="D79" s="1569"/>
      <c r="E79" s="808">
        <f>'Budget-Restricted MYP'!F79</f>
        <v>0</v>
      </c>
      <c r="F79" s="701">
        <f>'1st Interim-Restricted MYP'!G79</f>
        <v>0</v>
      </c>
      <c r="G79" s="31"/>
      <c r="H79" s="746"/>
      <c r="I79" s="31"/>
      <c r="J79" s="746"/>
      <c r="K79" s="31"/>
      <c r="L79" s="746"/>
      <c r="M79" s="307"/>
    </row>
    <row r="80" spans="1:13" ht="15">
      <c r="A80" s="67"/>
      <c r="B80" s="287">
        <v>6</v>
      </c>
      <c r="C80" s="1567"/>
      <c r="D80" s="1569"/>
      <c r="E80" s="808">
        <f>'Budget-Restricted MYP'!F80</f>
        <v>0</v>
      </c>
      <c r="F80" s="701">
        <f>'1st Interim-Restricted MYP'!G80</f>
        <v>0</v>
      </c>
      <c r="G80" s="31"/>
      <c r="H80" s="746"/>
      <c r="I80" s="31"/>
      <c r="J80" s="746"/>
      <c r="K80" s="31"/>
      <c r="L80" s="746"/>
      <c r="M80" s="307"/>
    </row>
    <row r="81" spans="1:13" ht="15">
      <c r="A81" s="67"/>
      <c r="B81" s="287">
        <v>7</v>
      </c>
      <c r="C81" s="1567"/>
      <c r="D81" s="1569"/>
      <c r="E81" s="808">
        <f>'Budget-Restricted MYP'!F81</f>
        <v>0</v>
      </c>
      <c r="F81" s="701">
        <f>'1st Interim-Restricted MYP'!G81</f>
        <v>0</v>
      </c>
      <c r="G81" s="31"/>
      <c r="H81" s="746"/>
      <c r="I81" s="31"/>
      <c r="J81" s="746"/>
      <c r="K81" s="31"/>
      <c r="L81" s="746"/>
      <c r="M81" s="307"/>
    </row>
    <row r="82" spans="1:13" ht="15">
      <c r="A82" s="67"/>
      <c r="B82" s="287">
        <v>8</v>
      </c>
      <c r="C82" s="1567"/>
      <c r="D82" s="1569"/>
      <c r="E82" s="808">
        <f>'Budget-Restricted MYP'!F82</f>
        <v>0</v>
      </c>
      <c r="F82" s="701">
        <f>'1st Interim-Restricted MYP'!G82</f>
        <v>0</v>
      </c>
      <c r="G82" s="31"/>
      <c r="H82" s="746"/>
      <c r="I82" s="31"/>
      <c r="J82" s="746"/>
      <c r="K82" s="31"/>
      <c r="L82" s="746"/>
      <c r="M82" s="307"/>
    </row>
    <row r="83" spans="1:13" ht="15">
      <c r="A83" s="67"/>
      <c r="B83" s="287">
        <v>9</v>
      </c>
      <c r="C83" s="1774"/>
      <c r="D83" s="1792"/>
      <c r="E83" s="808">
        <f>'Budget-Restricted MYP'!F83</f>
        <v>0</v>
      </c>
      <c r="F83" s="701">
        <f>'1st Interim-Restricted MYP'!G83</f>
        <v>0</v>
      </c>
      <c r="G83" s="31"/>
      <c r="H83" s="746"/>
      <c r="I83" s="31"/>
      <c r="J83" s="746"/>
      <c r="K83" s="31"/>
      <c r="L83" s="746"/>
      <c r="M83" s="307"/>
    </row>
    <row r="84" spans="1:13" ht="15">
      <c r="A84" s="67"/>
      <c r="B84" s="1598">
        <v>10</v>
      </c>
      <c r="C84" s="1774"/>
      <c r="D84" s="1792"/>
      <c r="E84" s="808">
        <f>'Budget-Restricted MYP'!F84</f>
        <v>0</v>
      </c>
      <c r="F84" s="701">
        <f>'1st Interim-Restricted MYP'!G84</f>
        <v>0</v>
      </c>
      <c r="G84" s="31"/>
      <c r="H84" s="746"/>
      <c r="I84" s="31"/>
      <c r="J84" s="746"/>
      <c r="K84" s="31"/>
      <c r="L84" s="746"/>
      <c r="M84" s="307"/>
    </row>
    <row r="85" spans="1:13" ht="15">
      <c r="A85" s="67"/>
      <c r="B85" s="1598">
        <v>11</v>
      </c>
      <c r="C85" s="1774"/>
      <c r="D85" s="1792"/>
      <c r="E85" s="808">
        <f>'Budget-Restricted MYP'!F85</f>
        <v>0</v>
      </c>
      <c r="F85" s="701">
        <f>'1st Interim-Restricted MYP'!G85</f>
        <v>0</v>
      </c>
      <c r="G85" s="31"/>
      <c r="H85" s="746"/>
      <c r="I85" s="31"/>
      <c r="J85" s="746"/>
      <c r="K85" s="31"/>
      <c r="L85" s="746"/>
      <c r="M85" s="307"/>
    </row>
    <row r="86" spans="1:13" ht="15">
      <c r="A86" s="67"/>
      <c r="B86" s="1598">
        <v>12</v>
      </c>
      <c r="C86" s="1774"/>
      <c r="D86" s="1792"/>
      <c r="E86" s="808">
        <f>'Budget-Restricted MYP'!F86</f>
        <v>0</v>
      </c>
      <c r="F86" s="701">
        <f>'1st Interim-Restricted MYP'!G86</f>
        <v>0</v>
      </c>
      <c r="G86" s="31"/>
      <c r="H86" s="746"/>
      <c r="I86" s="31"/>
      <c r="J86" s="746"/>
      <c r="K86" s="31"/>
      <c r="L86" s="746"/>
      <c r="M86" s="307"/>
    </row>
    <row r="87" spans="1:13" ht="15">
      <c r="A87" s="67"/>
      <c r="B87" s="1598">
        <v>13</v>
      </c>
      <c r="C87" s="1774"/>
      <c r="D87" s="1792"/>
      <c r="E87" s="808">
        <f>'Budget-Restricted MYP'!F87</f>
        <v>0</v>
      </c>
      <c r="F87" s="701">
        <f>'1st Interim-Restricted MYP'!G87</f>
        <v>0</v>
      </c>
      <c r="G87" s="31"/>
      <c r="H87" s="746"/>
      <c r="I87" s="31"/>
      <c r="J87" s="746"/>
      <c r="K87" s="31"/>
      <c r="L87" s="746"/>
      <c r="M87" s="307"/>
    </row>
    <row r="88" spans="1:13" ht="15">
      <c r="A88" s="67"/>
      <c r="B88" s="1598">
        <v>14</v>
      </c>
      <c r="C88" s="1774"/>
      <c r="D88" s="1792"/>
      <c r="E88" s="808">
        <f>'Budget-Restricted MYP'!F88</f>
        <v>0</v>
      </c>
      <c r="F88" s="701">
        <f>'1st Interim-Restricted MYP'!G88</f>
        <v>0</v>
      </c>
      <c r="G88" s="31"/>
      <c r="H88" s="746"/>
      <c r="I88" s="31"/>
      <c r="J88" s="746"/>
      <c r="K88" s="31"/>
      <c r="L88" s="746"/>
      <c r="M88" s="307"/>
    </row>
    <row r="89" spans="1:13" ht="15">
      <c r="A89" s="67"/>
      <c r="B89" s="1598">
        <v>15</v>
      </c>
      <c r="C89" s="1774"/>
      <c r="D89" s="1792"/>
      <c r="E89" s="808">
        <f>'Budget-Restricted MYP'!F89</f>
        <v>0</v>
      </c>
      <c r="F89" s="701">
        <f>'1st Interim-Restricted MYP'!G89</f>
        <v>0</v>
      </c>
      <c r="G89" s="31"/>
      <c r="H89" s="746"/>
      <c r="I89" s="31"/>
      <c r="J89" s="746"/>
      <c r="K89" s="31"/>
      <c r="L89" s="746"/>
      <c r="M89" s="307"/>
    </row>
    <row r="90" spans="1:13" ht="50.25" customHeight="1" thickBot="1">
      <c r="A90" s="67"/>
      <c r="B90" s="1881" t="s">
        <v>477</v>
      </c>
      <c r="C90" s="1881"/>
      <c r="D90" s="1881"/>
      <c r="E90" s="1288">
        <f>IF(SUM(E75:E89)=E64,SUM(E75:E89),"Total must equal amount in Cell E64 above")</f>
        <v>2403949</v>
      </c>
      <c r="F90" s="1602" t="e">
        <f>IF(SUM(F75:F89)=F64,SUM(F75:F89),"Total must equal amount in Cell F64 above")</f>
        <v>#VALUE!</v>
      </c>
      <c r="G90" s="1379"/>
      <c r="H90" s="1602" t="e">
        <f>IF(SUM(H75:H89)=H64,SUM(H75:H89),"Total must equal amount in Cell H64 above")</f>
        <v>#VALUE!</v>
      </c>
      <c r="I90" s="1379"/>
      <c r="J90" s="1602" t="e">
        <f>IF(SUM(J75:J89)=J64,SUM(J75:J89),"Total must equal amount in Cell J64 above")</f>
        <v>#VALUE!</v>
      </c>
      <c r="K90" s="1263"/>
      <c r="L90" s="1602" t="e">
        <f>IF(SUM(L75:L89)=L64,SUM(L75:L89),"Total must equal amount in Cell L64 above")</f>
        <v>#VALUE!</v>
      </c>
      <c r="M90" s="1235"/>
    </row>
    <row r="91" spans="1:13" ht="15.4" thickTop="1">
      <c r="A91" s="328"/>
      <c r="B91" s="221"/>
      <c r="C91" s="221"/>
      <c r="D91" s="221"/>
      <c r="E91" s="221"/>
      <c r="F91" s="222"/>
      <c r="G91" s="222"/>
      <c r="H91" s="222"/>
      <c r="I91" s="222"/>
      <c r="J91" s="222"/>
      <c r="K91" s="222"/>
      <c r="M91" s="1235"/>
    </row>
    <row r="92" spans="1:13" ht="15.4" thickBot="1">
      <c r="A92" s="328" t="s">
        <v>361</v>
      </c>
      <c r="B92" s="221"/>
      <c r="C92" s="221"/>
      <c r="D92" s="221"/>
      <c r="E92" s="221"/>
      <c r="F92" s="222"/>
      <c r="G92" s="222"/>
      <c r="H92" s="222"/>
      <c r="I92" s="222"/>
      <c r="J92" s="222"/>
      <c r="K92" s="222"/>
      <c r="M92" s="1235"/>
    </row>
    <row r="93" spans="1:13" ht="15">
      <c r="A93" s="280"/>
      <c r="B93" s="164"/>
      <c r="C93" s="361" t="s">
        <v>320</v>
      </c>
      <c r="D93" s="361"/>
      <c r="E93" s="361"/>
      <c r="F93" s="361"/>
      <c r="G93" s="361"/>
      <c r="H93" s="361"/>
      <c r="I93" s="361"/>
      <c r="J93" s="361"/>
      <c r="K93" s="1245"/>
      <c r="L93" s="453"/>
      <c r="M93" s="1244"/>
    </row>
    <row r="94" spans="1:13" ht="15">
      <c r="A94" s="328"/>
      <c r="B94" s="287">
        <v>1</v>
      </c>
      <c r="C94" s="1774" t="s">
        <v>243</v>
      </c>
      <c r="D94" s="1792"/>
      <c r="E94" s="808">
        <f>'Budget-Restricted MYP'!F94</f>
        <v>47548</v>
      </c>
      <c r="F94" s="701">
        <f>'1st Interim-Restricted MYP'!G94</f>
        <v>0</v>
      </c>
      <c r="G94" s="708"/>
      <c r="H94" s="708"/>
      <c r="I94" s="490"/>
      <c r="J94" s="714"/>
      <c r="K94" s="483" t="str">
        <f t="shared" ref="K94:K114" si="3">IF(H94&lt;1," ",IF(J94&lt;1," ",(J94-H94)/H94))</f>
        <v xml:space="preserve"> </v>
      </c>
      <c r="L94" s="698"/>
      <c r="M94" s="482" t="str">
        <f t="shared" ref="M94:M114" si="4">IF(J94&lt;1," ",IF(L94&lt;1," ",(L94-J94)/J94))</f>
        <v xml:space="preserve"> </v>
      </c>
    </row>
    <row r="95" spans="1:13" ht="15">
      <c r="A95" s="280"/>
      <c r="B95" s="287">
        <v>2</v>
      </c>
      <c r="C95" s="1724"/>
      <c r="D95" s="1793"/>
      <c r="E95" s="808">
        <f>'Budget-Restricted MYP'!F95</f>
        <v>202325</v>
      </c>
      <c r="F95" s="701">
        <f>'1st Interim-Restricted MYP'!G95</f>
        <v>0</v>
      </c>
      <c r="G95" s="708"/>
      <c r="H95" s="708"/>
      <c r="I95" s="490"/>
      <c r="J95" s="714"/>
      <c r="K95" s="483" t="str">
        <f t="shared" si="3"/>
        <v xml:space="preserve"> </v>
      </c>
      <c r="L95" s="698"/>
      <c r="M95" s="482" t="str">
        <f t="shared" si="4"/>
        <v xml:space="preserve"> </v>
      </c>
    </row>
    <row r="96" spans="1:13" ht="15">
      <c r="A96" s="280"/>
      <c r="B96" s="287">
        <v>3</v>
      </c>
      <c r="C96" s="1724"/>
      <c r="D96" s="1793"/>
      <c r="E96" s="808">
        <f>'Budget-Restricted MYP'!F96</f>
        <v>153274</v>
      </c>
      <c r="F96" s="701">
        <f>'1st Interim-Restricted MYP'!G96</f>
        <v>0</v>
      </c>
      <c r="G96" s="708"/>
      <c r="H96" s="708"/>
      <c r="I96" s="490"/>
      <c r="J96" s="714"/>
      <c r="K96" s="483" t="str">
        <f t="shared" si="3"/>
        <v xml:space="preserve"> </v>
      </c>
      <c r="L96" s="698"/>
      <c r="M96" s="482" t="str">
        <f t="shared" si="4"/>
        <v xml:space="preserve"> </v>
      </c>
    </row>
    <row r="97" spans="1:13" ht="15">
      <c r="A97" s="280"/>
      <c r="B97" s="287">
        <v>4</v>
      </c>
      <c r="C97" s="1724"/>
      <c r="D97" s="1793"/>
      <c r="E97" s="808">
        <f>'Budget-Restricted MYP'!F97</f>
        <v>17272.254999999997</v>
      </c>
      <c r="F97" s="701">
        <f>'1st Interim-Restricted MYP'!G97</f>
        <v>0</v>
      </c>
      <c r="G97" s="708"/>
      <c r="H97" s="708"/>
      <c r="I97" s="490"/>
      <c r="J97" s="714"/>
      <c r="K97" s="483" t="str">
        <f t="shared" si="3"/>
        <v xml:space="preserve"> </v>
      </c>
      <c r="L97" s="698"/>
      <c r="M97" s="482" t="str">
        <f t="shared" si="4"/>
        <v xml:space="preserve"> </v>
      </c>
    </row>
    <row r="98" spans="1:13" ht="15">
      <c r="A98" s="280"/>
      <c r="B98" s="287">
        <v>5</v>
      </c>
      <c r="C98" s="1724"/>
      <c r="D98" s="1793"/>
      <c r="E98" s="808">
        <f>'Budget-Restricted MYP'!F98</f>
        <v>13882</v>
      </c>
      <c r="F98" s="701">
        <f>'1st Interim-Restricted MYP'!G98</f>
        <v>0</v>
      </c>
      <c r="G98" s="708"/>
      <c r="H98" s="708"/>
      <c r="I98" s="490"/>
      <c r="J98" s="714"/>
      <c r="K98" s="483" t="str">
        <f t="shared" si="3"/>
        <v xml:space="preserve"> </v>
      </c>
      <c r="L98" s="698"/>
      <c r="M98" s="482" t="str">
        <f t="shared" si="4"/>
        <v xml:space="preserve"> </v>
      </c>
    </row>
    <row r="99" spans="1:13" ht="15">
      <c r="A99" s="280"/>
      <c r="B99" s="288">
        <v>6</v>
      </c>
      <c r="C99" s="1722"/>
      <c r="D99" s="1794"/>
      <c r="E99" s="808">
        <f>'Budget-Restricted MYP'!F99</f>
        <v>0</v>
      </c>
      <c r="F99" s="701">
        <f>'1st Interim-Restricted MYP'!G99</f>
        <v>0</v>
      </c>
      <c r="G99" s="708"/>
      <c r="H99" s="708"/>
      <c r="I99" s="490"/>
      <c r="J99" s="714"/>
      <c r="K99" s="483" t="str">
        <f t="shared" si="3"/>
        <v xml:space="preserve"> </v>
      </c>
      <c r="L99" s="698"/>
      <c r="M99" s="482" t="str">
        <f t="shared" si="4"/>
        <v xml:space="preserve"> </v>
      </c>
    </row>
    <row r="100" spans="1:13" ht="15">
      <c r="A100" s="280"/>
      <c r="B100" s="288">
        <v>7</v>
      </c>
      <c r="C100" s="1722"/>
      <c r="D100" s="1794"/>
      <c r="E100" s="808">
        <f>'Budget-Restricted MYP'!F100</f>
        <v>0</v>
      </c>
      <c r="F100" s="701">
        <f>'1st Interim-Restricted MYP'!G100</f>
        <v>0</v>
      </c>
      <c r="G100" s="708"/>
      <c r="H100" s="708"/>
      <c r="I100" s="490"/>
      <c r="J100" s="714"/>
      <c r="K100" s="483" t="str">
        <f t="shared" si="3"/>
        <v xml:space="preserve"> </v>
      </c>
      <c r="L100" s="698"/>
      <c r="M100" s="482" t="str">
        <f t="shared" si="4"/>
        <v xml:space="preserve"> </v>
      </c>
    </row>
    <row r="101" spans="1:13" ht="15">
      <c r="A101" s="67"/>
      <c r="B101" s="288">
        <v>8</v>
      </c>
      <c r="C101" s="1722"/>
      <c r="D101" s="1794"/>
      <c r="E101" s="808">
        <f>'Budget-Restricted MYP'!F101</f>
        <v>0</v>
      </c>
      <c r="F101" s="701">
        <f>'1st Interim-Restricted MYP'!G101</f>
        <v>0</v>
      </c>
      <c r="G101" s="709"/>
      <c r="H101" s="709"/>
      <c r="I101" s="490"/>
      <c r="J101" s="716"/>
      <c r="K101" s="483" t="str">
        <f t="shared" si="3"/>
        <v xml:space="preserve"> </v>
      </c>
      <c r="L101" s="705"/>
      <c r="M101" s="482" t="str">
        <f t="shared" si="4"/>
        <v xml:space="preserve"> </v>
      </c>
    </row>
    <row r="102" spans="1:13" ht="15">
      <c r="A102" s="67"/>
      <c r="B102" s="287">
        <v>9</v>
      </c>
      <c r="C102" s="1724"/>
      <c r="D102" s="1793"/>
      <c r="E102" s="808">
        <f>'Budget-Restricted MYP'!F102</f>
        <v>0</v>
      </c>
      <c r="F102" s="701">
        <f>'1st Interim-Restricted MYP'!G102</f>
        <v>0</v>
      </c>
      <c r="G102" s="710"/>
      <c r="H102" s="710"/>
      <c r="I102" s="317"/>
      <c r="J102" s="818"/>
      <c r="K102" s="484" t="str">
        <f t="shared" si="3"/>
        <v xml:space="preserve"> </v>
      </c>
      <c r="L102" s="699"/>
      <c r="M102" s="485" t="str">
        <f t="shared" si="4"/>
        <v xml:space="preserve"> </v>
      </c>
    </row>
    <row r="103" spans="1:13" ht="15">
      <c r="A103" s="67"/>
      <c r="B103" s="1601">
        <v>10</v>
      </c>
      <c r="C103" s="1724"/>
      <c r="D103" s="1793"/>
      <c r="E103" s="808">
        <f>'Budget-Restricted MYP'!F103</f>
        <v>100000</v>
      </c>
      <c r="F103" s="701">
        <f>'1st Interim-Restricted MYP'!G103</f>
        <v>0</v>
      </c>
      <c r="G103" s="710"/>
      <c r="H103" s="710"/>
      <c r="I103" s="317"/>
      <c r="J103" s="818"/>
      <c r="K103" s="484" t="str">
        <f t="shared" ref="K103:K113" si="5">IF(H103&lt;1," ",IF(J103&lt;1," ",(J103-H103)/H103))</f>
        <v xml:space="preserve"> </v>
      </c>
      <c r="L103" s="699"/>
      <c r="M103" s="485" t="str">
        <f t="shared" ref="M103:M113" si="6">IF(J103&lt;1," ",IF(L103&lt;1," ",(L103-J103)/J103))</f>
        <v xml:space="preserve"> </v>
      </c>
    </row>
    <row r="104" spans="1:13" ht="15">
      <c r="A104" s="67"/>
      <c r="B104" s="1601">
        <v>11</v>
      </c>
      <c r="C104" s="1724"/>
      <c r="D104" s="1793"/>
      <c r="E104" s="808">
        <f>'Budget-Restricted MYP'!F104</f>
        <v>0</v>
      </c>
      <c r="F104" s="701">
        <f>'1st Interim-Restricted MYP'!G104</f>
        <v>0</v>
      </c>
      <c r="G104" s="710"/>
      <c r="H104" s="710"/>
      <c r="I104" s="317"/>
      <c r="J104" s="818"/>
      <c r="K104" s="484" t="str">
        <f t="shared" si="5"/>
        <v xml:space="preserve"> </v>
      </c>
      <c r="L104" s="699"/>
      <c r="M104" s="485" t="str">
        <f t="shared" si="6"/>
        <v xml:space="preserve"> </v>
      </c>
    </row>
    <row r="105" spans="1:13" ht="15">
      <c r="A105" s="67"/>
      <c r="B105" s="1601">
        <v>12</v>
      </c>
      <c r="C105" s="1724"/>
      <c r="D105" s="1793"/>
      <c r="E105" s="808">
        <f>'Budget-Restricted MYP'!F105</f>
        <v>0</v>
      </c>
      <c r="F105" s="701">
        <f>'1st Interim-Restricted MYP'!G105</f>
        <v>0</v>
      </c>
      <c r="G105" s="710"/>
      <c r="H105" s="710"/>
      <c r="I105" s="317"/>
      <c r="J105" s="818"/>
      <c r="K105" s="484" t="str">
        <f t="shared" si="5"/>
        <v xml:space="preserve"> </v>
      </c>
      <c r="L105" s="699"/>
      <c r="M105" s="485" t="str">
        <f t="shared" si="6"/>
        <v xml:space="preserve"> </v>
      </c>
    </row>
    <row r="106" spans="1:13" ht="15">
      <c r="A106" s="67"/>
      <c r="B106" s="1598">
        <v>13</v>
      </c>
      <c r="C106" s="1724"/>
      <c r="D106" s="1793"/>
      <c r="E106" s="808">
        <f>'Budget-Restricted MYP'!F106</f>
        <v>0</v>
      </c>
      <c r="F106" s="701">
        <f>'1st Interim-Restricted MYP'!G106</f>
        <v>0</v>
      </c>
      <c r="G106" s="710"/>
      <c r="H106" s="710"/>
      <c r="I106" s="317"/>
      <c r="J106" s="818"/>
      <c r="K106" s="484" t="str">
        <f t="shared" si="5"/>
        <v xml:space="preserve"> </v>
      </c>
      <c r="L106" s="699"/>
      <c r="M106" s="485" t="str">
        <f t="shared" si="6"/>
        <v xml:space="preserve"> </v>
      </c>
    </row>
    <row r="107" spans="1:13" ht="15">
      <c r="A107" s="67"/>
      <c r="B107" s="1601">
        <v>14</v>
      </c>
      <c r="C107" s="1724"/>
      <c r="D107" s="1793"/>
      <c r="E107" s="808">
        <f>'Budget-Restricted MYP'!F107</f>
        <v>0</v>
      </c>
      <c r="F107" s="701">
        <f>'1st Interim-Restricted MYP'!G107</f>
        <v>0</v>
      </c>
      <c r="G107" s="710"/>
      <c r="H107" s="710"/>
      <c r="I107" s="317"/>
      <c r="J107" s="818"/>
      <c r="K107" s="484" t="str">
        <f t="shared" si="5"/>
        <v xml:space="preserve"> </v>
      </c>
      <c r="L107" s="699"/>
      <c r="M107" s="485" t="str">
        <f t="shared" si="6"/>
        <v xml:space="preserve"> </v>
      </c>
    </row>
    <row r="108" spans="1:13" ht="15">
      <c r="A108" s="67"/>
      <c r="B108" s="1601">
        <v>15</v>
      </c>
      <c r="C108" s="1724"/>
      <c r="D108" s="1793"/>
      <c r="E108" s="808">
        <f>'Budget-Restricted MYP'!F108</f>
        <v>0</v>
      </c>
      <c r="F108" s="701">
        <f>'1st Interim-Restricted MYP'!G108</f>
        <v>0</v>
      </c>
      <c r="G108" s="710"/>
      <c r="H108" s="710"/>
      <c r="I108" s="317"/>
      <c r="J108" s="818"/>
      <c r="K108" s="484" t="str">
        <f t="shared" si="5"/>
        <v xml:space="preserve"> </v>
      </c>
      <c r="L108" s="699"/>
      <c r="M108" s="485" t="str">
        <f t="shared" si="6"/>
        <v xml:space="preserve"> </v>
      </c>
    </row>
    <row r="109" spans="1:13" ht="15">
      <c r="A109" s="67"/>
      <c r="B109" s="1601">
        <v>16</v>
      </c>
      <c r="C109" s="1724"/>
      <c r="D109" s="1793"/>
      <c r="E109" s="808">
        <f>'Budget-Restricted MYP'!F109</f>
        <v>0</v>
      </c>
      <c r="F109" s="701">
        <f>'1st Interim-Restricted MYP'!G109</f>
        <v>0</v>
      </c>
      <c r="G109" s="710"/>
      <c r="H109" s="710"/>
      <c r="I109" s="317"/>
      <c r="J109" s="818"/>
      <c r="K109" s="484" t="str">
        <f t="shared" si="5"/>
        <v xml:space="preserve"> </v>
      </c>
      <c r="L109" s="699"/>
      <c r="M109" s="485" t="str">
        <f t="shared" si="6"/>
        <v xml:space="preserve"> </v>
      </c>
    </row>
    <row r="110" spans="1:13" ht="15">
      <c r="A110" s="67"/>
      <c r="B110" s="1598">
        <v>17</v>
      </c>
      <c r="C110" s="1724"/>
      <c r="D110" s="1793"/>
      <c r="E110" s="808">
        <f>'Budget-Restricted MYP'!F110</f>
        <v>0</v>
      </c>
      <c r="F110" s="701">
        <f>'1st Interim-Restricted MYP'!G110</f>
        <v>0</v>
      </c>
      <c r="G110" s="710"/>
      <c r="H110" s="710"/>
      <c r="I110" s="317"/>
      <c r="J110" s="818"/>
      <c r="K110" s="484" t="str">
        <f t="shared" si="5"/>
        <v xml:space="preserve"> </v>
      </c>
      <c r="L110" s="699"/>
      <c r="M110" s="485" t="str">
        <f t="shared" si="6"/>
        <v xml:space="preserve"> </v>
      </c>
    </row>
    <row r="111" spans="1:13" ht="15">
      <c r="A111" s="67"/>
      <c r="B111" s="1601">
        <v>18</v>
      </c>
      <c r="C111" s="1724"/>
      <c r="D111" s="1793"/>
      <c r="E111" s="808">
        <f>'Budget-Restricted MYP'!F111</f>
        <v>0</v>
      </c>
      <c r="F111" s="701">
        <f>'1st Interim-Restricted MYP'!G111</f>
        <v>0</v>
      </c>
      <c r="G111" s="710"/>
      <c r="H111" s="710"/>
      <c r="I111" s="317"/>
      <c r="J111" s="818"/>
      <c r="K111" s="484" t="str">
        <f t="shared" si="5"/>
        <v xml:space="preserve"> </v>
      </c>
      <c r="L111" s="699"/>
      <c r="M111" s="485" t="str">
        <f t="shared" si="6"/>
        <v xml:space="preserve"> </v>
      </c>
    </row>
    <row r="112" spans="1:13" ht="15">
      <c r="A112" s="67"/>
      <c r="B112" s="1601">
        <v>19</v>
      </c>
      <c r="C112" s="1724"/>
      <c r="D112" s="1793"/>
      <c r="E112" s="808">
        <f>'Budget-Restricted MYP'!F112</f>
        <v>0</v>
      </c>
      <c r="F112" s="701">
        <f>'1st Interim-Restricted MYP'!G112</f>
        <v>0</v>
      </c>
      <c r="G112" s="710"/>
      <c r="H112" s="710"/>
      <c r="I112" s="317"/>
      <c r="J112" s="818"/>
      <c r="K112" s="484" t="str">
        <f t="shared" si="5"/>
        <v xml:space="preserve"> </v>
      </c>
      <c r="L112" s="699"/>
      <c r="M112" s="485" t="str">
        <f t="shared" si="6"/>
        <v xml:space="preserve"> </v>
      </c>
    </row>
    <row r="113" spans="1:13" ht="15.4" thickBot="1">
      <c r="A113" s="67"/>
      <c r="B113" s="1601">
        <v>20</v>
      </c>
      <c r="C113" s="1780"/>
      <c r="D113" s="1867"/>
      <c r="E113" s="808">
        <f>'Budget-Restricted MYP'!F113</f>
        <v>0</v>
      </c>
      <c r="F113" s="701">
        <f>'1st Interim-Restricted MYP'!G113</f>
        <v>0</v>
      </c>
      <c r="G113" s="710"/>
      <c r="H113" s="710"/>
      <c r="I113" s="317"/>
      <c r="J113" s="818"/>
      <c r="K113" s="484" t="str">
        <f t="shared" si="5"/>
        <v xml:space="preserve"> </v>
      </c>
      <c r="L113" s="699"/>
      <c r="M113" s="485" t="str">
        <f t="shared" si="6"/>
        <v xml:space="preserve"> </v>
      </c>
    </row>
    <row r="114" spans="1:13" ht="15.75" thickTop="1" thickBot="1">
      <c r="A114" s="67"/>
      <c r="B114" s="923" t="s">
        <v>2</v>
      </c>
      <c r="C114" s="1728" t="s">
        <v>318</v>
      </c>
      <c r="D114" s="1729"/>
      <c r="E114" s="884">
        <f>SUM(E94:E113)</f>
        <v>534301.255</v>
      </c>
      <c r="F114" s="884">
        <f>SUM(F94:F113)</f>
        <v>0</v>
      </c>
      <c r="G114" s="884">
        <f>SUM(G94:G113)</f>
        <v>0</v>
      </c>
      <c r="H114" s="794">
        <f>SUM(H94:H113)</f>
        <v>0</v>
      </c>
      <c r="I114" s="602"/>
      <c r="J114" s="794">
        <f>SUM(J94:J113)</f>
        <v>0</v>
      </c>
      <c r="K114" s="576" t="str">
        <f t="shared" si="3"/>
        <v xml:space="preserve"> </v>
      </c>
      <c r="L114" s="794">
        <f>SUM(L94:L113)</f>
        <v>0</v>
      </c>
      <c r="M114" s="579" t="str">
        <f t="shared" si="4"/>
        <v xml:space="preserve"> </v>
      </c>
    </row>
    <row r="115" spans="1:13" ht="15.4" thickTop="1">
      <c r="A115" s="67"/>
      <c r="B115" s="933"/>
      <c r="C115" s="952"/>
      <c r="D115" s="952"/>
      <c r="E115" s="167"/>
      <c r="F115" s="167"/>
      <c r="G115" s="51"/>
      <c r="H115" s="167"/>
      <c r="I115" s="51"/>
      <c r="J115" s="167"/>
      <c r="K115" s="51"/>
      <c r="L115" s="51"/>
      <c r="M115" s="866"/>
    </row>
    <row r="116" spans="1:13" ht="15">
      <c r="A116" s="67"/>
      <c r="B116" s="348" t="s">
        <v>207</v>
      </c>
      <c r="C116" s="165"/>
      <c r="D116" s="960"/>
      <c r="E116" s="1088">
        <f>'Budget-Restricted MYP'!F116</f>
        <v>72</v>
      </c>
      <c r="F116" s="1064">
        <f>'1st Interim-Restricted MYP'!G116</f>
        <v>0</v>
      </c>
      <c r="G116" s="570"/>
      <c r="H116" s="959">
        <f>'2nd Interim-Assumptions'!G17</f>
        <v>0</v>
      </c>
      <c r="I116" s="480"/>
      <c r="J116" s="959">
        <f>'2nd Interim-Assumptions'!H17</f>
        <v>0</v>
      </c>
      <c r="K116" s="480"/>
      <c r="L116" s="959">
        <f>'2nd Interim-Assumptions'!J17</f>
        <v>0</v>
      </c>
      <c r="M116" s="349"/>
    </row>
    <row r="117" spans="1:13" ht="15">
      <c r="A117" s="280"/>
      <c r="B117" s="348" t="s">
        <v>208</v>
      </c>
      <c r="C117" s="165"/>
      <c r="D117" s="960"/>
      <c r="E117" s="1088">
        <f>'Budget-Restricted MYP'!F117</f>
        <v>37638.160559999997</v>
      </c>
      <c r="F117" s="1065" t="e">
        <f>'1st Interim-Restricted MYP'!G117</f>
        <v>#VALUE!</v>
      </c>
      <c r="G117" s="571"/>
      <c r="H117" s="940" t="e">
        <f>(1.04446*'2nd Interim-ADA'!O76)*H116</f>
        <v>#VALUE!</v>
      </c>
      <c r="I117" s="1189" t="e">
        <f>IF(F117&lt;1," ",IF(H117&lt;1," ",(H117-F117)/F117))</f>
        <v>#VALUE!</v>
      </c>
      <c r="J117" s="940" t="e">
        <f>(1.04446*'2nd Interim-ADA'!R76)*J116</f>
        <v>#VALUE!</v>
      </c>
      <c r="K117" s="266" t="e">
        <f>IF(H117&lt;1," ",IF(J117&lt;1," ",(J117-H117)/H117))</f>
        <v>#VALUE!</v>
      </c>
      <c r="L117" s="940" t="e">
        <f>(1.04446*'2nd Interim-ADA'!U76)*L116</f>
        <v>#VALUE!</v>
      </c>
      <c r="M117" s="303" t="e">
        <f>IF(J117&lt;1," ",IF(L117&lt;1," ",(L117-J117)/J117))</f>
        <v>#VALUE!</v>
      </c>
    </row>
    <row r="118" spans="1:13" ht="6.75" customHeight="1">
      <c r="A118" s="67"/>
      <c r="B118" s="358"/>
      <c r="C118" s="953"/>
      <c r="D118" s="953"/>
      <c r="E118" s="954"/>
      <c r="F118" s="955"/>
      <c r="G118" s="51"/>
      <c r="H118" s="51"/>
      <c r="I118" s="955"/>
      <c r="J118" s="51"/>
      <c r="K118" s="955"/>
      <c r="L118" s="51"/>
      <c r="M118" s="866"/>
    </row>
    <row r="119" spans="1:13" ht="15">
      <c r="A119" s="280"/>
      <c r="B119" s="164"/>
      <c r="C119" s="164" t="s">
        <v>319</v>
      </c>
      <c r="D119" s="164"/>
      <c r="E119" s="164"/>
      <c r="F119" s="1770"/>
      <c r="G119" s="1770"/>
      <c r="H119" s="1770"/>
      <c r="I119" s="1770"/>
      <c r="J119" s="1770"/>
      <c r="K119" s="1770"/>
      <c r="L119" s="51"/>
      <c r="M119" s="595"/>
    </row>
    <row r="120" spans="1:13" ht="15">
      <c r="A120" s="280"/>
      <c r="B120" s="287">
        <v>1</v>
      </c>
      <c r="C120" s="1724"/>
      <c r="D120" s="1725"/>
      <c r="E120" s="1094">
        <f>'Budget-Restricted MYP'!F120</f>
        <v>444144</v>
      </c>
      <c r="F120" s="1125">
        <f>'1st Interim-Restricted MYP'!G120</f>
        <v>0</v>
      </c>
      <c r="G120" s="1128"/>
      <c r="H120" s="708"/>
      <c r="I120" s="317"/>
      <c r="J120" s="714"/>
      <c r="K120" s="484" t="str">
        <f t="shared" ref="K120:K138" si="7">IF(H120&lt;1," ",IF(J120&lt;1," ",(J120-H120)/H120))</f>
        <v xml:space="preserve"> </v>
      </c>
      <c r="L120" s="703"/>
      <c r="M120" s="596" t="str">
        <f t="shared" ref="M120:M138" si="8">IF(J120&lt;1," ",IF(L120&lt;1," ",(L120-J120)/J120))</f>
        <v xml:space="preserve"> </v>
      </c>
    </row>
    <row r="121" spans="1:13" ht="15">
      <c r="A121" s="280"/>
      <c r="B121" s="287">
        <v>2</v>
      </c>
      <c r="C121" s="1724"/>
      <c r="D121" s="1725"/>
      <c r="E121" s="1094">
        <f>'Budget-Restricted MYP'!F121</f>
        <v>243577</v>
      </c>
      <c r="F121" s="1125">
        <f>'1st Interim-Restricted MYP'!G121</f>
        <v>0</v>
      </c>
      <c r="G121" s="1115"/>
      <c r="H121" s="709"/>
      <c r="I121" s="317"/>
      <c r="J121" s="716"/>
      <c r="K121" s="484" t="str">
        <f t="shared" si="7"/>
        <v xml:space="preserve"> </v>
      </c>
      <c r="L121" s="705"/>
      <c r="M121" s="485" t="str">
        <f t="shared" si="8"/>
        <v xml:space="preserve"> </v>
      </c>
    </row>
    <row r="122" spans="1:13" ht="15">
      <c r="A122" s="280"/>
      <c r="B122" s="287">
        <v>3</v>
      </c>
      <c r="C122" s="1724"/>
      <c r="D122" s="1725"/>
      <c r="E122" s="1094">
        <f>'Budget-Restricted MYP'!F122</f>
        <v>710710</v>
      </c>
      <c r="F122" s="1125">
        <f>'1st Interim-Restricted MYP'!G122</f>
        <v>0</v>
      </c>
      <c r="G122" s="1115"/>
      <c r="H122" s="709"/>
      <c r="I122" s="317"/>
      <c r="J122" s="716"/>
      <c r="K122" s="484" t="str">
        <f t="shared" si="7"/>
        <v xml:space="preserve"> </v>
      </c>
      <c r="L122" s="705"/>
      <c r="M122" s="485" t="str">
        <f t="shared" si="8"/>
        <v xml:space="preserve"> </v>
      </c>
    </row>
    <row r="123" spans="1:13" ht="15">
      <c r="A123" s="280"/>
      <c r="B123" s="287">
        <v>4</v>
      </c>
      <c r="C123" s="1724"/>
      <c r="D123" s="1725"/>
      <c r="E123" s="1094">
        <f>'Budget-Restricted MYP'!F123</f>
        <v>95181</v>
      </c>
      <c r="F123" s="1125">
        <f>'1st Interim-Restricted MYP'!G123</f>
        <v>0</v>
      </c>
      <c r="G123" s="1128"/>
      <c r="H123" s="708"/>
      <c r="I123" s="317"/>
      <c r="J123" s="714"/>
      <c r="K123" s="484" t="str">
        <f t="shared" si="7"/>
        <v xml:space="preserve"> </v>
      </c>
      <c r="L123" s="698"/>
      <c r="M123" s="485" t="str">
        <f t="shared" si="8"/>
        <v xml:space="preserve"> </v>
      </c>
    </row>
    <row r="124" spans="1:13" ht="15">
      <c r="A124" s="67"/>
      <c r="B124" s="287">
        <v>5</v>
      </c>
      <c r="C124" s="1724"/>
      <c r="D124" s="1725"/>
      <c r="E124" s="1094">
        <f>'Budget-Restricted MYP'!F124</f>
        <v>0</v>
      </c>
      <c r="F124" s="1125">
        <f>'1st Interim-Restricted MYP'!G124</f>
        <v>0</v>
      </c>
      <c r="G124" s="1129"/>
      <c r="H124" s="726"/>
      <c r="I124" s="317"/>
      <c r="J124" s="819"/>
      <c r="K124" s="484" t="str">
        <f t="shared" si="7"/>
        <v xml:space="preserve"> </v>
      </c>
      <c r="L124" s="824"/>
      <c r="M124" s="485" t="str">
        <f t="shared" si="8"/>
        <v xml:space="preserve"> </v>
      </c>
    </row>
    <row r="125" spans="1:13" ht="15">
      <c r="A125" s="281"/>
      <c r="B125" s="288">
        <v>6</v>
      </c>
      <c r="C125" s="1722"/>
      <c r="D125" s="1723"/>
      <c r="E125" s="1094">
        <f>'Budget-Restricted MYP'!F125</f>
        <v>0</v>
      </c>
      <c r="F125" s="1125">
        <f>'1st Interim-Restricted MYP'!G125</f>
        <v>0</v>
      </c>
      <c r="G125" s="1114"/>
      <c r="H125" s="727"/>
      <c r="I125" s="490"/>
      <c r="J125" s="820"/>
      <c r="K125" s="483" t="str">
        <f t="shared" si="7"/>
        <v xml:space="preserve"> </v>
      </c>
      <c r="L125" s="825"/>
      <c r="M125" s="482" t="str">
        <f t="shared" si="8"/>
        <v xml:space="preserve"> </v>
      </c>
    </row>
    <row r="126" spans="1:13" ht="15">
      <c r="A126" s="281"/>
      <c r="B126" s="288">
        <v>7</v>
      </c>
      <c r="C126" s="1722"/>
      <c r="D126" s="1723"/>
      <c r="E126" s="1094">
        <f>'Budget-Restricted MYP'!F126</f>
        <v>0</v>
      </c>
      <c r="F126" s="1125">
        <f>'1st Interim-Restricted MYP'!G126</f>
        <v>0</v>
      </c>
      <c r="G126" s="1115"/>
      <c r="H126" s="709"/>
      <c r="I126" s="490"/>
      <c r="J126" s="716"/>
      <c r="K126" s="483" t="str">
        <f t="shared" si="7"/>
        <v xml:space="preserve"> </v>
      </c>
      <c r="L126" s="705"/>
      <c r="M126" s="482" t="str">
        <f t="shared" si="8"/>
        <v xml:space="preserve"> </v>
      </c>
    </row>
    <row r="127" spans="1:13" ht="15">
      <c r="A127" s="281"/>
      <c r="B127" s="288">
        <v>8</v>
      </c>
      <c r="C127" s="1722"/>
      <c r="D127" s="1723"/>
      <c r="E127" s="1094">
        <f>'Budget-Restricted MYP'!F127</f>
        <v>0</v>
      </c>
      <c r="F127" s="1125">
        <f>'1st Interim-Restricted MYP'!G127</f>
        <v>0</v>
      </c>
      <c r="G127" s="1115"/>
      <c r="H127" s="709"/>
      <c r="I127" s="490"/>
      <c r="J127" s="716"/>
      <c r="K127" s="483" t="str">
        <f t="shared" si="7"/>
        <v xml:space="preserve"> </v>
      </c>
      <c r="L127" s="705"/>
      <c r="M127" s="482" t="str">
        <f t="shared" si="8"/>
        <v xml:space="preserve"> </v>
      </c>
    </row>
    <row r="128" spans="1:13" ht="15">
      <c r="A128" s="281"/>
      <c r="B128" s="288">
        <v>9</v>
      </c>
      <c r="C128" s="1724"/>
      <c r="D128" s="1725"/>
      <c r="E128" s="1094">
        <f>'Budget-Restricted MYP'!F128</f>
        <v>0</v>
      </c>
      <c r="F128" s="1125">
        <f>'1st Interim-Restricted MYP'!G128</f>
        <v>0</v>
      </c>
      <c r="G128" s="1115"/>
      <c r="H128" s="709"/>
      <c r="I128" s="490"/>
      <c r="J128" s="716"/>
      <c r="K128" s="483" t="str">
        <f t="shared" si="7"/>
        <v xml:space="preserve"> </v>
      </c>
      <c r="L128" s="705"/>
      <c r="M128" s="482" t="str">
        <f t="shared" si="8"/>
        <v xml:space="preserve"> </v>
      </c>
    </row>
    <row r="129" spans="1:13" ht="15">
      <c r="A129" s="281"/>
      <c r="B129" s="145">
        <v>10</v>
      </c>
      <c r="C129" s="1722"/>
      <c r="D129" s="1723"/>
      <c r="E129" s="1094">
        <f>'Budget-Restricted MYP'!F129</f>
        <v>0</v>
      </c>
      <c r="F129" s="1125">
        <f>'1st Interim-Restricted MYP'!G129</f>
        <v>0</v>
      </c>
      <c r="G129" s="1115"/>
      <c r="H129" s="709"/>
      <c r="I129" s="490"/>
      <c r="J129" s="716"/>
      <c r="K129" s="483" t="str">
        <f t="shared" si="7"/>
        <v xml:space="preserve"> </v>
      </c>
      <c r="L129" s="705"/>
      <c r="M129" s="482" t="str">
        <f t="shared" si="8"/>
        <v xml:space="preserve"> </v>
      </c>
    </row>
    <row r="130" spans="1:13" ht="15">
      <c r="A130" s="67"/>
      <c r="B130" s="145">
        <v>11</v>
      </c>
      <c r="C130" s="1722"/>
      <c r="D130" s="1723"/>
      <c r="E130" s="1094">
        <f>'Budget-Restricted MYP'!F130</f>
        <v>0</v>
      </c>
      <c r="F130" s="1125">
        <f>'1st Interim-Restricted MYP'!G130</f>
        <v>0</v>
      </c>
      <c r="G130" s="1116"/>
      <c r="H130" s="719"/>
      <c r="I130" s="490"/>
      <c r="J130" s="719"/>
      <c r="K130" s="483" t="str">
        <f t="shared" si="7"/>
        <v xml:space="preserve"> </v>
      </c>
      <c r="L130" s="826"/>
      <c r="M130" s="482" t="str">
        <f t="shared" si="8"/>
        <v xml:space="preserve"> </v>
      </c>
    </row>
    <row r="131" spans="1:13" ht="15">
      <c r="A131" s="67"/>
      <c r="B131" s="145">
        <v>12</v>
      </c>
      <c r="C131" s="1722"/>
      <c r="D131" s="1723"/>
      <c r="E131" s="1094">
        <f>'Budget-Restricted MYP'!F131</f>
        <v>0</v>
      </c>
      <c r="F131" s="1125">
        <f>'1st Interim-Restricted MYP'!G131</f>
        <v>0</v>
      </c>
      <c r="G131" s="1117"/>
      <c r="H131" s="720"/>
      <c r="I131" s="490"/>
      <c r="J131" s="720"/>
      <c r="K131" s="483" t="str">
        <f t="shared" si="7"/>
        <v xml:space="preserve"> </v>
      </c>
      <c r="L131" s="827"/>
      <c r="M131" s="482" t="str">
        <f t="shared" si="8"/>
        <v xml:space="preserve"> </v>
      </c>
    </row>
    <row r="132" spans="1:13" ht="15">
      <c r="A132" s="67"/>
      <c r="B132" s="145">
        <v>13</v>
      </c>
      <c r="C132" s="1722"/>
      <c r="D132" s="1723"/>
      <c r="E132" s="1094">
        <f>'Budget-Restricted MYP'!F132</f>
        <v>0</v>
      </c>
      <c r="F132" s="1125">
        <f>'1st Interim-Restricted MYP'!G132</f>
        <v>0</v>
      </c>
      <c r="G132" s="1118"/>
      <c r="H132" s="728"/>
      <c r="I132" s="490"/>
      <c r="J132" s="821"/>
      <c r="K132" s="483" t="str">
        <f t="shared" si="7"/>
        <v xml:space="preserve"> </v>
      </c>
      <c r="L132" s="734"/>
      <c r="M132" s="482" t="str">
        <f t="shared" si="8"/>
        <v xml:space="preserve"> </v>
      </c>
    </row>
    <row r="133" spans="1:13" ht="15">
      <c r="A133" s="67"/>
      <c r="B133" s="145">
        <v>14</v>
      </c>
      <c r="C133" s="1722"/>
      <c r="D133" s="1723"/>
      <c r="E133" s="1094">
        <f>'Budget-Restricted MYP'!F133</f>
        <v>0</v>
      </c>
      <c r="F133" s="1125">
        <f>'1st Interim-Restricted MYP'!G133</f>
        <v>0</v>
      </c>
      <c r="G133" s="738"/>
      <c r="H133" s="729"/>
      <c r="I133" s="490"/>
      <c r="J133" s="742"/>
      <c r="K133" s="483" t="str">
        <f t="shared" si="7"/>
        <v xml:space="preserve"> </v>
      </c>
      <c r="L133" s="735"/>
      <c r="M133" s="482" t="str">
        <f t="shared" si="8"/>
        <v xml:space="preserve"> </v>
      </c>
    </row>
    <row r="134" spans="1:13" ht="15">
      <c r="A134" s="67"/>
      <c r="B134" s="145">
        <v>15</v>
      </c>
      <c r="C134" s="1722"/>
      <c r="D134" s="1723"/>
      <c r="E134" s="1094">
        <f>'Budget-Restricted MYP'!F134</f>
        <v>0</v>
      </c>
      <c r="F134" s="1125">
        <f>'1st Interim-Restricted MYP'!G134</f>
        <v>0</v>
      </c>
      <c r="G134" s="1118"/>
      <c r="H134" s="728"/>
      <c r="I134" s="490"/>
      <c r="J134" s="821"/>
      <c r="K134" s="483" t="str">
        <f t="shared" si="7"/>
        <v xml:space="preserve"> </v>
      </c>
      <c r="L134" s="734"/>
      <c r="M134" s="482" t="str">
        <f t="shared" si="8"/>
        <v xml:space="preserve"> </v>
      </c>
    </row>
    <row r="135" spans="1:13" ht="15">
      <c r="A135" s="67"/>
      <c r="B135" s="145">
        <v>16</v>
      </c>
      <c r="C135" s="1722"/>
      <c r="D135" s="1723"/>
      <c r="E135" s="1094">
        <f>'Budget-Restricted MYP'!F135</f>
        <v>0</v>
      </c>
      <c r="F135" s="1125">
        <f>'1st Interim-Restricted MYP'!G135</f>
        <v>0</v>
      </c>
      <c r="G135" s="1119"/>
      <c r="H135" s="730"/>
      <c r="I135" s="490"/>
      <c r="J135" s="822"/>
      <c r="K135" s="483" t="str">
        <f t="shared" si="7"/>
        <v xml:space="preserve"> </v>
      </c>
      <c r="L135" s="736"/>
      <c r="M135" s="482" t="str">
        <f t="shared" si="8"/>
        <v xml:space="preserve"> </v>
      </c>
    </row>
    <row r="136" spans="1:13" ht="15">
      <c r="A136" s="67"/>
      <c r="B136" s="145">
        <v>17</v>
      </c>
      <c r="C136" s="1722"/>
      <c r="D136" s="1723"/>
      <c r="E136" s="1094">
        <f>'Budget-Restricted MYP'!F136</f>
        <v>0</v>
      </c>
      <c r="F136" s="1125">
        <f>'1st Interim-Restricted MYP'!G136</f>
        <v>0</v>
      </c>
      <c r="G136" s="1120"/>
      <c r="H136" s="731"/>
      <c r="I136" s="490"/>
      <c r="J136" s="823"/>
      <c r="K136" s="483" t="str">
        <f t="shared" si="7"/>
        <v xml:space="preserve"> </v>
      </c>
      <c r="L136" s="737"/>
      <c r="M136" s="482" t="str">
        <f t="shared" si="8"/>
        <v xml:space="preserve"> </v>
      </c>
    </row>
    <row r="137" spans="1:13" ht="15.4" thickBot="1">
      <c r="A137" s="67"/>
      <c r="B137" s="883">
        <v>18</v>
      </c>
      <c r="C137" s="1726"/>
      <c r="D137" s="1727"/>
      <c r="E137" s="1094">
        <f>'Budget-Restricted MYP'!F137</f>
        <v>0</v>
      </c>
      <c r="F137" s="1125">
        <f>'1st Interim-Restricted MYP'!G137</f>
        <v>0</v>
      </c>
      <c r="G137" s="1121"/>
      <c r="H137" s="725"/>
      <c r="I137" s="620"/>
      <c r="J137" s="725"/>
      <c r="K137" s="593" t="str">
        <f t="shared" si="7"/>
        <v xml:space="preserve"> </v>
      </c>
      <c r="L137" s="828"/>
      <c r="M137" s="594" t="str">
        <f t="shared" si="8"/>
        <v xml:space="preserve"> </v>
      </c>
    </row>
    <row r="138" spans="1:13" ht="15.75" thickTop="1" thickBot="1">
      <c r="A138" s="67"/>
      <c r="B138" s="887"/>
      <c r="C138" s="1728" t="s">
        <v>317</v>
      </c>
      <c r="D138" s="1729"/>
      <c r="E138" s="1107">
        <f>SUM(E120:E137)</f>
        <v>1493612</v>
      </c>
      <c r="F138" s="1107">
        <f>SUM(F120:F137)</f>
        <v>0</v>
      </c>
      <c r="G138" s="1107">
        <f>SUM(G120:G137)</f>
        <v>0</v>
      </c>
      <c r="H138" s="794">
        <f>SUM(H120:H137)</f>
        <v>0</v>
      </c>
      <c r="I138" s="602"/>
      <c r="J138" s="794">
        <f>SUM(J120:J137)</f>
        <v>0</v>
      </c>
      <c r="K138" s="576" t="str">
        <f t="shared" si="7"/>
        <v xml:space="preserve"> </v>
      </c>
      <c r="L138" s="794">
        <f>SUM(L120:L137)</f>
        <v>0</v>
      </c>
      <c r="M138" s="579" t="str">
        <f t="shared" si="8"/>
        <v xml:space="preserve"> </v>
      </c>
    </row>
    <row r="139" spans="1:13" ht="9" customHeight="1" thickTop="1">
      <c r="A139" s="67"/>
      <c r="B139" s="151"/>
      <c r="C139" s="1860"/>
      <c r="D139" s="1860"/>
      <c r="E139" s="646"/>
      <c r="F139" s="853"/>
      <c r="G139" s="454"/>
      <c r="H139" s="454"/>
      <c r="I139" s="853"/>
      <c r="J139" s="454"/>
      <c r="K139" s="853"/>
      <c r="L139" s="454"/>
      <c r="M139" s="867"/>
    </row>
    <row r="140" spans="1:13" ht="15">
      <c r="A140" s="280"/>
      <c r="B140" s="164"/>
      <c r="C140" s="164" t="s">
        <v>331</v>
      </c>
      <c r="D140" s="164"/>
      <c r="E140" s="164"/>
      <c r="F140" s="1770"/>
      <c r="G140" s="1770"/>
      <c r="H140" s="1770"/>
      <c r="I140" s="1770"/>
      <c r="J140" s="1770"/>
      <c r="K140" s="1770"/>
      <c r="L140" s="51"/>
      <c r="M140" s="595"/>
    </row>
    <row r="141" spans="1:13" ht="15">
      <c r="A141" s="67"/>
      <c r="B141" s="287">
        <v>1</v>
      </c>
      <c r="C141" s="1724"/>
      <c r="D141" s="1725"/>
      <c r="E141" s="1101">
        <f>'Budget-Restricted MYP'!F141</f>
        <v>0</v>
      </c>
      <c r="F141" s="1097">
        <f>'1st Interim-Restricted MYP'!G141</f>
        <v>0</v>
      </c>
      <c r="G141" s="1122"/>
      <c r="H141" s="722"/>
      <c r="I141" s="490"/>
      <c r="J141" s="742"/>
      <c r="K141" s="31" t="str">
        <f t="shared" ref="K141:K147" si="9">IF(H141&lt;1," ",IF(J141&lt;1," ",(J141-H141)/H141))</f>
        <v xml:space="preserve"> </v>
      </c>
      <c r="L141" s="829"/>
      <c r="M141" s="632" t="str">
        <f t="shared" ref="M141:M147" si="10">IF(J141&lt;1," ",IF(L141&lt;1," ",(L141-J141)/J141))</f>
        <v xml:space="preserve"> </v>
      </c>
    </row>
    <row r="142" spans="1:13" ht="15">
      <c r="A142" s="67"/>
      <c r="B142" s="287">
        <v>2</v>
      </c>
      <c r="C142" s="1724"/>
      <c r="D142" s="1725"/>
      <c r="E142" s="1101">
        <f>'Budget-Restricted MYP'!F142</f>
        <v>0</v>
      </c>
      <c r="F142" s="1097">
        <f>'1st Interim-Restricted MYP'!G142</f>
        <v>0</v>
      </c>
      <c r="G142" s="1123"/>
      <c r="H142" s="740"/>
      <c r="I142" s="619"/>
      <c r="J142" s="740"/>
      <c r="K142" s="78" t="str">
        <f t="shared" si="9"/>
        <v xml:space="preserve"> </v>
      </c>
      <c r="L142" s="830"/>
      <c r="M142" s="633" t="str">
        <f t="shared" si="10"/>
        <v xml:space="preserve"> </v>
      </c>
    </row>
    <row r="143" spans="1:13" ht="15">
      <c r="A143" s="67"/>
      <c r="B143" s="287">
        <v>3</v>
      </c>
      <c r="C143" s="1724"/>
      <c r="D143" s="1725"/>
      <c r="E143" s="1101">
        <f>'Budget-Restricted MYP'!F143</f>
        <v>0</v>
      </c>
      <c r="F143" s="1097">
        <f>'1st Interim-Restricted MYP'!G143</f>
        <v>0</v>
      </c>
      <c r="G143" s="1124"/>
      <c r="H143" s="725"/>
      <c r="I143" s="620"/>
      <c r="J143" s="743"/>
      <c r="K143" s="330" t="str">
        <f t="shared" si="9"/>
        <v xml:space="preserve"> </v>
      </c>
      <c r="L143" s="831"/>
      <c r="M143" s="634" t="str">
        <f t="shared" si="10"/>
        <v xml:space="preserve"> </v>
      </c>
    </row>
    <row r="144" spans="1:13" ht="15">
      <c r="A144" s="67"/>
      <c r="B144" s="287">
        <v>4</v>
      </c>
      <c r="C144" s="1724"/>
      <c r="D144" s="1725"/>
      <c r="E144" s="1101">
        <f>'Budget-Restricted MYP'!F144</f>
        <v>0</v>
      </c>
      <c r="F144" s="1097">
        <f>'1st Interim-Restricted MYP'!G144</f>
        <v>0</v>
      </c>
      <c r="G144" s="738"/>
      <c r="H144" s="722"/>
      <c r="I144" s="490"/>
      <c r="J144" s="742"/>
      <c r="K144" s="31" t="str">
        <f t="shared" si="9"/>
        <v xml:space="preserve"> </v>
      </c>
      <c r="L144" s="832"/>
      <c r="M144" s="635" t="str">
        <f t="shared" si="10"/>
        <v xml:space="preserve"> </v>
      </c>
    </row>
    <row r="145" spans="1:14" ht="15">
      <c r="A145" s="67"/>
      <c r="B145" s="287">
        <v>5</v>
      </c>
      <c r="C145" s="1724"/>
      <c r="D145" s="1725"/>
      <c r="E145" s="1101">
        <f>'Budget-Restricted MYP'!F145</f>
        <v>0</v>
      </c>
      <c r="F145" s="1097">
        <f>'1st Interim-Restricted MYP'!G145</f>
        <v>0</v>
      </c>
      <c r="G145" s="738"/>
      <c r="H145" s="722"/>
      <c r="I145" s="490"/>
      <c r="J145" s="742"/>
      <c r="K145" s="31" t="str">
        <f t="shared" si="9"/>
        <v xml:space="preserve"> </v>
      </c>
      <c r="L145" s="832"/>
      <c r="M145" s="635" t="str">
        <f t="shared" si="10"/>
        <v xml:space="preserve"> </v>
      </c>
    </row>
    <row r="146" spans="1:14" ht="15.4" thickBot="1">
      <c r="A146" s="67"/>
      <c r="B146" s="922">
        <v>6</v>
      </c>
      <c r="C146" s="1726"/>
      <c r="D146" s="1727"/>
      <c r="E146" s="1101">
        <f>'Budget-Restricted MYP'!F146</f>
        <v>0</v>
      </c>
      <c r="F146" s="1097">
        <f>'1st Interim-Restricted MYP'!G146</f>
        <v>0</v>
      </c>
      <c r="G146" s="1121"/>
      <c r="H146" s="725"/>
      <c r="I146" s="317"/>
      <c r="J146" s="743"/>
      <c r="K146" s="94" t="str">
        <f t="shared" si="9"/>
        <v xml:space="preserve"> </v>
      </c>
      <c r="L146" s="831"/>
      <c r="M146" s="634" t="str">
        <f t="shared" si="10"/>
        <v xml:space="preserve"> </v>
      </c>
    </row>
    <row r="147" spans="1:14" ht="15.75" thickTop="1" thickBot="1">
      <c r="A147" s="67"/>
      <c r="B147" s="913"/>
      <c r="C147" s="1728" t="s">
        <v>316</v>
      </c>
      <c r="D147" s="1729"/>
      <c r="E147" s="1107">
        <f>SUM(E141:E146)</f>
        <v>0</v>
      </c>
      <c r="F147" s="1107">
        <f>SUM(F141:F146)</f>
        <v>0</v>
      </c>
      <c r="G147" s="1107">
        <f>SUM(G141:G146)</f>
        <v>0</v>
      </c>
      <c r="H147" s="794">
        <f>SUM(H141:H146)</f>
        <v>0</v>
      </c>
      <c r="I147" s="602"/>
      <c r="J147" s="794">
        <f>SUM(J141:J146)</f>
        <v>0</v>
      </c>
      <c r="K147" s="576" t="str">
        <f t="shared" si="9"/>
        <v xml:space="preserve"> </v>
      </c>
      <c r="L147" s="794">
        <f>SUM(L141:L146)</f>
        <v>0</v>
      </c>
      <c r="M147" s="579" t="str">
        <f t="shared" si="10"/>
        <v xml:space="preserve"> </v>
      </c>
    </row>
    <row r="148" spans="1:14" ht="10.5" customHeight="1" thickTop="1">
      <c r="A148" s="283"/>
      <c r="B148" s="1"/>
      <c r="C148" s="1"/>
      <c r="D148" s="1294"/>
      <c r="F148" s="1295"/>
      <c r="G148" s="157"/>
      <c r="H148" s="1295"/>
      <c r="I148" s="157"/>
      <c r="J148" s="1295"/>
      <c r="K148" s="1358"/>
      <c r="L148" s="1313"/>
      <c r="M148" s="467"/>
      <c r="N148"/>
    </row>
    <row r="149" spans="1:14" ht="15">
      <c r="A149" s="328" t="s">
        <v>438</v>
      </c>
      <c r="B149" s="1"/>
      <c r="C149" s="1"/>
      <c r="D149" s="1294"/>
      <c r="F149" s="1295"/>
      <c r="G149" s="157"/>
      <c r="H149" s="1295"/>
      <c r="I149" s="157"/>
      <c r="J149" s="1295"/>
      <c r="K149" s="670"/>
      <c r="L149" s="150"/>
      <c r="M149" s="467"/>
      <c r="N149"/>
    </row>
    <row r="150" spans="1:14" ht="15.4">
      <c r="A150" s="283"/>
      <c r="B150" s="1787" t="s">
        <v>431</v>
      </c>
      <c r="C150" s="1787"/>
      <c r="D150" s="1787"/>
      <c r="E150" s="1368">
        <f>'Budget-Restricted MYP'!F150</f>
        <v>0</v>
      </c>
      <c r="F150" s="1368">
        <f>'1st Interim-Restricted MYP'!G150</f>
        <v>0</v>
      </c>
      <c r="G150" s="1306"/>
      <c r="H150" s="1306"/>
      <c r="I150" s="1360" t="str">
        <f>IF(E150=0,"",IF(H150=0,"",(H150-E150)/E150))</f>
        <v/>
      </c>
      <c r="J150" s="1306"/>
      <c r="K150" s="1360" t="str">
        <f>IF(H150=0,"",IF(J150=0,"",(J150-H150)/H150))</f>
        <v/>
      </c>
      <c r="L150" s="1380"/>
      <c r="M150" s="1298" t="str">
        <f>IF(J150=0,"",IF(L150=0,"",(L150-J150)/J150))</f>
        <v/>
      </c>
    </row>
    <row r="151" spans="1:14" ht="15.4">
      <c r="A151" s="283"/>
      <c r="B151" s="1787" t="s">
        <v>457</v>
      </c>
      <c r="C151" s="1787"/>
      <c r="D151" s="1787"/>
      <c r="E151" s="1868"/>
      <c r="F151" s="1869"/>
      <c r="G151" s="1869"/>
      <c r="H151" s="1869"/>
      <c r="I151" s="1869"/>
      <c r="J151" s="1869"/>
      <c r="K151" s="1869"/>
      <c r="L151" s="1869"/>
      <c r="M151" s="1870"/>
    </row>
    <row r="152" spans="1:14" ht="15.4">
      <c r="A152" s="283"/>
      <c r="B152" s="1789" t="s">
        <v>433</v>
      </c>
      <c r="C152" s="1685"/>
      <c r="D152" s="1790"/>
      <c r="E152" s="1300">
        <f>E24</f>
        <v>0</v>
      </c>
      <c r="F152" s="1300">
        <f>F24</f>
        <v>0</v>
      </c>
      <c r="G152" s="1300">
        <f>G24</f>
        <v>0</v>
      </c>
      <c r="H152" s="1300">
        <f>H24</f>
        <v>0</v>
      </c>
      <c r="I152" s="1605" t="str">
        <f>IF(E152=0,"",IF(H152=0,"",(H152-E152)/E152))</f>
        <v/>
      </c>
      <c r="J152" s="1300">
        <f>J24</f>
        <v>0</v>
      </c>
      <c r="K152" s="1605" t="str">
        <f>IF(H152=0,"",IF(J152=0,"",(J152-H152)/H152))</f>
        <v/>
      </c>
      <c r="L152" s="1381">
        <f>L24</f>
        <v>0</v>
      </c>
      <c r="M152" s="1299" t="str">
        <f>IF(J152=0,"",IF(L152=0,"",(L152-J152)/J152))</f>
        <v/>
      </c>
    </row>
    <row r="153" spans="1:14" ht="15.4">
      <c r="A153" s="283"/>
      <c r="B153" s="1787" t="s">
        <v>434</v>
      </c>
      <c r="C153" s="1787"/>
      <c r="D153" s="1787"/>
      <c r="E153" s="1300">
        <f>'Budget-Restricted MYP'!F153</f>
        <v>0</v>
      </c>
      <c r="F153" s="1524">
        <f>'1st Interim-Restricted MYP'!G153</f>
        <v>0</v>
      </c>
      <c r="G153" s="832"/>
      <c r="H153" s="832"/>
      <c r="I153" s="1360" t="str">
        <f>IF(E153=0,"",IF(H153=0,"",(H153-E153)/E153))</f>
        <v/>
      </c>
      <c r="J153" s="1217"/>
      <c r="K153" s="1360" t="str">
        <f>IF(H153=0,"",IF(J153=0,"",(J153-H153)/H153))</f>
        <v/>
      </c>
      <c r="L153" s="1216"/>
      <c r="M153" s="321" t="str">
        <f>IF(J153=0,"",IF(L153=0,"",(L153-J153)/J153))</f>
        <v/>
      </c>
    </row>
    <row r="154" spans="1:14" ht="15.4">
      <c r="A154" s="283"/>
      <c r="B154" s="1787" t="s">
        <v>462</v>
      </c>
      <c r="C154" s="1787"/>
      <c r="D154" s="1787"/>
      <c r="E154" s="1369">
        <f>'Budget-Restricted MYP'!F154</f>
        <v>0</v>
      </c>
      <c r="F154" s="1524">
        <f>'1st Interim-Restricted MYP'!G154</f>
        <v>0</v>
      </c>
      <c r="G154" s="832">
        <v>0</v>
      </c>
      <c r="H154" s="832"/>
      <c r="I154" s="1365" t="str">
        <f>IF(E154=0,"",IF(H154=0,"",(H154-E154)/E154))</f>
        <v/>
      </c>
      <c r="J154" s="742"/>
      <c r="K154" s="1365" t="str">
        <f>IF(H154=0,"",IF(J154=0,"",(J154-H154)/H154))</f>
        <v/>
      </c>
      <c r="L154" s="722"/>
      <c r="M154" s="1303" t="str">
        <f>IF(J154=0,"",IF(L154=0,"",(L154-J154)/J154))</f>
        <v/>
      </c>
    </row>
    <row r="155" spans="1:14" ht="15.75" thickBot="1">
      <c r="A155" s="283"/>
      <c r="B155" s="145"/>
      <c r="C155" s="1685" t="s">
        <v>435</v>
      </c>
      <c r="D155" s="1790"/>
      <c r="E155" s="1304">
        <f>SUM(E152:E154)</f>
        <v>0</v>
      </c>
      <c r="F155" s="1304">
        <f>SUM(F152:F154)</f>
        <v>0</v>
      </c>
      <c r="G155" s="1304">
        <f>SUM(G152:G154)</f>
        <v>0</v>
      </c>
      <c r="H155" s="1304">
        <f>SUM(H152:H154)</f>
        <v>0</v>
      </c>
      <c r="I155" s="1366" t="str">
        <f>IF(E155=0,"",IF(H155=0,"",(H155-E155)/E155))</f>
        <v/>
      </c>
      <c r="J155" s="1304">
        <f>SUM(J152:J154)</f>
        <v>0</v>
      </c>
      <c r="K155" s="1366" t="str">
        <f>IF(H155=0,"",IF(J155=0,"",(J155-H155)/H155))</f>
        <v/>
      </c>
      <c r="L155" s="1382">
        <f>SUM(L152:L154)</f>
        <v>0</v>
      </c>
      <c r="M155" s="1290" t="str">
        <f>IF(J155=0,"",IF(L155=0,"",(L155-J155)/J155))</f>
        <v/>
      </c>
    </row>
    <row r="156" spans="1:14" ht="16.149999999999999" thickTop="1" thickBot="1">
      <c r="A156" s="284"/>
      <c r="B156" s="1788" t="s">
        <v>436</v>
      </c>
      <c r="C156" s="1788"/>
      <c r="D156" s="1788"/>
      <c r="E156" s="1525">
        <f>'Budget-Restricted MYP'!F156</f>
        <v>0</v>
      </c>
      <c r="F156" s="1526">
        <f>'1st Interim-Restricted MYP'!G156</f>
        <v>0</v>
      </c>
      <c r="G156" s="1606"/>
      <c r="H156" s="1218"/>
      <c r="I156" s="1367" t="str">
        <f>IF(E156=0,"",IF(H156=0,"",(H156-E156)/E156))</f>
        <v/>
      </c>
      <c r="J156" s="1219"/>
      <c r="K156" s="1367" t="str">
        <f>IF(H156=0,"",IF(J156=0,"",(J156-H156)/H156))</f>
        <v/>
      </c>
      <c r="L156" s="1218"/>
      <c r="M156" s="1305" t="str">
        <f>IF(J156=0,"",IF(L156=0,"",(L156-J156)/J156))</f>
        <v/>
      </c>
    </row>
    <row r="157" spans="1:14" ht="15.4">
      <c r="A157" s="2"/>
      <c r="B157" s="2"/>
      <c r="C157" s="2"/>
      <c r="D157" s="2"/>
      <c r="E157" s="2"/>
      <c r="F157" s="2"/>
      <c r="G157" s="32"/>
      <c r="H157" s="32"/>
      <c r="I157" s="2"/>
      <c r="J157" s="32"/>
      <c r="K157" s="2"/>
      <c r="L157" s="32"/>
      <c r="M157" s="2"/>
    </row>
    <row r="158" spans="1:14" ht="15.4">
      <c r="A158" s="2"/>
      <c r="B158" s="2"/>
      <c r="C158" s="2"/>
      <c r="D158" s="2"/>
      <c r="E158" s="2"/>
      <c r="F158" s="2"/>
      <c r="G158" s="32"/>
      <c r="H158" s="32"/>
      <c r="I158" s="2"/>
      <c r="J158" s="32"/>
      <c r="K158" s="2"/>
      <c r="L158" s="32"/>
      <c r="M158" s="2"/>
    </row>
    <row r="159" spans="1:14" ht="15.4">
      <c r="A159" s="2"/>
      <c r="B159" s="2"/>
      <c r="C159" s="2"/>
      <c r="D159" s="2"/>
      <c r="E159" s="2"/>
      <c r="F159" s="2"/>
      <c r="G159" s="32"/>
      <c r="H159" s="32"/>
      <c r="I159" s="2"/>
      <c r="J159" s="32"/>
      <c r="K159" s="2"/>
      <c r="L159" s="32"/>
      <c r="M159" s="2"/>
    </row>
    <row r="160" spans="1:14" ht="15.4">
      <c r="A160" s="2"/>
      <c r="B160" s="2"/>
      <c r="C160" s="2"/>
      <c r="D160" s="2"/>
      <c r="E160" s="2"/>
      <c r="F160" s="2"/>
      <c r="G160" s="32"/>
      <c r="H160" s="32"/>
      <c r="I160" s="2"/>
      <c r="J160" s="32"/>
      <c r="K160" s="2"/>
      <c r="L160" s="32"/>
      <c r="M160" s="2"/>
    </row>
    <row r="161" spans="1:13" ht="15.4">
      <c r="A161" s="2"/>
      <c r="B161" s="2"/>
      <c r="C161" s="2"/>
      <c r="D161" s="2"/>
      <c r="E161" s="2"/>
      <c r="F161" s="2"/>
      <c r="G161" s="32"/>
      <c r="H161" s="32"/>
      <c r="I161" s="2"/>
      <c r="J161" s="32"/>
      <c r="K161" s="2"/>
      <c r="L161" s="32"/>
      <c r="M161" s="2"/>
    </row>
    <row r="162" spans="1:13" ht="15.4">
      <c r="A162" s="2"/>
      <c r="B162" s="2"/>
      <c r="C162" s="2"/>
      <c r="D162" s="2"/>
      <c r="E162" s="2"/>
      <c r="F162" s="2"/>
      <c r="G162" s="32"/>
      <c r="H162" s="32"/>
      <c r="I162" s="2"/>
      <c r="J162" s="32"/>
      <c r="K162" s="2"/>
      <c r="L162" s="32"/>
      <c r="M162" s="2"/>
    </row>
    <row r="163" spans="1:13" ht="15.4">
      <c r="A163" s="2"/>
      <c r="B163" s="2"/>
      <c r="C163" s="2"/>
      <c r="D163" s="2"/>
      <c r="E163" s="2"/>
      <c r="F163" s="2"/>
      <c r="G163" s="32"/>
      <c r="H163" s="32"/>
      <c r="I163" s="2"/>
      <c r="J163" s="32"/>
      <c r="K163" s="2"/>
      <c r="L163" s="32"/>
      <c r="M163" s="2"/>
    </row>
    <row r="164" spans="1:13" ht="15.4">
      <c r="A164" s="2"/>
      <c r="B164" s="2"/>
      <c r="C164" s="2"/>
      <c r="D164" s="2"/>
      <c r="E164" s="2"/>
      <c r="F164" s="2"/>
      <c r="G164" s="32"/>
      <c r="H164" s="32"/>
      <c r="I164" s="2"/>
      <c r="J164" s="32"/>
      <c r="K164" s="2"/>
      <c r="L164" s="32"/>
      <c r="M164" s="2"/>
    </row>
    <row r="165" spans="1:13" ht="15.4">
      <c r="A165" s="2"/>
      <c r="B165" s="2"/>
      <c r="C165" s="2"/>
      <c r="D165" s="2"/>
      <c r="E165" s="2"/>
      <c r="F165" s="2"/>
      <c r="G165" s="32"/>
      <c r="H165" s="32"/>
      <c r="I165" s="2"/>
      <c r="J165" s="32"/>
      <c r="K165" s="2"/>
      <c r="L165" s="32"/>
      <c r="M165" s="2"/>
    </row>
    <row r="166" spans="1:13" ht="15.4">
      <c r="A166" s="2"/>
      <c r="B166" s="2"/>
      <c r="C166" s="2"/>
      <c r="D166" s="2"/>
      <c r="E166" s="2"/>
      <c r="F166" s="2"/>
      <c r="G166" s="32"/>
      <c r="H166" s="32"/>
      <c r="I166" s="2"/>
      <c r="J166" s="32"/>
      <c r="K166" s="2"/>
      <c r="L166" s="32"/>
      <c r="M166" s="2"/>
    </row>
    <row r="167" spans="1:13" ht="15.4">
      <c r="A167" s="2"/>
      <c r="B167" s="2"/>
      <c r="C167" s="2"/>
      <c r="D167" s="2"/>
      <c r="E167" s="2"/>
      <c r="F167" s="2"/>
      <c r="G167" s="32"/>
      <c r="H167" s="32"/>
      <c r="I167" s="2"/>
      <c r="J167" s="32"/>
      <c r="K167" s="2"/>
      <c r="L167" s="32"/>
      <c r="M167" s="2"/>
    </row>
    <row r="168" spans="1:13" ht="15.4">
      <c r="A168" s="2"/>
      <c r="B168" s="2"/>
      <c r="C168" s="2"/>
      <c r="D168" s="2"/>
      <c r="E168" s="2"/>
      <c r="F168" s="2"/>
      <c r="G168" s="32"/>
      <c r="H168" s="32"/>
      <c r="I168" s="2"/>
      <c r="J168" s="32"/>
      <c r="K168" s="2"/>
      <c r="L168" s="32"/>
      <c r="M168" s="2"/>
    </row>
    <row r="169" spans="1:13" ht="15.4">
      <c r="A169" s="2"/>
      <c r="B169" s="2"/>
      <c r="C169" s="2"/>
      <c r="D169" s="2"/>
      <c r="E169" s="2"/>
      <c r="F169" s="2"/>
      <c r="G169" s="32"/>
      <c r="H169" s="32"/>
      <c r="I169" s="2"/>
      <c r="J169" s="32"/>
      <c r="K169" s="2"/>
      <c r="L169" s="32"/>
      <c r="M169" s="2"/>
    </row>
    <row r="170" spans="1:13" ht="15.4">
      <c r="A170" s="2"/>
      <c r="B170" s="2"/>
      <c r="C170" s="2"/>
      <c r="D170" s="2"/>
      <c r="E170" s="2"/>
      <c r="F170" s="2"/>
      <c r="G170" s="32"/>
      <c r="H170" s="32"/>
      <c r="I170" s="2"/>
      <c r="J170" s="32"/>
      <c r="K170" s="2"/>
      <c r="L170" s="32"/>
      <c r="M170" s="2"/>
    </row>
    <row r="171" spans="1:13" ht="15.4">
      <c r="A171" s="2"/>
      <c r="B171" s="2"/>
      <c r="C171" s="2"/>
      <c r="D171" s="2"/>
      <c r="E171" s="2"/>
      <c r="F171" s="2"/>
      <c r="G171" s="32"/>
      <c r="H171" s="32"/>
      <c r="I171" s="2"/>
      <c r="J171" s="32"/>
      <c r="K171" s="2"/>
      <c r="L171" s="32"/>
      <c r="M171" s="2"/>
    </row>
    <row r="172" spans="1:13" ht="15.4">
      <c r="A172" s="2"/>
      <c r="B172" s="2"/>
      <c r="C172" s="2"/>
      <c r="D172" s="2"/>
      <c r="E172" s="2"/>
      <c r="F172" s="2"/>
      <c r="G172" s="32"/>
      <c r="H172" s="32"/>
      <c r="I172" s="2"/>
      <c r="J172" s="32"/>
      <c r="K172" s="2"/>
      <c r="L172" s="32"/>
      <c r="M172" s="2"/>
    </row>
    <row r="173" spans="1:13" ht="15.4">
      <c r="A173" s="2"/>
      <c r="B173" s="2"/>
      <c r="C173" s="2"/>
      <c r="D173" s="2"/>
      <c r="E173" s="2"/>
      <c r="F173" s="2"/>
      <c r="G173" s="32"/>
      <c r="H173" s="32"/>
      <c r="I173" s="2"/>
      <c r="J173" s="32"/>
      <c r="K173" s="2"/>
      <c r="L173" s="32"/>
      <c r="M173" s="2"/>
    </row>
    <row r="174" spans="1:13" ht="15.4">
      <c r="A174" s="2"/>
      <c r="B174" s="2"/>
      <c r="C174" s="2"/>
      <c r="D174" s="2"/>
      <c r="E174" s="2"/>
      <c r="F174" s="2"/>
      <c r="G174" s="32"/>
      <c r="H174" s="32"/>
      <c r="I174" s="2"/>
      <c r="J174" s="32"/>
      <c r="K174" s="2"/>
      <c r="L174" s="32"/>
      <c r="M174" s="2"/>
    </row>
    <row r="175" spans="1:13" ht="15.4">
      <c r="A175" s="2"/>
      <c r="B175" s="2"/>
      <c r="C175" s="2"/>
      <c r="D175" s="2"/>
      <c r="E175" s="2"/>
      <c r="F175" s="2"/>
      <c r="G175" s="32"/>
      <c r="H175" s="32"/>
      <c r="I175" s="2"/>
      <c r="J175" s="32"/>
      <c r="K175" s="2"/>
      <c r="L175" s="32"/>
      <c r="M175" s="2"/>
    </row>
    <row r="176" spans="1:13" ht="15.4">
      <c r="A176" s="2"/>
      <c r="B176" s="2"/>
      <c r="C176" s="2"/>
      <c r="D176" s="2"/>
      <c r="E176" s="2"/>
      <c r="F176" s="2"/>
      <c r="G176" s="32"/>
      <c r="H176" s="32"/>
      <c r="I176" s="2"/>
      <c r="J176" s="32"/>
      <c r="K176" s="2"/>
      <c r="L176" s="32"/>
      <c r="M176" s="2"/>
    </row>
    <row r="177" spans="1:13" ht="15.4">
      <c r="A177" s="2"/>
      <c r="B177" s="2"/>
      <c r="C177" s="2"/>
      <c r="D177" s="2"/>
      <c r="E177" s="2"/>
      <c r="F177" s="2"/>
      <c r="G177" s="32"/>
      <c r="H177" s="32"/>
      <c r="I177" s="2"/>
      <c r="J177" s="32"/>
      <c r="K177" s="2"/>
      <c r="L177" s="32"/>
      <c r="M177" s="2"/>
    </row>
    <row r="178" spans="1:13" ht="15.4">
      <c r="A178" s="2"/>
      <c r="B178" s="2"/>
      <c r="C178" s="2"/>
      <c r="D178" s="2"/>
      <c r="E178" s="2"/>
      <c r="F178" s="2"/>
      <c r="G178" s="32"/>
      <c r="H178" s="32"/>
      <c r="I178" s="2"/>
      <c r="J178" s="32"/>
      <c r="K178" s="2"/>
      <c r="L178" s="32"/>
      <c r="M178" s="2"/>
    </row>
    <row r="179" spans="1:13" ht="15.4">
      <c r="A179" s="2"/>
      <c r="B179" s="2"/>
      <c r="C179" s="2"/>
      <c r="D179" s="2"/>
      <c r="E179" s="2"/>
      <c r="F179" s="2"/>
      <c r="G179" s="32"/>
      <c r="H179" s="32"/>
      <c r="I179" s="2"/>
      <c r="J179" s="32"/>
      <c r="K179" s="2"/>
      <c r="L179" s="32"/>
      <c r="M179" s="2"/>
    </row>
    <row r="180" spans="1:13" ht="15.4">
      <c r="A180" s="2"/>
      <c r="B180" s="2"/>
      <c r="C180" s="2"/>
      <c r="D180" s="2"/>
      <c r="E180" s="2"/>
      <c r="F180" s="2"/>
      <c r="G180" s="32"/>
      <c r="H180" s="32"/>
      <c r="I180" s="2"/>
      <c r="J180" s="32"/>
      <c r="K180" s="2"/>
      <c r="L180" s="32"/>
      <c r="M180" s="2"/>
    </row>
    <row r="181" spans="1:13" ht="15.4">
      <c r="A181" s="2"/>
      <c r="B181" s="2"/>
      <c r="C181" s="2"/>
      <c r="D181" s="2"/>
      <c r="E181" s="2"/>
      <c r="F181" s="2"/>
      <c r="G181" s="32"/>
      <c r="H181" s="32"/>
      <c r="I181" s="2"/>
      <c r="J181" s="32"/>
      <c r="K181" s="2"/>
      <c r="L181" s="32"/>
      <c r="M181" s="2"/>
    </row>
    <row r="182" spans="1:13" ht="15.4">
      <c r="A182" s="2"/>
      <c r="B182" s="2"/>
      <c r="C182" s="2"/>
      <c r="D182" s="2"/>
      <c r="E182" s="2"/>
      <c r="F182" s="2"/>
      <c r="G182" s="32"/>
      <c r="H182" s="32"/>
      <c r="I182" s="2"/>
      <c r="J182" s="32"/>
      <c r="K182" s="2"/>
      <c r="L182" s="32"/>
      <c r="M182" s="2"/>
    </row>
    <row r="183" spans="1:13" ht="15.4">
      <c r="A183" s="2"/>
      <c r="B183" s="2"/>
      <c r="C183" s="2"/>
      <c r="D183" s="2"/>
      <c r="E183" s="2"/>
      <c r="F183" s="2"/>
      <c r="G183" s="32"/>
      <c r="H183" s="32"/>
      <c r="I183" s="2"/>
      <c r="J183" s="32"/>
      <c r="K183" s="2"/>
      <c r="L183" s="32"/>
      <c r="M183" s="2"/>
    </row>
    <row r="184" spans="1:13" ht="15.4">
      <c r="A184" s="2"/>
      <c r="B184" s="2"/>
      <c r="C184" s="2"/>
      <c r="D184" s="2"/>
      <c r="E184" s="2"/>
      <c r="F184" s="2"/>
      <c r="G184" s="32"/>
      <c r="H184" s="32"/>
      <c r="I184" s="2"/>
      <c r="J184" s="32"/>
      <c r="K184" s="2"/>
      <c r="L184" s="32"/>
      <c r="M184" s="2"/>
    </row>
    <row r="185" spans="1:13" ht="15.4">
      <c r="A185" s="2"/>
      <c r="B185" s="2"/>
      <c r="C185" s="2"/>
      <c r="D185" s="2"/>
      <c r="E185" s="2"/>
      <c r="F185" s="2"/>
      <c r="G185" s="32"/>
      <c r="H185" s="32"/>
      <c r="I185" s="2"/>
      <c r="J185" s="32"/>
      <c r="K185" s="2"/>
      <c r="L185" s="32"/>
      <c r="M185" s="2"/>
    </row>
    <row r="186" spans="1:13" ht="15.4">
      <c r="A186" s="2"/>
      <c r="B186" s="2"/>
      <c r="C186" s="2"/>
      <c r="D186" s="2"/>
      <c r="E186" s="2"/>
      <c r="F186" s="2"/>
      <c r="G186" s="32"/>
      <c r="H186" s="32"/>
      <c r="I186" s="2"/>
      <c r="J186" s="32"/>
      <c r="K186" s="2"/>
      <c r="L186" s="32"/>
      <c r="M186" s="2"/>
    </row>
    <row r="187" spans="1:13" ht="15.4">
      <c r="A187" s="2"/>
      <c r="B187" s="2"/>
      <c r="C187" s="2"/>
      <c r="D187" s="2"/>
      <c r="E187" s="2"/>
      <c r="F187" s="2"/>
      <c r="G187" s="32"/>
      <c r="H187" s="32"/>
      <c r="I187" s="2"/>
      <c r="J187" s="32"/>
      <c r="K187" s="2"/>
      <c r="L187" s="32"/>
      <c r="M187" s="2"/>
    </row>
    <row r="188" spans="1:13" ht="15.4">
      <c r="A188" s="2"/>
      <c r="B188" s="2"/>
      <c r="C188" s="2"/>
      <c r="D188" s="2"/>
      <c r="E188" s="2"/>
      <c r="F188" s="2"/>
      <c r="G188" s="32"/>
      <c r="H188" s="32"/>
      <c r="I188" s="2"/>
      <c r="J188" s="32"/>
      <c r="K188" s="2"/>
      <c r="L188" s="32"/>
      <c r="M188" s="2"/>
    </row>
    <row r="189" spans="1:13" ht="15.4">
      <c r="A189" s="2"/>
      <c r="B189" s="2"/>
      <c r="C189" s="2"/>
      <c r="D189" s="2"/>
      <c r="E189" s="2"/>
      <c r="F189" s="2"/>
      <c r="G189" s="32"/>
      <c r="H189" s="32"/>
      <c r="I189" s="2"/>
      <c r="J189" s="32"/>
      <c r="K189" s="2"/>
      <c r="L189" s="32"/>
      <c r="M189" s="2"/>
    </row>
    <row r="190" spans="1:13" ht="15.4">
      <c r="A190" s="2"/>
      <c r="B190" s="2"/>
      <c r="C190" s="2"/>
      <c r="D190" s="2"/>
      <c r="E190" s="2"/>
      <c r="F190" s="2"/>
      <c r="G190" s="32"/>
      <c r="H190" s="32"/>
      <c r="I190" s="2"/>
      <c r="J190" s="32"/>
      <c r="K190" s="2"/>
      <c r="L190" s="32"/>
      <c r="M190" s="2"/>
    </row>
    <row r="191" spans="1:13" ht="15.4">
      <c r="A191" s="2"/>
      <c r="B191" s="2"/>
      <c r="C191" s="2"/>
      <c r="D191" s="2"/>
      <c r="E191" s="2"/>
      <c r="F191" s="2"/>
      <c r="G191" s="32"/>
      <c r="H191" s="32"/>
      <c r="I191" s="2"/>
      <c r="J191" s="32"/>
      <c r="K191" s="2"/>
      <c r="L191" s="32"/>
      <c r="M191" s="2"/>
    </row>
    <row r="192" spans="1:13" ht="15.4">
      <c r="A192" s="2"/>
      <c r="B192" s="2"/>
      <c r="C192" s="2"/>
      <c r="D192" s="2"/>
      <c r="E192" s="2"/>
      <c r="F192" s="2"/>
      <c r="G192" s="32"/>
      <c r="H192" s="32"/>
      <c r="I192" s="2"/>
      <c r="J192" s="32"/>
      <c r="K192" s="2"/>
      <c r="L192" s="32"/>
      <c r="M192" s="2"/>
    </row>
    <row r="193" spans="1:13" ht="15.4">
      <c r="A193" s="2"/>
      <c r="B193" s="2"/>
      <c r="C193" s="2"/>
      <c r="D193" s="2"/>
      <c r="E193" s="2"/>
      <c r="F193" s="2"/>
      <c r="G193" s="32"/>
      <c r="H193" s="32"/>
      <c r="I193" s="2"/>
      <c r="J193" s="32"/>
      <c r="K193" s="2"/>
      <c r="L193" s="32"/>
      <c r="M193" s="2"/>
    </row>
    <row r="194" spans="1:13" ht="15.4">
      <c r="A194" s="2"/>
      <c r="B194" s="2"/>
      <c r="C194" s="2"/>
      <c r="D194" s="2"/>
      <c r="E194" s="2"/>
      <c r="F194" s="2"/>
      <c r="G194" s="32"/>
      <c r="H194" s="32"/>
      <c r="I194" s="2"/>
      <c r="J194" s="32"/>
      <c r="K194" s="2"/>
      <c r="L194" s="32"/>
      <c r="M194" s="2"/>
    </row>
    <row r="195" spans="1:13" ht="15.4">
      <c r="A195" s="2"/>
      <c r="B195" s="2"/>
      <c r="C195" s="2"/>
      <c r="D195" s="2"/>
      <c r="E195" s="2"/>
      <c r="F195" s="2"/>
      <c r="G195" s="32"/>
      <c r="H195" s="32"/>
      <c r="I195" s="2"/>
      <c r="J195" s="32"/>
      <c r="K195" s="2"/>
      <c r="L195" s="32"/>
      <c r="M195" s="2"/>
    </row>
    <row r="196" spans="1:13" ht="15.4">
      <c r="A196" s="2"/>
      <c r="B196" s="2"/>
      <c r="C196" s="2"/>
      <c r="D196" s="2"/>
      <c r="E196" s="2"/>
      <c r="F196" s="2"/>
      <c r="G196" s="32"/>
      <c r="H196" s="32"/>
      <c r="I196" s="2"/>
      <c r="J196" s="32"/>
      <c r="K196" s="2"/>
      <c r="L196" s="32"/>
      <c r="M196" s="2"/>
    </row>
    <row r="197" spans="1:13" ht="15.4">
      <c r="A197" s="2"/>
      <c r="B197" s="2"/>
      <c r="C197" s="2"/>
      <c r="D197" s="2"/>
      <c r="E197" s="2"/>
      <c r="F197" s="2"/>
      <c r="G197" s="32"/>
      <c r="H197" s="32"/>
      <c r="I197" s="2"/>
      <c r="J197" s="32"/>
      <c r="K197" s="2"/>
      <c r="L197" s="32"/>
      <c r="M197" s="2"/>
    </row>
    <row r="198" spans="1:13" ht="15.4">
      <c r="A198" s="2"/>
      <c r="B198" s="2"/>
      <c r="C198" s="2"/>
      <c r="D198" s="2"/>
      <c r="E198" s="2"/>
      <c r="F198" s="2"/>
      <c r="G198" s="32"/>
      <c r="H198" s="32"/>
      <c r="I198" s="2"/>
      <c r="J198" s="32"/>
      <c r="K198" s="2"/>
      <c r="L198" s="32"/>
      <c r="M198" s="2"/>
    </row>
    <row r="199" spans="1:13" ht="15.4">
      <c r="A199" s="2"/>
      <c r="B199" s="2"/>
      <c r="C199" s="2"/>
      <c r="D199" s="2"/>
      <c r="E199" s="2"/>
      <c r="F199" s="2"/>
      <c r="G199" s="32"/>
      <c r="H199" s="32"/>
      <c r="I199" s="2"/>
      <c r="J199" s="32"/>
      <c r="K199" s="2"/>
      <c r="L199" s="32"/>
      <c r="M199" s="2"/>
    </row>
    <row r="200" spans="1:13" ht="15.4">
      <c r="A200" s="2"/>
      <c r="B200" s="2"/>
      <c r="C200" s="2"/>
      <c r="D200" s="2"/>
      <c r="E200" s="2"/>
      <c r="F200" s="2"/>
      <c r="G200" s="32"/>
      <c r="H200" s="32"/>
      <c r="I200" s="2"/>
      <c r="J200" s="32"/>
      <c r="K200" s="2"/>
      <c r="L200" s="32"/>
      <c r="M200" s="2"/>
    </row>
    <row r="201" spans="1:13" ht="15.4">
      <c r="A201" s="2"/>
      <c r="B201" s="2"/>
      <c r="C201" s="2"/>
      <c r="D201" s="2"/>
      <c r="E201" s="2"/>
      <c r="F201" s="2"/>
      <c r="G201" s="32"/>
      <c r="H201" s="32"/>
      <c r="I201" s="2"/>
      <c r="J201" s="32"/>
      <c r="K201" s="2"/>
      <c r="L201" s="32"/>
      <c r="M201" s="2"/>
    </row>
    <row r="202" spans="1:13" ht="15.4">
      <c r="A202" s="2"/>
      <c r="B202" s="2"/>
      <c r="C202" s="2"/>
      <c r="D202" s="2"/>
      <c r="E202" s="2"/>
      <c r="F202" s="2"/>
      <c r="G202" s="32"/>
      <c r="H202" s="32"/>
      <c r="I202" s="2"/>
      <c r="J202" s="32"/>
      <c r="K202" s="2"/>
      <c r="L202" s="32"/>
      <c r="M202" s="2"/>
    </row>
    <row r="203" spans="1:13" ht="15.4">
      <c r="A203" s="2"/>
      <c r="B203" s="2"/>
      <c r="C203" s="2"/>
      <c r="D203" s="2"/>
      <c r="E203" s="2"/>
      <c r="F203" s="2"/>
      <c r="G203" s="32"/>
      <c r="H203" s="32"/>
      <c r="I203" s="2"/>
      <c r="J203" s="32"/>
      <c r="K203" s="2"/>
      <c r="L203" s="32"/>
      <c r="M203" s="2"/>
    </row>
    <row r="204" spans="1:13" ht="15.4">
      <c r="A204" s="2"/>
      <c r="B204" s="2"/>
      <c r="C204" s="2"/>
      <c r="D204" s="2"/>
      <c r="E204" s="2"/>
      <c r="F204" s="2"/>
      <c r="G204" s="32"/>
      <c r="H204" s="32"/>
      <c r="I204" s="2"/>
      <c r="J204" s="32"/>
      <c r="K204" s="2"/>
      <c r="L204" s="32"/>
      <c r="M204" s="2"/>
    </row>
    <row r="205" spans="1:13" ht="15.4">
      <c r="A205" s="2"/>
      <c r="B205" s="2"/>
      <c r="C205" s="2"/>
      <c r="D205" s="2"/>
      <c r="E205" s="2"/>
      <c r="F205" s="2"/>
      <c r="G205" s="32"/>
      <c r="H205" s="32"/>
      <c r="I205" s="2"/>
      <c r="J205" s="32"/>
      <c r="K205" s="2"/>
      <c r="L205" s="32"/>
      <c r="M205" s="2"/>
    </row>
    <row r="206" spans="1:13" ht="15.4">
      <c r="A206" s="2"/>
      <c r="B206" s="2"/>
      <c r="C206" s="2"/>
      <c r="D206" s="2"/>
      <c r="E206" s="2"/>
      <c r="F206" s="2"/>
      <c r="G206" s="32"/>
      <c r="H206" s="32"/>
      <c r="I206" s="2"/>
      <c r="J206" s="32"/>
      <c r="K206" s="2"/>
      <c r="L206" s="32"/>
      <c r="M206" s="2"/>
    </row>
    <row r="207" spans="1:13" ht="15.4">
      <c r="A207" s="2"/>
      <c r="B207" s="2"/>
      <c r="C207" s="2"/>
      <c r="D207" s="2"/>
      <c r="E207" s="2"/>
      <c r="F207" s="2"/>
      <c r="G207" s="32"/>
      <c r="H207" s="32"/>
      <c r="I207" s="2"/>
      <c r="J207" s="32"/>
      <c r="K207" s="2"/>
      <c r="L207" s="32"/>
      <c r="M207" s="2"/>
    </row>
    <row r="208" spans="1:13" ht="15.4">
      <c r="A208" s="2"/>
      <c r="B208" s="2"/>
      <c r="C208" s="2"/>
      <c r="D208" s="2"/>
      <c r="E208" s="2"/>
      <c r="F208" s="2"/>
      <c r="G208" s="32"/>
      <c r="H208" s="32"/>
      <c r="I208" s="2"/>
      <c r="J208" s="32"/>
      <c r="K208" s="2"/>
      <c r="L208" s="32"/>
      <c r="M208" s="2"/>
    </row>
    <row r="209" spans="1:13" ht="15.4">
      <c r="A209" s="2"/>
      <c r="B209" s="2"/>
      <c r="C209" s="2"/>
      <c r="D209" s="2"/>
      <c r="E209" s="2"/>
      <c r="F209" s="2"/>
      <c r="G209" s="32"/>
      <c r="H209" s="32"/>
      <c r="I209" s="2"/>
      <c r="J209" s="32"/>
      <c r="K209" s="2"/>
      <c r="L209" s="32"/>
      <c r="M209" s="2"/>
    </row>
    <row r="210" spans="1:13" ht="15.4">
      <c r="A210" s="2"/>
      <c r="B210" s="2"/>
      <c r="C210" s="2"/>
      <c r="D210" s="2"/>
      <c r="E210" s="2"/>
      <c r="F210" s="2"/>
      <c r="G210" s="32"/>
      <c r="H210" s="32"/>
      <c r="I210" s="2"/>
      <c r="J210" s="32"/>
      <c r="K210" s="2"/>
      <c r="L210" s="32"/>
      <c r="M210" s="2"/>
    </row>
    <row r="211" spans="1:13" ht="15.4">
      <c r="A211" s="2"/>
      <c r="B211" s="2"/>
      <c r="C211" s="2"/>
      <c r="D211" s="2"/>
      <c r="E211" s="2"/>
      <c r="F211" s="2"/>
      <c r="G211" s="32"/>
      <c r="H211" s="32"/>
      <c r="I211" s="2"/>
      <c r="J211" s="32"/>
      <c r="K211" s="2"/>
      <c r="L211" s="32"/>
      <c r="M211" s="2"/>
    </row>
    <row r="212" spans="1:13" ht="15.4">
      <c r="A212" s="2"/>
      <c r="B212" s="2"/>
      <c r="C212" s="2"/>
      <c r="D212" s="2"/>
      <c r="E212" s="2"/>
      <c r="F212" s="2"/>
      <c r="G212" s="32"/>
      <c r="H212" s="32"/>
      <c r="I212" s="2"/>
      <c r="J212" s="32"/>
      <c r="K212" s="2"/>
      <c r="L212" s="32"/>
      <c r="M212" s="2"/>
    </row>
    <row r="213" spans="1:13" ht="15.4">
      <c r="A213" s="2"/>
      <c r="B213" s="2"/>
      <c r="C213" s="2"/>
      <c r="D213" s="2"/>
      <c r="E213" s="2"/>
      <c r="F213" s="2"/>
      <c r="G213" s="32"/>
      <c r="H213" s="32"/>
      <c r="I213" s="2"/>
      <c r="J213" s="32"/>
      <c r="K213" s="2"/>
      <c r="L213" s="32"/>
      <c r="M213" s="2"/>
    </row>
    <row r="214" spans="1:13" ht="15.4">
      <c r="A214" s="2"/>
      <c r="B214" s="2"/>
      <c r="C214" s="2"/>
      <c r="D214" s="2"/>
      <c r="E214" s="2"/>
      <c r="F214" s="2"/>
      <c r="G214" s="32"/>
      <c r="H214" s="32"/>
      <c r="I214" s="2"/>
      <c r="J214" s="32"/>
      <c r="K214" s="2"/>
      <c r="L214" s="32"/>
      <c r="M214" s="2"/>
    </row>
    <row r="215" spans="1:13" ht="15.4">
      <c r="A215" s="2"/>
      <c r="B215" s="2"/>
      <c r="C215" s="2"/>
      <c r="D215" s="2"/>
      <c r="E215" s="2"/>
      <c r="F215" s="2"/>
      <c r="G215" s="32"/>
      <c r="H215" s="32"/>
      <c r="I215" s="2"/>
      <c r="J215" s="32"/>
      <c r="K215" s="2"/>
      <c r="L215" s="32"/>
      <c r="M215" s="2"/>
    </row>
    <row r="216" spans="1:13" ht="15.4">
      <c r="A216" s="2"/>
      <c r="B216" s="2"/>
      <c r="C216" s="2"/>
      <c r="D216" s="2"/>
      <c r="E216" s="2"/>
      <c r="F216" s="2"/>
      <c r="G216" s="32"/>
      <c r="H216" s="32"/>
      <c r="I216" s="2"/>
      <c r="J216" s="32"/>
      <c r="K216" s="2"/>
      <c r="L216" s="32"/>
      <c r="M216" s="2"/>
    </row>
    <row r="217" spans="1:13" ht="15.4">
      <c r="A217" s="2"/>
      <c r="B217" s="2"/>
      <c r="C217" s="2"/>
      <c r="D217" s="2"/>
      <c r="E217" s="2"/>
      <c r="F217" s="2"/>
      <c r="G217" s="32"/>
      <c r="H217" s="32"/>
      <c r="I217" s="2"/>
      <c r="J217" s="32"/>
      <c r="K217" s="2"/>
      <c r="L217" s="32"/>
      <c r="M217" s="2"/>
    </row>
    <row r="218" spans="1:13" ht="15.4">
      <c r="A218" s="2"/>
      <c r="B218" s="2"/>
      <c r="C218" s="2"/>
      <c r="D218" s="2"/>
      <c r="E218" s="2"/>
      <c r="F218" s="2"/>
      <c r="G218" s="32"/>
      <c r="H218" s="32"/>
      <c r="I218" s="2"/>
      <c r="J218" s="32"/>
      <c r="K218" s="2"/>
      <c r="L218" s="32"/>
      <c r="M218" s="2"/>
    </row>
    <row r="219" spans="1:13" ht="15.4">
      <c r="A219" s="2"/>
      <c r="B219" s="2"/>
      <c r="C219" s="2"/>
      <c r="D219" s="2"/>
      <c r="E219" s="2"/>
      <c r="F219" s="2"/>
      <c r="G219" s="32"/>
      <c r="H219" s="32"/>
      <c r="I219" s="2"/>
      <c r="J219" s="32"/>
      <c r="K219" s="2"/>
      <c r="L219" s="32"/>
      <c r="M219" s="2"/>
    </row>
    <row r="220" spans="1:13" ht="15.4">
      <c r="A220" s="2"/>
      <c r="B220" s="2"/>
      <c r="C220" s="2"/>
      <c r="D220" s="2"/>
      <c r="E220" s="2"/>
      <c r="F220" s="2"/>
      <c r="G220" s="32"/>
      <c r="H220" s="32"/>
      <c r="I220" s="2"/>
      <c r="J220" s="32"/>
      <c r="K220" s="2"/>
      <c r="L220" s="32"/>
      <c r="M220" s="2"/>
    </row>
    <row r="221" spans="1:13" ht="15.4">
      <c r="A221" s="2"/>
      <c r="B221" s="2"/>
      <c r="C221" s="2"/>
      <c r="D221" s="2"/>
      <c r="E221" s="2"/>
      <c r="F221" s="2"/>
      <c r="G221" s="32"/>
      <c r="H221" s="32"/>
      <c r="I221" s="2"/>
      <c r="J221" s="32"/>
      <c r="K221" s="2"/>
      <c r="L221" s="32"/>
      <c r="M221" s="2"/>
    </row>
    <row r="222" spans="1:13" ht="15.4">
      <c r="A222" s="2"/>
      <c r="B222" s="2"/>
      <c r="C222" s="2"/>
      <c r="D222" s="2"/>
      <c r="E222" s="2"/>
      <c r="F222" s="2"/>
      <c r="G222" s="32"/>
      <c r="H222" s="32"/>
      <c r="I222" s="2"/>
      <c r="J222" s="32"/>
      <c r="K222" s="2"/>
      <c r="L222" s="32"/>
      <c r="M222" s="2"/>
    </row>
    <row r="223" spans="1:13" ht="15.4">
      <c r="A223" s="2"/>
      <c r="B223" s="2"/>
      <c r="C223" s="2"/>
      <c r="D223" s="2"/>
      <c r="E223" s="2"/>
      <c r="F223" s="2"/>
      <c r="G223" s="32"/>
      <c r="H223" s="32"/>
      <c r="I223" s="2"/>
      <c r="J223" s="32"/>
      <c r="K223" s="2"/>
      <c r="L223" s="32"/>
      <c r="M223" s="2"/>
    </row>
    <row r="224" spans="1:13" ht="15.4">
      <c r="A224" s="2"/>
      <c r="B224" s="2"/>
      <c r="C224" s="2"/>
      <c r="D224" s="2"/>
      <c r="E224" s="2"/>
      <c r="F224" s="2"/>
      <c r="G224" s="32"/>
      <c r="H224" s="32"/>
      <c r="I224" s="2"/>
      <c r="J224" s="32"/>
      <c r="K224" s="2"/>
      <c r="L224" s="32"/>
      <c r="M224" s="2"/>
    </row>
    <row r="225" spans="1:13" ht="15.4">
      <c r="A225" s="2"/>
      <c r="B225" s="2"/>
      <c r="C225" s="2"/>
      <c r="D225" s="2"/>
      <c r="E225" s="2"/>
      <c r="F225" s="2"/>
      <c r="G225" s="32"/>
      <c r="H225" s="32"/>
      <c r="I225" s="2"/>
      <c r="J225" s="32"/>
      <c r="K225" s="2"/>
      <c r="L225" s="32"/>
      <c r="M225" s="2"/>
    </row>
    <row r="226" spans="1:13" ht="15.4">
      <c r="A226" s="2"/>
      <c r="B226" s="2"/>
      <c r="C226" s="2"/>
      <c r="D226" s="2"/>
      <c r="E226" s="2"/>
      <c r="F226" s="2"/>
      <c r="G226" s="32"/>
      <c r="H226" s="32"/>
      <c r="I226" s="2"/>
      <c r="J226" s="32"/>
      <c r="K226" s="2"/>
      <c r="L226" s="32"/>
      <c r="M226" s="2"/>
    </row>
    <row r="227" spans="1:13" ht="15.4">
      <c r="A227" s="2"/>
      <c r="B227" s="2"/>
      <c r="C227" s="2"/>
      <c r="D227" s="2"/>
      <c r="E227" s="2"/>
      <c r="F227" s="2"/>
      <c r="G227" s="32"/>
      <c r="H227" s="32"/>
      <c r="I227" s="2"/>
      <c r="J227" s="32"/>
      <c r="K227" s="2"/>
      <c r="L227" s="32"/>
      <c r="M227" s="2"/>
    </row>
    <row r="228" spans="1:13" ht="15.4">
      <c r="A228" s="2"/>
      <c r="B228" s="2"/>
      <c r="C228" s="2"/>
      <c r="D228" s="2"/>
      <c r="E228" s="2"/>
      <c r="F228" s="2"/>
      <c r="G228" s="32"/>
      <c r="H228" s="32"/>
      <c r="I228" s="2"/>
      <c r="J228" s="32"/>
      <c r="K228" s="2"/>
      <c r="L228" s="32"/>
      <c r="M228" s="2"/>
    </row>
    <row r="229" spans="1:13" ht="15.4">
      <c r="A229" s="2"/>
      <c r="B229" s="2"/>
      <c r="C229" s="2"/>
      <c r="D229" s="2"/>
      <c r="E229" s="2"/>
      <c r="F229" s="2"/>
      <c r="G229" s="32"/>
      <c r="H229" s="32"/>
      <c r="I229" s="2"/>
      <c r="J229" s="32"/>
      <c r="K229" s="2"/>
      <c r="L229" s="32"/>
      <c r="M229" s="2"/>
    </row>
    <row r="230" spans="1:13" ht="15.4">
      <c r="A230" s="2"/>
      <c r="B230" s="2"/>
      <c r="C230" s="2"/>
      <c r="D230" s="2"/>
      <c r="E230" s="2"/>
      <c r="F230" s="2"/>
      <c r="G230" s="32"/>
      <c r="H230" s="32"/>
      <c r="I230" s="2"/>
      <c r="J230" s="32"/>
      <c r="K230" s="2"/>
      <c r="L230" s="32"/>
      <c r="M230" s="2"/>
    </row>
    <row r="231" spans="1:13" ht="15.4">
      <c r="A231" s="2"/>
      <c r="B231" s="2"/>
      <c r="C231" s="2"/>
      <c r="D231" s="2"/>
      <c r="E231" s="2"/>
      <c r="F231" s="2"/>
      <c r="G231" s="32"/>
      <c r="H231" s="32"/>
      <c r="I231" s="2"/>
      <c r="J231" s="32"/>
      <c r="K231" s="2"/>
      <c r="L231" s="32"/>
      <c r="M231" s="2"/>
    </row>
    <row r="232" spans="1:13" ht="15.4">
      <c r="A232" s="2"/>
      <c r="B232" s="2"/>
      <c r="C232" s="2"/>
      <c r="D232" s="2"/>
      <c r="E232" s="2"/>
      <c r="F232" s="2"/>
      <c r="G232" s="32"/>
      <c r="H232" s="32"/>
      <c r="I232" s="2"/>
      <c r="J232" s="32"/>
      <c r="K232" s="2"/>
      <c r="L232" s="32"/>
      <c r="M232" s="2"/>
    </row>
    <row r="233" spans="1:13" ht="15.4">
      <c r="A233" s="2"/>
      <c r="B233" s="2"/>
      <c r="C233" s="2"/>
      <c r="D233" s="2"/>
      <c r="E233" s="2"/>
      <c r="F233" s="2"/>
      <c r="G233" s="32"/>
      <c r="H233" s="32"/>
      <c r="I233" s="2"/>
      <c r="J233" s="32"/>
      <c r="K233" s="2"/>
      <c r="L233" s="32"/>
      <c r="M233" s="2"/>
    </row>
    <row r="234" spans="1:13" ht="15.4">
      <c r="A234" s="2"/>
      <c r="B234" s="2"/>
      <c r="C234" s="2"/>
      <c r="D234" s="2"/>
      <c r="E234" s="2"/>
      <c r="F234" s="2"/>
      <c r="G234" s="32"/>
      <c r="H234" s="32"/>
      <c r="I234" s="2"/>
      <c r="J234" s="32"/>
      <c r="K234" s="2"/>
      <c r="L234" s="32"/>
      <c r="M234" s="2"/>
    </row>
    <row r="235" spans="1:13" ht="15.4">
      <c r="A235" s="2"/>
      <c r="B235" s="2"/>
      <c r="C235" s="2"/>
      <c r="D235" s="2"/>
      <c r="E235" s="2"/>
      <c r="F235" s="2"/>
      <c r="G235" s="32"/>
      <c r="H235" s="32"/>
      <c r="I235" s="2"/>
      <c r="J235" s="32"/>
      <c r="K235" s="2"/>
      <c r="L235" s="32"/>
      <c r="M235" s="2"/>
    </row>
    <row r="236" spans="1:13" ht="15.4">
      <c r="A236" s="2"/>
      <c r="B236" s="2"/>
      <c r="C236" s="2"/>
      <c r="D236" s="2"/>
      <c r="E236" s="2"/>
      <c r="F236" s="2"/>
      <c r="G236" s="32"/>
      <c r="H236" s="32"/>
      <c r="I236" s="2"/>
      <c r="J236" s="32"/>
      <c r="K236" s="2"/>
      <c r="L236" s="32"/>
      <c r="M236" s="2"/>
    </row>
    <row r="237" spans="1:13" ht="15.4">
      <c r="A237" s="2"/>
      <c r="B237" s="2"/>
      <c r="C237" s="2"/>
      <c r="D237" s="2"/>
      <c r="E237" s="2"/>
      <c r="F237" s="2"/>
      <c r="G237" s="32"/>
      <c r="H237" s="32"/>
      <c r="I237" s="2"/>
      <c r="J237" s="32"/>
      <c r="K237" s="2"/>
      <c r="L237" s="32"/>
      <c r="M237" s="2"/>
    </row>
    <row r="238" spans="1:13" ht="15.4">
      <c r="A238" s="2"/>
      <c r="B238" s="2"/>
      <c r="C238" s="2"/>
      <c r="D238" s="2"/>
      <c r="E238" s="2"/>
      <c r="F238" s="2"/>
      <c r="G238" s="32"/>
      <c r="H238" s="32"/>
      <c r="I238" s="2"/>
      <c r="J238" s="32"/>
      <c r="K238" s="2"/>
      <c r="L238" s="32"/>
      <c r="M238" s="2"/>
    </row>
    <row r="239" spans="1:13" ht="15.4">
      <c r="A239" s="2"/>
      <c r="B239" s="2"/>
      <c r="C239" s="2"/>
      <c r="D239" s="2"/>
      <c r="E239" s="2"/>
      <c r="F239" s="2"/>
      <c r="G239" s="32"/>
      <c r="H239" s="32"/>
      <c r="I239" s="2"/>
      <c r="J239" s="32"/>
      <c r="K239" s="2"/>
      <c r="L239" s="32"/>
      <c r="M239" s="2"/>
    </row>
    <row r="240" spans="1:13" ht="15.4">
      <c r="A240" s="2"/>
      <c r="B240" s="2"/>
      <c r="C240" s="2"/>
      <c r="D240" s="2"/>
      <c r="E240" s="2"/>
      <c r="F240" s="2"/>
      <c r="G240" s="32"/>
      <c r="H240" s="32"/>
      <c r="I240" s="2"/>
      <c r="J240" s="32"/>
      <c r="K240" s="2"/>
      <c r="L240" s="32"/>
      <c r="M240" s="2"/>
    </row>
    <row r="241" spans="1:13" ht="15.4">
      <c r="A241" s="2"/>
      <c r="B241" s="2"/>
      <c r="C241" s="2"/>
      <c r="D241" s="2"/>
      <c r="E241" s="2"/>
      <c r="F241" s="2"/>
      <c r="G241" s="32"/>
      <c r="H241" s="32"/>
      <c r="I241" s="2"/>
      <c r="J241" s="32"/>
      <c r="K241" s="2"/>
      <c r="L241" s="32"/>
      <c r="M241" s="2"/>
    </row>
    <row r="242" spans="1:13" ht="15.4">
      <c r="A242" s="2"/>
      <c r="B242" s="2"/>
      <c r="C242" s="2"/>
      <c r="D242" s="2"/>
      <c r="E242" s="2"/>
      <c r="F242" s="2"/>
      <c r="G242" s="32"/>
      <c r="H242" s="32"/>
    </row>
    <row r="243" spans="1:13" ht="15.4">
      <c r="A243" s="2"/>
      <c r="B243" s="2"/>
      <c r="C243" s="2"/>
      <c r="D243" s="2"/>
      <c r="E243" s="2"/>
      <c r="F243" s="2"/>
      <c r="G243" s="32"/>
      <c r="H243" s="32"/>
    </row>
    <row r="244" spans="1:13" ht="15.4">
      <c r="A244" s="2"/>
      <c r="B244" s="2"/>
      <c r="C244" s="2"/>
      <c r="D244" s="2"/>
      <c r="E244" s="2"/>
      <c r="F244" s="2"/>
      <c r="G244" s="32"/>
      <c r="H244" s="32"/>
    </row>
    <row r="245" spans="1:13" ht="15.4">
      <c r="A245" s="2"/>
      <c r="B245" s="2"/>
      <c r="C245" s="2"/>
      <c r="D245" s="2"/>
      <c r="E245" s="2"/>
      <c r="F245" s="2"/>
      <c r="G245" s="32"/>
      <c r="H245" s="32"/>
    </row>
    <row r="246" spans="1:13" ht="15.4">
      <c r="A246" s="2"/>
      <c r="B246" s="2"/>
      <c r="C246" s="2"/>
      <c r="D246" s="2"/>
      <c r="E246" s="2"/>
      <c r="F246" s="2"/>
      <c r="G246" s="32"/>
      <c r="H246" s="32"/>
    </row>
    <row r="247" spans="1:13" ht="15.4">
      <c r="A247" s="2"/>
      <c r="B247" s="2"/>
      <c r="C247" s="2"/>
      <c r="D247" s="2"/>
      <c r="E247" s="2"/>
      <c r="F247" s="2"/>
      <c r="G247" s="32"/>
      <c r="H247" s="32"/>
    </row>
    <row r="248" spans="1:13" ht="15.4">
      <c r="A248" s="2"/>
      <c r="B248" s="2"/>
      <c r="C248" s="2"/>
      <c r="D248" s="2"/>
      <c r="E248" s="2"/>
      <c r="F248" s="2"/>
      <c r="G248" s="32"/>
      <c r="H248" s="32"/>
    </row>
    <row r="249" spans="1:13" ht="15.4">
      <c r="A249" s="2"/>
      <c r="B249" s="2"/>
      <c r="C249" s="2"/>
      <c r="D249" s="2"/>
      <c r="E249" s="2"/>
      <c r="F249" s="2"/>
      <c r="G249" s="32"/>
      <c r="H249" s="32"/>
    </row>
    <row r="250" spans="1:13" ht="15.4">
      <c r="A250" s="2"/>
      <c r="B250" s="2"/>
      <c r="C250" s="2"/>
      <c r="D250" s="2"/>
      <c r="E250" s="2"/>
      <c r="F250" s="2"/>
      <c r="G250" s="32"/>
      <c r="H250" s="32"/>
    </row>
    <row r="251" spans="1:13" ht="15.4">
      <c r="A251" s="2"/>
      <c r="B251" s="2"/>
      <c r="C251" s="2"/>
      <c r="D251" s="2"/>
      <c r="E251" s="2"/>
      <c r="F251" s="2"/>
      <c r="G251" s="32"/>
      <c r="H251" s="32"/>
    </row>
    <row r="252" spans="1:13" ht="15.4">
      <c r="A252" s="2"/>
      <c r="B252" s="2"/>
      <c r="C252" s="2"/>
      <c r="D252" s="2"/>
      <c r="E252" s="2"/>
      <c r="F252" s="2"/>
      <c r="G252" s="32"/>
      <c r="H252" s="32"/>
    </row>
    <row r="253" spans="1:13" ht="15.4">
      <c r="A253" s="2"/>
      <c r="B253" s="2"/>
      <c r="C253" s="2"/>
      <c r="D253" s="2"/>
      <c r="E253" s="2"/>
      <c r="F253" s="2"/>
      <c r="G253" s="32"/>
      <c r="H253" s="32"/>
    </row>
    <row r="254" spans="1:13" ht="15.4">
      <c r="A254" s="2"/>
      <c r="B254" s="2"/>
      <c r="C254" s="2"/>
      <c r="D254" s="2"/>
      <c r="E254" s="2"/>
      <c r="F254" s="2"/>
      <c r="G254" s="32"/>
      <c r="H254" s="32"/>
    </row>
    <row r="255" spans="1:13" ht="15.4">
      <c r="A255" s="2"/>
      <c r="B255" s="2"/>
      <c r="C255" s="2"/>
      <c r="D255" s="2"/>
      <c r="E255" s="2"/>
      <c r="F255" s="2"/>
      <c r="G255" s="32"/>
      <c r="H255" s="32"/>
    </row>
    <row r="256" spans="1:13" ht="15.4">
      <c r="A256" s="2"/>
      <c r="B256" s="2"/>
      <c r="C256" s="2"/>
      <c r="D256" s="2"/>
      <c r="E256" s="2"/>
      <c r="F256" s="2"/>
      <c r="G256" s="32"/>
      <c r="H256" s="32"/>
    </row>
    <row r="257" spans="1:8" ht="15.4">
      <c r="A257" s="2"/>
      <c r="B257" s="2"/>
      <c r="C257" s="2"/>
      <c r="D257" s="2"/>
      <c r="E257" s="2"/>
      <c r="F257" s="2"/>
      <c r="G257" s="32"/>
      <c r="H257" s="32"/>
    </row>
    <row r="258" spans="1:8" ht="15.4">
      <c r="A258" s="2"/>
      <c r="B258" s="2"/>
      <c r="C258" s="2"/>
      <c r="D258" s="2"/>
      <c r="E258" s="2"/>
      <c r="F258" s="2"/>
      <c r="G258" s="32"/>
      <c r="H258" s="32"/>
    </row>
    <row r="259" spans="1:8" ht="15.4">
      <c r="A259" s="2"/>
      <c r="B259" s="2"/>
      <c r="C259" s="2"/>
      <c r="D259" s="2"/>
      <c r="E259" s="2"/>
      <c r="F259" s="2"/>
      <c r="G259" s="32"/>
      <c r="H259" s="32"/>
    </row>
    <row r="260" spans="1:8" ht="15.4">
      <c r="A260" s="2"/>
      <c r="B260" s="2"/>
      <c r="C260" s="2"/>
      <c r="D260" s="2"/>
      <c r="E260" s="2"/>
      <c r="F260" s="2"/>
      <c r="G260" s="32"/>
      <c r="H260" s="32"/>
    </row>
    <row r="261" spans="1:8" ht="15.4">
      <c r="A261" s="2"/>
      <c r="B261" s="2"/>
      <c r="C261" s="2"/>
      <c r="D261" s="2"/>
      <c r="E261" s="2"/>
      <c r="F261" s="2"/>
      <c r="G261" s="32"/>
      <c r="H261" s="32"/>
    </row>
    <row r="262" spans="1:8" ht="15.4">
      <c r="A262" s="2"/>
      <c r="B262" s="2"/>
      <c r="C262" s="2"/>
      <c r="D262" s="2"/>
      <c r="E262" s="2"/>
      <c r="F262" s="2"/>
      <c r="G262" s="32"/>
      <c r="H262" s="32"/>
    </row>
    <row r="263" spans="1:8" ht="15.4">
      <c r="A263" s="2"/>
      <c r="B263" s="2"/>
      <c r="C263" s="2"/>
      <c r="D263" s="2"/>
      <c r="E263" s="2"/>
      <c r="F263" s="2"/>
      <c r="G263" s="32"/>
      <c r="H263" s="32"/>
    </row>
    <row r="264" spans="1:8" ht="15.4">
      <c r="A264" s="2"/>
      <c r="B264" s="2"/>
      <c r="C264" s="2"/>
      <c r="D264" s="2"/>
      <c r="E264" s="2"/>
      <c r="F264" s="2"/>
      <c r="G264" s="32"/>
      <c r="H264" s="32"/>
    </row>
    <row r="265" spans="1:8" ht="15.4">
      <c r="A265" s="2"/>
      <c r="B265" s="2"/>
      <c r="C265" s="2"/>
      <c r="D265" s="2"/>
      <c r="E265" s="2"/>
      <c r="F265" s="2"/>
      <c r="G265" s="32"/>
      <c r="H265" s="32"/>
    </row>
    <row r="266" spans="1:8" ht="15.4">
      <c r="A266" s="2"/>
      <c r="B266" s="2"/>
      <c r="C266" s="2"/>
      <c r="D266" s="2"/>
      <c r="E266" s="2"/>
      <c r="F266" s="2"/>
      <c r="G266" s="32"/>
      <c r="H266" s="32"/>
    </row>
    <row r="267" spans="1:8" ht="15.4">
      <c r="A267" s="2"/>
      <c r="B267" s="2"/>
      <c r="C267" s="2"/>
      <c r="D267" s="2"/>
      <c r="E267" s="2"/>
      <c r="F267" s="2"/>
      <c r="G267" s="32"/>
      <c r="H267" s="32"/>
    </row>
    <row r="268" spans="1:8" ht="15.4">
      <c r="A268" s="2"/>
      <c r="B268" s="2"/>
      <c r="C268" s="2"/>
      <c r="D268" s="2"/>
      <c r="E268" s="2"/>
      <c r="F268" s="2"/>
      <c r="G268" s="32"/>
      <c r="H268" s="32"/>
    </row>
    <row r="269" spans="1:8" ht="15.4">
      <c r="A269" s="2"/>
      <c r="B269" s="2"/>
      <c r="C269" s="2"/>
      <c r="D269" s="2"/>
      <c r="E269" s="2"/>
      <c r="F269" s="2"/>
      <c r="G269" s="32"/>
      <c r="H269" s="32"/>
    </row>
  </sheetData>
  <sheetProtection algorithmName="SHA-512" hashValue="EFXyv1b4bJL+zQdZYLCwLKf4FqF6nalQoxcgIGZqDZvKgFH1/bstNWgQrZ/fkKc6k057ixbLCfZR3w4Jn70A1Q==" saltValue="ZeMp7W2CR2AbmuyaXCFWWQ==" spinCount="100000" sheet="1" objects="1" scenarios="1"/>
  <mergeCells count="85">
    <mergeCell ref="E151:M151"/>
    <mergeCell ref="C87:D87"/>
    <mergeCell ref="C88:D88"/>
    <mergeCell ref="C89:D89"/>
    <mergeCell ref="C76:D76"/>
    <mergeCell ref="C77:D77"/>
    <mergeCell ref="C83:D83"/>
    <mergeCell ref="C84:D84"/>
    <mergeCell ref="C85:D85"/>
    <mergeCell ref="C86:D86"/>
    <mergeCell ref="C112:D112"/>
    <mergeCell ref="C103:D103"/>
    <mergeCell ref="C104:D104"/>
    <mergeCell ref="C105:D105"/>
    <mergeCell ref="C106:D106"/>
    <mergeCell ref="C107:D107"/>
    <mergeCell ref="C108:D108"/>
    <mergeCell ref="C109:D109"/>
    <mergeCell ref="C110:D110"/>
    <mergeCell ref="C111:D111"/>
    <mergeCell ref="C113:D113"/>
    <mergeCell ref="F39:J39"/>
    <mergeCell ref="F41:J41"/>
    <mergeCell ref="F42:J42"/>
    <mergeCell ref="A28:C28"/>
    <mergeCell ref="F11:J11"/>
    <mergeCell ref="F12:J12"/>
    <mergeCell ref="F27:J27"/>
    <mergeCell ref="F28:J28"/>
    <mergeCell ref="C102:D102"/>
    <mergeCell ref="F140:K140"/>
    <mergeCell ref="F48:J48"/>
    <mergeCell ref="F49:J49"/>
    <mergeCell ref="F59:J59"/>
    <mergeCell ref="B72:D72"/>
    <mergeCell ref="C130:D130"/>
    <mergeCell ref="C131:D131"/>
    <mergeCell ref="C129:D129"/>
    <mergeCell ref="C132:D132"/>
    <mergeCell ref="C133:D133"/>
    <mergeCell ref="C134:D134"/>
    <mergeCell ref="C139:D139"/>
    <mergeCell ref="C127:D127"/>
    <mergeCell ref="C128:D128"/>
    <mergeCell ref="F119:K119"/>
    <mergeCell ref="A1:C1"/>
    <mergeCell ref="A2:C2"/>
    <mergeCell ref="A3:C3"/>
    <mergeCell ref="A8:C8"/>
    <mergeCell ref="C138:D138"/>
    <mergeCell ref="C75:D75"/>
    <mergeCell ref="B90:D90"/>
    <mergeCell ref="C100:D100"/>
    <mergeCell ref="C101:D101"/>
    <mergeCell ref="C96:D96"/>
    <mergeCell ref="C97:D97"/>
    <mergeCell ref="C98:D98"/>
    <mergeCell ref="C99:D99"/>
    <mergeCell ref="C94:D94"/>
    <mergeCell ref="C95:D95"/>
    <mergeCell ref="C114:D114"/>
    <mergeCell ref="C120:D120"/>
    <mergeCell ref="C121:D121"/>
    <mergeCell ref="C124:D124"/>
    <mergeCell ref="C125:D125"/>
    <mergeCell ref="C126:D126"/>
    <mergeCell ref="C122:D122"/>
    <mergeCell ref="C123:D123"/>
    <mergeCell ref="C145:D145"/>
    <mergeCell ref="C146:D146"/>
    <mergeCell ref="C147:D147"/>
    <mergeCell ref="C135:D135"/>
    <mergeCell ref="C136:D136"/>
    <mergeCell ref="C137:D137"/>
    <mergeCell ref="C142:D142"/>
    <mergeCell ref="C143:D143"/>
    <mergeCell ref="C144:D144"/>
    <mergeCell ref="C141:D141"/>
    <mergeCell ref="C155:D155"/>
    <mergeCell ref="B156:D156"/>
    <mergeCell ref="B150:D150"/>
    <mergeCell ref="B151:D151"/>
    <mergeCell ref="B152:D152"/>
    <mergeCell ref="B153:D153"/>
    <mergeCell ref="B154:D154"/>
  </mergeCells>
  <conditionalFormatting sqref="A1:A3">
    <cfRule type="containsText" dxfId="35" priority="5" stopIfTrue="1" operator="containsText" text="Enter">
      <formula>NOT(ISERROR(SEARCH("Enter",A1)))</formula>
    </cfRule>
  </conditionalFormatting>
  <conditionalFormatting sqref="D2:D3">
    <cfRule type="containsText" dxfId="34" priority="6" stopIfTrue="1" operator="containsText" text="Enter">
      <formula>NOT(ISERROR(SEARCH("Enter",D2)))</formula>
    </cfRule>
  </conditionalFormatting>
  <conditionalFormatting sqref="E90">
    <cfRule type="containsText" dxfId="33" priority="3" stopIfTrue="1" operator="containsText" text="Total must equal amount in Cell E63 Above">
      <formula>NOT(ISERROR(SEARCH("Total must equal amount in Cell E63 Above",E90)))</formula>
    </cfRule>
  </conditionalFormatting>
  <conditionalFormatting sqref="F90">
    <cfRule type="containsText" dxfId="32" priority="2" operator="containsText" text="Total must equal amount in Cell">
      <formula>NOT(ISERROR(SEARCH("Total must equal amount in Cell",F90)))</formula>
    </cfRule>
  </conditionalFormatting>
  <conditionalFormatting sqref="H90 J90 L90">
    <cfRule type="containsText" dxfId="31" priority="1" operator="containsText" text="Total must equal amount in Cell">
      <formula>NOT(ISERROR(SEARCH("Total must equal amount in Cell",H90)))</formula>
    </cfRule>
  </conditionalFormatting>
  <printOptions horizontalCentered="1"/>
  <pageMargins left="0.25" right="0.25" top="0.75" bottom="0.75" header="0.3" footer="0.3"/>
  <pageSetup scale="52" orientation="landscape" horizontalDpi="200" verticalDpi="200" r:id="rId1"/>
  <headerFooter alignWithMargins="0">
    <oddHeader>&amp;RPage &amp;P of &amp;N</oddHeader>
    <oddFooter>Page &amp;P of &amp;N</oddFooter>
  </headerFooter>
  <rowBreaks count="3" manualBreakCount="3">
    <brk id="47" max="16383" man="1"/>
    <brk id="73" max="16383" man="1"/>
    <brk id="11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
    <tabColor theme="5"/>
    <pageSetUpPr fitToPage="1"/>
  </sheetPr>
  <dimension ref="A1:AM87"/>
  <sheetViews>
    <sheetView showGridLines="0" zoomScale="85" zoomScaleNormal="85" zoomScaleSheetLayoutView="75" workbookViewId="0">
      <pane xSplit="4" ySplit="10" topLeftCell="E11" activePane="bottomRight" state="frozen"/>
      <selection activeCell="J13" sqref="J13"/>
      <selection pane="topRight" activeCell="J13" sqref="J13"/>
      <selection pane="bottomLeft" activeCell="J13" sqref="J13"/>
      <selection pane="bottomRight" activeCell="E13" sqref="E13"/>
    </sheetView>
  </sheetViews>
  <sheetFormatPr defaultColWidth="10.33203125" defaultRowHeight="15.4"/>
  <cols>
    <col min="1" max="1" width="5.33203125" style="2" customWidth="1"/>
    <col min="2" max="2" width="5.1328125" style="2" customWidth="1"/>
    <col min="3" max="3" width="81" style="2" customWidth="1"/>
    <col min="4" max="4" width="10.33203125" style="2"/>
    <col min="5" max="8" width="14.53125" style="2" customWidth="1"/>
    <col min="9" max="9" width="10.53125" style="2" customWidth="1"/>
    <col min="10" max="10" width="14.53125" style="2" customWidth="1"/>
    <col min="11" max="11" width="10.53125" style="2" customWidth="1"/>
    <col min="12" max="12" width="14.53125" style="2" customWidth="1"/>
    <col min="13" max="13" width="10.53125" style="2" customWidth="1"/>
    <col min="14" max="14" width="3.33203125" style="2" customWidth="1"/>
    <col min="15" max="16384" width="10.33203125" style="2"/>
  </cols>
  <sheetData>
    <row r="1" spans="1:39">
      <c r="A1" s="1664" t="str">
        <f>IF('INTERIM-CERTIFICATION'!$M$1="","CHARTER NAME: Enter Charter Name on INTERIM-CERTIFICATION Worksheet",(CONCATENATE("CHARTER NAME: ",'INTERIM-CERTIFICATION'!$M$1)))</f>
        <v>CHARTER NAME: Encor Jr./Sr. High School for the Performing and Visual Arts</v>
      </c>
      <c r="B1" s="1664"/>
      <c r="C1" s="1664"/>
      <c r="D1" s="12"/>
      <c r="E1" s="12"/>
      <c r="F1" s="12"/>
      <c r="G1" s="12"/>
      <c r="H1" s="12"/>
      <c r="I1" s="156"/>
      <c r="J1" s="12"/>
      <c r="K1" s="155"/>
      <c r="L1" s="1"/>
      <c r="M1" s="157"/>
      <c r="N1" s="47"/>
      <c r="O1" s="1180"/>
      <c r="P1" s="1180"/>
      <c r="Q1" s="1180"/>
      <c r="R1" s="1180"/>
      <c r="S1" s="1180"/>
      <c r="T1" s="1180"/>
    </row>
    <row r="2" spans="1:39">
      <c r="A2" s="1664" t="str">
        <f>IF('INTERIM-CERTIFICATION'!$M$2="","CDS #: Enter Charter CDS # on INTERIM-CERTIFICATION Worksheet",(_xlfn.CONCAT("CDS #: ",'INTERIM-CERTIFICATION'!$M$2)))</f>
        <v>CDS #: 35-75044-01166707</v>
      </c>
      <c r="B2" s="1664"/>
      <c r="C2" s="1664"/>
      <c r="D2" s="1386"/>
      <c r="E2" s="1386"/>
      <c r="F2" s="1386"/>
      <c r="G2" s="12"/>
      <c r="H2" s="80"/>
      <c r="I2" s="156"/>
      <c r="J2" s="80"/>
      <c r="K2" s="156"/>
      <c r="L2" s="1"/>
      <c r="M2" s="157"/>
      <c r="N2" s="47"/>
      <c r="O2" s="1180"/>
      <c r="P2" s="1180"/>
      <c r="Q2" s="1180"/>
      <c r="R2" s="1180"/>
      <c r="S2" s="1180"/>
      <c r="T2" s="1180"/>
    </row>
    <row r="3" spans="1:39">
      <c r="A3" s="1664" t="str">
        <f>IF('INTERIM-CERTIFICATION'!$M$5="","CHARTER #: Enter Charter # on INTERIM-CERTIFICATION Worksheet",(_xlfn.CONCAT("CHARTER #: ",'INTERIM-CERTIFICATION'!$M$5)))</f>
        <v>CHARTER #: 0971</v>
      </c>
      <c r="B3" s="1664"/>
      <c r="C3" s="1664"/>
      <c r="D3" s="1387"/>
      <c r="E3" s="1387"/>
      <c r="F3" s="1387"/>
      <c r="G3" s="12"/>
      <c r="H3" s="12"/>
      <c r="I3" s="155"/>
      <c r="J3" s="12"/>
      <c r="K3" s="155"/>
      <c r="L3" s="1"/>
      <c r="M3" s="157"/>
      <c r="N3" s="47"/>
      <c r="O3" s="1180"/>
      <c r="P3" s="1180"/>
      <c r="Q3" s="1180"/>
      <c r="R3" s="1180"/>
      <c r="S3" s="1180"/>
      <c r="T3" s="1180"/>
    </row>
    <row r="4" spans="1:39">
      <c r="B4" s="52"/>
      <c r="C4" s="52"/>
      <c r="D4" s="158" t="str">
        <f>'2nd Interim-ADA'!J4</f>
        <v>Fiscal Year 2024-25 Second Interim Report</v>
      </c>
      <c r="E4" s="158"/>
      <c r="F4" s="158"/>
      <c r="G4" s="52"/>
      <c r="H4" s="52"/>
      <c r="I4" s="52"/>
      <c r="J4" s="52"/>
      <c r="K4" s="52"/>
      <c r="L4" s="52"/>
      <c r="M4" s="52"/>
      <c r="N4" s="1470"/>
      <c r="O4" s="1180"/>
      <c r="P4" s="1180"/>
      <c r="Q4" s="1180"/>
      <c r="R4" s="1180"/>
      <c r="S4" s="1180"/>
      <c r="T4" s="1180"/>
    </row>
    <row r="5" spans="1:39">
      <c r="A5" s="12"/>
      <c r="B5" s="12"/>
      <c r="C5" s="52"/>
      <c r="D5" s="158" t="s">
        <v>209</v>
      </c>
      <c r="E5" s="158"/>
      <c r="F5" s="158"/>
      <c r="G5" s="52"/>
      <c r="H5" s="52"/>
      <c r="I5" s="159"/>
      <c r="J5" s="52"/>
      <c r="K5" s="159"/>
      <c r="L5" s="1"/>
      <c r="M5" s="160"/>
      <c r="N5" s="1471"/>
      <c r="O5" s="1180"/>
      <c r="P5" s="1180"/>
      <c r="Q5" s="1180"/>
      <c r="R5" s="1180"/>
      <c r="S5" s="1180"/>
      <c r="T5" s="1180"/>
    </row>
    <row r="6" spans="1:39" ht="15.75" thickBot="1">
      <c r="A6" s="12"/>
      <c r="B6" s="12"/>
      <c r="C6" s="12"/>
      <c r="D6" s="12"/>
      <c r="E6" s="12"/>
      <c r="F6" s="12"/>
      <c r="G6" s="12"/>
      <c r="H6" s="12"/>
      <c r="I6" s="155"/>
      <c r="J6" s="12"/>
      <c r="K6" s="155"/>
      <c r="L6" s="1"/>
      <c r="M6" s="157"/>
      <c r="N6" s="47"/>
      <c r="O6" s="1180"/>
      <c r="P6" s="1180"/>
      <c r="Q6" s="1180"/>
      <c r="R6" s="1180"/>
      <c r="S6" s="1180"/>
      <c r="T6" s="1180"/>
    </row>
    <row r="7" spans="1:39" ht="15.75" thickTop="1">
      <c r="A7" s="1388"/>
      <c r="B7" s="13"/>
      <c r="C7" s="13"/>
      <c r="D7" s="1389"/>
      <c r="E7" s="1390"/>
      <c r="F7" s="1390" t="s">
        <v>63</v>
      </c>
      <c r="G7" s="1390" t="s">
        <v>161</v>
      </c>
      <c r="H7" s="1390" t="str">
        <f>$G$7</f>
        <v>Second Interim</v>
      </c>
      <c r="I7" s="1391"/>
      <c r="J7" s="1390" t="str">
        <f>$G$7</f>
        <v>Second Interim</v>
      </c>
      <c r="K7" s="1391"/>
      <c r="L7" s="1390" t="str">
        <f>$G$7</f>
        <v>Second Interim</v>
      </c>
      <c r="M7" s="1391"/>
      <c r="N7" s="1472"/>
      <c r="O7" s="1180"/>
      <c r="P7" s="1181"/>
      <c r="Q7" s="3"/>
      <c r="R7" s="3"/>
      <c r="S7" s="3"/>
      <c r="T7" s="3"/>
      <c r="U7" s="1"/>
      <c r="V7" s="1"/>
      <c r="W7" s="1"/>
      <c r="X7" s="1"/>
      <c r="Y7" s="1"/>
      <c r="Z7" s="1"/>
      <c r="AA7" s="1"/>
      <c r="AB7" s="1"/>
      <c r="AC7" s="1"/>
      <c r="AD7" s="1"/>
      <c r="AE7" s="1"/>
      <c r="AF7" s="1"/>
      <c r="AG7" s="1"/>
      <c r="AH7" s="1"/>
      <c r="AI7" s="1"/>
      <c r="AJ7" s="1"/>
      <c r="AK7" s="1"/>
      <c r="AL7" s="1"/>
      <c r="AM7" s="1"/>
    </row>
    <row r="8" spans="1:39">
      <c r="A8" s="1889" t="s">
        <v>21</v>
      </c>
      <c r="B8" s="1776"/>
      <c r="C8" s="1776"/>
      <c r="D8" s="53"/>
      <c r="E8" s="14" t="s">
        <v>17</v>
      </c>
      <c r="F8" s="14" t="s">
        <v>62</v>
      </c>
      <c r="G8" s="210" t="s">
        <v>61</v>
      </c>
      <c r="H8" s="14" t="s">
        <v>19</v>
      </c>
      <c r="I8" s="161" t="s">
        <v>18</v>
      </c>
      <c r="J8" s="14" t="s">
        <v>19</v>
      </c>
      <c r="K8" s="161" t="s">
        <v>18</v>
      </c>
      <c r="L8" s="14" t="s">
        <v>19</v>
      </c>
      <c r="M8" s="161" t="s">
        <v>18</v>
      </c>
      <c r="N8" s="1472"/>
      <c r="O8" s="1180"/>
      <c r="P8" s="1181"/>
      <c r="Q8" s="3"/>
      <c r="R8" s="3"/>
      <c r="S8" s="3"/>
      <c r="T8" s="3"/>
      <c r="U8" s="1"/>
      <c r="V8" s="1"/>
      <c r="W8" s="1"/>
      <c r="X8" s="1"/>
      <c r="Y8" s="1"/>
      <c r="Z8" s="1"/>
      <c r="AA8" s="1"/>
      <c r="AB8" s="1"/>
      <c r="AC8" s="1"/>
      <c r="AD8" s="1"/>
      <c r="AE8" s="1"/>
      <c r="AF8" s="1"/>
      <c r="AG8" s="1"/>
      <c r="AH8" s="1"/>
      <c r="AI8" s="1"/>
      <c r="AJ8" s="1"/>
      <c r="AK8" s="1"/>
      <c r="AL8" s="1"/>
      <c r="AM8" s="1"/>
    </row>
    <row r="9" spans="1:39">
      <c r="A9" s="1392"/>
      <c r="B9" s="1"/>
      <c r="C9" s="1"/>
      <c r="D9" s="53"/>
      <c r="E9" s="14" t="s">
        <v>16</v>
      </c>
      <c r="F9" s="14" t="s">
        <v>16</v>
      </c>
      <c r="G9" s="14" t="str">
        <f>'2nd Interim-Unrestricted MYP'!G9</f>
        <v>thru January 31,</v>
      </c>
      <c r="H9" s="14" t="s">
        <v>16</v>
      </c>
      <c r="I9" s="161" t="s">
        <v>22</v>
      </c>
      <c r="J9" s="14" t="s">
        <v>16</v>
      </c>
      <c r="K9" s="161" t="s">
        <v>22</v>
      </c>
      <c r="L9" s="14" t="s">
        <v>16</v>
      </c>
      <c r="M9" s="161" t="s">
        <v>22</v>
      </c>
      <c r="N9" s="1472"/>
      <c r="O9" s="1180"/>
      <c r="P9" s="1181"/>
      <c r="Q9" s="3"/>
      <c r="R9" s="3"/>
      <c r="S9" s="3"/>
      <c r="T9" s="3"/>
      <c r="U9" s="1"/>
      <c r="V9" s="1"/>
      <c r="W9" s="1"/>
      <c r="X9" s="1"/>
      <c r="Y9" s="1"/>
      <c r="Z9" s="1"/>
      <c r="AA9" s="1"/>
      <c r="AB9" s="1"/>
      <c r="AC9" s="1"/>
      <c r="AD9" s="1"/>
      <c r="AE9" s="1"/>
      <c r="AF9" s="1"/>
      <c r="AG9" s="1"/>
      <c r="AH9" s="1"/>
      <c r="AI9" s="1"/>
      <c r="AJ9" s="1"/>
      <c r="AK9" s="1"/>
      <c r="AL9" s="1"/>
      <c r="AM9" s="1"/>
    </row>
    <row r="10" spans="1:39" ht="15.75" thickBot="1">
      <c r="A10" s="1564" t="str">
        <f>Instructions!H1</f>
        <v>Form Revised (revision date here if revised)</v>
      </c>
      <c r="B10" s="162"/>
      <c r="C10" s="162"/>
      <c r="D10" s="54"/>
      <c r="E10" s="204" t="str">
        <f>'Budget-Unrestricted MYP'!F10</f>
        <v>2024-25</v>
      </c>
      <c r="F10" s="15" t="str">
        <f>E10</f>
        <v>2024-25</v>
      </c>
      <c r="G10" s="203">
        <f>'2nd Interim-Unrestricted MYP'!G10</f>
        <v>2025</v>
      </c>
      <c r="H10" s="15" t="str">
        <f>F10</f>
        <v>2024-25</v>
      </c>
      <c r="I10" s="163"/>
      <c r="J10" s="15" t="str">
        <f>'Budget-Unrestricted MYP'!H10</f>
        <v>2025-26</v>
      </c>
      <c r="K10" s="163"/>
      <c r="L10" s="15" t="str">
        <f>'Budget-Unrestricted MYP'!J10</f>
        <v>2026-27</v>
      </c>
      <c r="M10" s="163"/>
      <c r="N10" s="1472"/>
      <c r="O10" s="1180"/>
      <c r="P10" s="1181"/>
      <c r="Q10" s="3"/>
      <c r="R10" s="3"/>
      <c r="S10" s="3"/>
      <c r="T10" s="3"/>
      <c r="U10" s="1"/>
      <c r="V10" s="1"/>
      <c r="W10" s="1"/>
      <c r="X10" s="1"/>
      <c r="Y10" s="1"/>
      <c r="Z10" s="1"/>
      <c r="AA10" s="1"/>
      <c r="AB10" s="1"/>
      <c r="AC10" s="1"/>
      <c r="AD10" s="1"/>
      <c r="AE10" s="1"/>
      <c r="AF10" s="1"/>
      <c r="AG10" s="1"/>
      <c r="AH10" s="1"/>
      <c r="AI10" s="1"/>
      <c r="AJ10" s="1"/>
      <c r="AK10" s="1"/>
      <c r="AL10" s="1"/>
      <c r="AM10" s="1"/>
    </row>
    <row r="11" spans="1:39" ht="15.75" thickTop="1">
      <c r="A11" s="302" t="s">
        <v>1</v>
      </c>
      <c r="B11" s="1"/>
      <c r="C11" s="1"/>
      <c r="D11" s="333"/>
      <c r="E11" s="13"/>
      <c r="F11" s="13"/>
      <c r="G11" s="13"/>
      <c r="H11" s="1393"/>
      <c r="I11" s="1394"/>
      <c r="J11" s="1393"/>
      <c r="K11" s="1394"/>
      <c r="L11" s="1393"/>
      <c r="M11" s="1395"/>
      <c r="N11" s="1473"/>
      <c r="O11" s="1180"/>
      <c r="P11" s="1180"/>
      <c r="Q11" s="1180"/>
      <c r="R11" s="1180"/>
      <c r="S11" s="1180"/>
      <c r="T11" s="1180"/>
    </row>
    <row r="12" spans="1:39">
      <c r="A12" s="302"/>
      <c r="B12" s="145" t="s">
        <v>303</v>
      </c>
      <c r="C12" s="139"/>
      <c r="D12" s="139"/>
      <c r="E12" s="362"/>
      <c r="F12" s="362"/>
      <c r="G12" s="362"/>
      <c r="H12" s="1396"/>
      <c r="I12" s="1397"/>
      <c r="J12" s="1396"/>
      <c r="K12" s="1397"/>
      <c r="L12" s="1396"/>
      <c r="M12" s="1398"/>
      <c r="N12" s="1473"/>
      <c r="O12" s="1180"/>
      <c r="P12" s="1180"/>
      <c r="Q12" s="1180"/>
      <c r="R12" s="1180"/>
      <c r="S12" s="1180"/>
      <c r="T12" s="1180"/>
    </row>
    <row r="13" spans="1:39">
      <c r="A13" s="302"/>
      <c r="B13" s="145"/>
      <c r="C13" s="276" t="s">
        <v>152</v>
      </c>
      <c r="D13" s="342">
        <v>8011</v>
      </c>
      <c r="E13" s="1399">
        <f>'2nd Interim-Unrestricted MYP'!E13+'2nd Interim-Restricted MYP'!E13</f>
        <v>4666685</v>
      </c>
      <c r="F13" s="1399">
        <f>'2nd Interim-Unrestricted MYP'!F13+'2nd Interim-Restricted MYP'!F13</f>
        <v>0</v>
      </c>
      <c r="G13" s="1399">
        <f>'2nd Interim-Unrestricted MYP'!G13+'2nd Interim-Restricted MYP'!G13</f>
        <v>0</v>
      </c>
      <c r="H13" s="1400">
        <f>'2nd Interim-Unrestricted MYP'!H13+'2nd Interim-Restricted MYP'!H13</f>
        <v>0</v>
      </c>
      <c r="I13" s="1401" t="str">
        <f>IF(E13&lt;1," ",IF(H13&lt;1," ",(H13-E13)/E13))</f>
        <v xml:space="preserve"> </v>
      </c>
      <c r="J13" s="1150">
        <f>'2nd Interim-Unrestricted MYP'!J13+'2nd Interim-Restricted MYP'!J13</f>
        <v>0</v>
      </c>
      <c r="K13" s="1401" t="str">
        <f>IF(H13&lt;1," ",IF(J13&lt;1," ",(J13-H13)/H13))</f>
        <v xml:space="preserve"> </v>
      </c>
      <c r="L13" s="1150">
        <f>'2nd Interim-Unrestricted MYP'!L13+'2nd Interim-Restricted MYP'!L13</f>
        <v>0</v>
      </c>
      <c r="M13" s="1402" t="str">
        <f>IF(J13&lt;1," ",IF(L13&lt;1," ",(L13-J13)/J13))</f>
        <v xml:space="preserve"> </v>
      </c>
      <c r="N13" s="1473"/>
      <c r="O13" s="1180"/>
      <c r="P13" s="1180"/>
      <c r="Q13" s="1180"/>
      <c r="R13" s="1180"/>
      <c r="S13" s="1180"/>
      <c r="T13" s="1180"/>
    </row>
    <row r="14" spans="1:39">
      <c r="A14" s="302"/>
      <c r="B14" s="145"/>
      <c r="C14" s="276" t="s">
        <v>153</v>
      </c>
      <c r="D14" s="342">
        <v>8012</v>
      </c>
      <c r="E14" s="1399">
        <f>'2nd Interim-Unrestricted MYP'!E14+'2nd Interim-Restricted MYP'!E14</f>
        <v>1916629</v>
      </c>
      <c r="F14" s="1399">
        <f>'2nd Interim-Unrestricted MYP'!F14+'2nd Interim-Restricted MYP'!F14</f>
        <v>0</v>
      </c>
      <c r="G14" s="1399">
        <f>'2nd Interim-Unrestricted MYP'!G14+'2nd Interim-Restricted MYP'!G14</f>
        <v>0</v>
      </c>
      <c r="H14" s="1400">
        <f>'2nd Interim-Unrestricted MYP'!H14+'2nd Interim-Restricted MYP'!H14</f>
        <v>0</v>
      </c>
      <c r="I14" s="1401" t="str">
        <f>IF(E14&lt;1," ",IF(H14&lt;1," ",(H14-E14)/E14))</f>
        <v xml:space="preserve"> </v>
      </c>
      <c r="J14" s="1150">
        <f>'2nd Interim-Unrestricted MYP'!J14+'2nd Interim-Restricted MYP'!J14</f>
        <v>0</v>
      </c>
      <c r="K14" s="1401" t="str">
        <f>IF(H14&lt;1," ",IF(J14&lt;1," ",(J14-H14)/H14))</f>
        <v xml:space="preserve"> </v>
      </c>
      <c r="L14" s="1158">
        <f>'2nd Interim-Unrestricted MYP'!L14+'2nd Interim-Restricted MYP'!L14</f>
        <v>0</v>
      </c>
      <c r="M14" s="1402" t="str">
        <f>IF(J14&lt;1," ",IF(L14&lt;1," ",(L14-J14)/J14))</f>
        <v xml:space="preserve"> </v>
      </c>
      <c r="N14" s="1473"/>
      <c r="O14" s="1180"/>
      <c r="P14" s="1180"/>
      <c r="Q14" s="1180"/>
      <c r="R14" s="1180"/>
      <c r="S14" s="1180"/>
      <c r="T14" s="1180"/>
    </row>
    <row r="15" spans="1:39">
      <c r="A15" s="67"/>
      <c r="B15" s="145"/>
      <c r="C15" s="276" t="s">
        <v>301</v>
      </c>
      <c r="D15" s="342">
        <v>8019</v>
      </c>
      <c r="E15" s="1399">
        <f>'2nd Interim-Unrestricted MYP'!E15+'2nd Interim-Restricted MYP'!E15</f>
        <v>0</v>
      </c>
      <c r="F15" s="1399">
        <f>'2nd Interim-Unrestricted MYP'!F15+'2nd Interim-Restricted MYP'!F15</f>
        <v>0</v>
      </c>
      <c r="G15" s="1399">
        <f>'2nd Interim-Unrestricted MYP'!G15+'2nd Interim-Restricted MYP'!G15</f>
        <v>0</v>
      </c>
      <c r="H15" s="1400">
        <f>'2nd Interim-Unrestricted MYP'!H15+'2nd Interim-Restricted MYP'!H15</f>
        <v>0</v>
      </c>
      <c r="I15" s="1401" t="str">
        <f>IF(E15&lt;1," ",IF(H15&lt;1," ",(H15-E15)/E15))</f>
        <v xml:space="preserve"> </v>
      </c>
      <c r="J15" s="1150">
        <f>'2nd Interim-Unrestricted MYP'!J15+'2nd Interim-Restricted MYP'!J15</f>
        <v>0</v>
      </c>
      <c r="K15" s="1401" t="str">
        <f>IF(H15&lt;1," ",IF(J15&lt;1," ",(J15-H15)/H15))</f>
        <v xml:space="preserve"> </v>
      </c>
      <c r="L15" s="1158">
        <f>'2nd Interim-Unrestricted MYP'!L15+'2nd Interim-Restricted MYP'!L15</f>
        <v>0</v>
      </c>
      <c r="M15" s="1402" t="str">
        <f>IF(J15&lt;1," ",IF(L15&lt;1," ",(L15-J15)/J15))</f>
        <v xml:space="preserve"> </v>
      </c>
      <c r="N15" s="1473"/>
      <c r="O15" s="1180"/>
      <c r="P15" s="1180"/>
      <c r="Q15" s="1180"/>
      <c r="R15" s="1180"/>
      <c r="S15" s="1180"/>
      <c r="T15" s="1180"/>
    </row>
    <row r="16" spans="1:39">
      <c r="A16" s="67"/>
      <c r="B16" s="145"/>
      <c r="C16" s="276" t="s">
        <v>302</v>
      </c>
      <c r="D16" s="342">
        <v>8096</v>
      </c>
      <c r="E16" s="1399">
        <f>'2nd Interim-Unrestricted MYP'!E16+'2nd Interim-Restricted MYP'!E16</f>
        <v>206686</v>
      </c>
      <c r="F16" s="1399">
        <f>'2nd Interim-Unrestricted MYP'!F16+'2nd Interim-Restricted MYP'!F16</f>
        <v>0</v>
      </c>
      <c r="G16" s="1399">
        <f>'2nd Interim-Unrestricted MYP'!G16+'2nd Interim-Restricted MYP'!G16</f>
        <v>0</v>
      </c>
      <c r="H16" s="1400">
        <f>'2nd Interim-Unrestricted MYP'!H16+'2nd Interim-Restricted MYP'!H16</f>
        <v>0</v>
      </c>
      <c r="I16" s="1401" t="str">
        <f>IF(E16&lt;1," ",IF(H16&lt;1," ",(H16-E16)/E16))</f>
        <v xml:space="preserve"> </v>
      </c>
      <c r="J16" s="1158">
        <f>'2nd Interim-Unrestricted MYP'!J16+'2nd Interim-Restricted MYP'!J16</f>
        <v>0</v>
      </c>
      <c r="K16" s="1302" t="str">
        <f>IF(H16&lt;1," ",IF(J16&lt;1," ",(J16-H16)/H16))</f>
        <v xml:space="preserve"> </v>
      </c>
      <c r="L16" s="1158">
        <f>'2nd Interim-Unrestricted MYP'!L16+'2nd Interim-Restricted MYP'!L16</f>
        <v>0</v>
      </c>
      <c r="M16" s="1303" t="str">
        <f>IF(J16&lt;1," ",IF(L16&lt;1," ",(L16-J16)/J16))</f>
        <v xml:space="preserve"> </v>
      </c>
      <c r="N16" s="1474"/>
      <c r="O16" s="1180"/>
      <c r="P16" s="1180"/>
      <c r="Q16" s="1180"/>
      <c r="R16" s="1180"/>
      <c r="S16" s="1180"/>
      <c r="T16" s="1180"/>
    </row>
    <row r="17" spans="1:20">
      <c r="A17" s="67"/>
      <c r="B17" s="145" t="s">
        <v>304</v>
      </c>
      <c r="C17" s="276"/>
      <c r="D17" s="342" t="s">
        <v>99</v>
      </c>
      <c r="E17" s="1399">
        <f>'2nd Interim-Unrestricted MYP'!E17+'2nd Interim-Restricted MYP'!E17</f>
        <v>534301.255</v>
      </c>
      <c r="F17" s="1399">
        <f>'2nd Interim-Unrestricted MYP'!F17+'2nd Interim-Restricted MYP'!F17</f>
        <v>0</v>
      </c>
      <c r="G17" s="1399">
        <f>'2nd Interim-Unrestricted MYP'!G17+'2nd Interim-Restricted MYP'!G17</f>
        <v>0</v>
      </c>
      <c r="H17" s="1400">
        <f>'2nd Interim-Unrestricted MYP'!H17+'2nd Interim-Restricted MYP'!H17</f>
        <v>0</v>
      </c>
      <c r="I17" s="1401" t="str">
        <f>IF(E17&lt;1," ",IF(H17&lt;1," ",(H17-E17)/E17))</f>
        <v xml:space="preserve"> </v>
      </c>
      <c r="J17" s="1399">
        <f>'2nd Interim-Unrestricted MYP'!J17+'2nd Interim-Restricted MYP'!J17</f>
        <v>0</v>
      </c>
      <c r="K17" s="1302" t="str">
        <f>IF(H17&lt;1," ",IF(J17&lt;1," ",(J17-H17)/H17))</f>
        <v xml:space="preserve"> </v>
      </c>
      <c r="L17" s="1399">
        <f>'2nd Interim-Unrestricted MYP'!L17+'2nd Interim-Restricted MYP'!L17</f>
        <v>0</v>
      </c>
      <c r="M17" s="1303" t="str">
        <f>IF(J17&lt;1," ",IF(L17&lt;1," ",(L17-J17)/J17))</f>
        <v xml:space="preserve"> </v>
      </c>
      <c r="N17" s="1474"/>
      <c r="O17" s="1180"/>
      <c r="P17" s="1180"/>
      <c r="Q17" s="1180"/>
      <c r="R17" s="1180"/>
      <c r="S17" s="1180"/>
      <c r="T17" s="1180"/>
    </row>
    <row r="18" spans="1:20">
      <c r="A18" s="67"/>
      <c r="B18" s="145" t="s">
        <v>305</v>
      </c>
      <c r="C18" s="139"/>
      <c r="D18" s="139"/>
      <c r="E18" s="1167"/>
      <c r="F18" s="1167"/>
      <c r="G18" s="1167"/>
      <c r="H18" s="1403"/>
      <c r="I18" s="1404"/>
      <c r="J18" s="1167"/>
      <c r="K18" s="1404"/>
      <c r="L18" s="1167"/>
      <c r="M18" s="1405"/>
      <c r="N18" s="1474"/>
      <c r="O18" s="1180"/>
      <c r="P18" s="1180"/>
      <c r="Q18" s="1180"/>
      <c r="R18" s="1180"/>
      <c r="S18" s="1180"/>
      <c r="T18" s="1180"/>
    </row>
    <row r="19" spans="1:20">
      <c r="A19" s="67"/>
      <c r="B19" s="145"/>
      <c r="C19" s="276" t="s">
        <v>306</v>
      </c>
      <c r="D19" s="342">
        <v>8560</v>
      </c>
      <c r="E19" s="1399">
        <f>'2nd Interim-Unrestricted MYP'!E19+'2nd Interim-Restricted MYP'!E19</f>
        <v>92527.144709999993</v>
      </c>
      <c r="F19" s="1399" t="e">
        <f>'2nd Interim-Unrestricted MYP'!F19+'2nd Interim-Restricted MYP'!F19</f>
        <v>#VALUE!</v>
      </c>
      <c r="G19" s="1399">
        <f>'2nd Interim-Unrestricted MYP'!G19+'2nd Interim-Restricted MYP'!G19</f>
        <v>0</v>
      </c>
      <c r="H19" s="1400" t="e">
        <f>'2nd Interim-Unrestricted MYP'!H19+'2nd Interim-Restricted MYP'!H19</f>
        <v>#VALUE!</v>
      </c>
      <c r="I19" s="1401" t="e">
        <f>IF(E19&lt;1," ",IF(H19&lt;1," ",(H19-E19)/E19))</f>
        <v>#VALUE!</v>
      </c>
      <c r="J19" s="1406" t="e">
        <f>'2nd Interim-Unrestricted MYP'!J19+'2nd Interim-Restricted MYP'!J19</f>
        <v>#VALUE!</v>
      </c>
      <c r="K19" s="1302" t="e">
        <f>IF(H19&lt;1," ",IF(J19&lt;1," ",(J19-H19)/H19))</f>
        <v>#VALUE!</v>
      </c>
      <c r="L19" s="1158" t="e">
        <f>'2nd Interim-Unrestricted MYP'!L19+'2nd Interim-Restricted MYP'!L19</f>
        <v>#VALUE!</v>
      </c>
      <c r="M19" s="1303" t="e">
        <f>IF(J19&lt;1," ",IF(L19&lt;1," ",(L19-J19)/J19))</f>
        <v>#VALUE!</v>
      </c>
      <c r="N19" s="1474"/>
      <c r="O19" s="1180"/>
      <c r="P19" s="1180"/>
      <c r="Q19" s="1180"/>
      <c r="R19" s="1180"/>
      <c r="S19" s="1180"/>
      <c r="T19" s="1180"/>
    </row>
    <row r="20" spans="1:20">
      <c r="A20" s="67"/>
      <c r="B20" s="145"/>
      <c r="C20" s="276" t="s">
        <v>307</v>
      </c>
      <c r="D20" s="342">
        <v>8560</v>
      </c>
      <c r="E20" s="1407">
        <f>'2nd Interim-Unrestricted MYP'!E20+'2nd Interim-Restricted MYP'!E20</f>
        <v>37638.160559999997</v>
      </c>
      <c r="F20" s="1407" t="e">
        <f>'2nd Interim-Unrestricted MYP'!F20+'2nd Interim-Restricted MYP'!F20</f>
        <v>#VALUE!</v>
      </c>
      <c r="G20" s="1407">
        <f>'2nd Interim-Unrestricted MYP'!G20+'2nd Interim-Restricted MYP'!G20</f>
        <v>0</v>
      </c>
      <c r="H20" s="1400" t="e">
        <f>'2nd Interim-Unrestricted MYP'!H20+'2nd Interim-Restricted MYP'!H20</f>
        <v>#VALUE!</v>
      </c>
      <c r="I20" s="1302" t="e">
        <f>IF(E20&lt;1," ",IF(H20&lt;1," ",(H20-E20)/E20))</f>
        <v>#VALUE!</v>
      </c>
      <c r="J20" s="1406" t="e">
        <f>'2nd Interim-Unrestricted MYP'!J20+'2nd Interim-Restricted MYP'!J20</f>
        <v>#VALUE!</v>
      </c>
      <c r="K20" s="1302" t="e">
        <f>IF(H20&lt;1," ",IF(J20&lt;1," ",(J20-H20)/H20))</f>
        <v>#VALUE!</v>
      </c>
      <c r="L20" s="1158" t="e">
        <f>'2nd Interim-Unrestricted MYP'!L20+'2nd Interim-Restricted MYP'!L20</f>
        <v>#VALUE!</v>
      </c>
      <c r="M20" s="1303" t="e">
        <f>IF(J20&lt;1," ",IF(L20&lt;1," ",(L20-J20)/J20))</f>
        <v>#VALUE!</v>
      </c>
      <c r="N20" s="1474"/>
      <c r="O20" s="1180"/>
      <c r="P20" s="1180"/>
      <c r="Q20" s="1180"/>
      <c r="R20" s="1180"/>
      <c r="S20" s="1180"/>
      <c r="T20" s="1180"/>
    </row>
    <row r="21" spans="1:20">
      <c r="A21" s="67"/>
      <c r="B21" s="145"/>
      <c r="C21" s="276" t="s">
        <v>308</v>
      </c>
      <c r="D21" s="342" t="s">
        <v>100</v>
      </c>
      <c r="E21" s="1399">
        <f>'2nd Interim-Unrestricted MYP'!E21+'2nd Interim-Restricted MYP'!E21</f>
        <v>1514866</v>
      </c>
      <c r="F21" s="1399">
        <f>'2nd Interim-Unrestricted MYP'!F21+'2nd Interim-Restricted MYP'!F21</f>
        <v>0</v>
      </c>
      <c r="G21" s="1399">
        <f>'2nd Interim-Unrestricted MYP'!G21+'2nd Interim-Restricted MYP'!G21</f>
        <v>0</v>
      </c>
      <c r="H21" s="1400">
        <f>'2nd Interim-Unrestricted MYP'!H21+'2nd Interim-Restricted MYP'!H21</f>
        <v>0</v>
      </c>
      <c r="I21" s="1401" t="str">
        <f>IF(E21&lt;1," ",IF(H21&lt;1," ",(H21-E21)/E21))</f>
        <v xml:space="preserve"> </v>
      </c>
      <c r="J21" s="1150">
        <f>'2nd Interim-Unrestricted MYP'!J21+'2nd Interim-Restricted MYP'!J21</f>
        <v>0</v>
      </c>
      <c r="K21" s="1302" t="str">
        <f>IF(H21&lt;1," ",IF(J21&lt;1," ",(J21-H21)/H21))</f>
        <v xml:space="preserve"> </v>
      </c>
      <c r="L21" s="1158">
        <f>'2nd Interim-Unrestricted MYP'!L21+'2nd Interim-Restricted MYP'!L21</f>
        <v>0</v>
      </c>
      <c r="M21" s="1303" t="str">
        <f>IF(J21&lt;1," ",IF(L21&lt;1," ",(L21-J21)/J21))</f>
        <v xml:space="preserve"> </v>
      </c>
      <c r="N21" s="1474"/>
      <c r="O21" s="1180"/>
      <c r="P21" s="1180"/>
      <c r="Q21" s="1180"/>
      <c r="R21" s="1180"/>
      <c r="S21" s="1180"/>
      <c r="T21" s="1180"/>
    </row>
    <row r="22" spans="1:20">
      <c r="A22" s="67"/>
      <c r="B22" s="145" t="s">
        <v>309</v>
      </c>
      <c r="C22" s="139"/>
      <c r="D22" s="139"/>
      <c r="E22" s="1167"/>
      <c r="F22" s="1167"/>
      <c r="G22" s="1167"/>
      <c r="H22" s="1403"/>
      <c r="I22" s="1404"/>
      <c r="J22" s="1167"/>
      <c r="K22" s="1404"/>
      <c r="L22" s="1167"/>
      <c r="M22" s="1405"/>
      <c r="N22" s="1474"/>
      <c r="O22" s="1180"/>
      <c r="P22" s="1180"/>
      <c r="Q22" s="1180"/>
      <c r="R22" s="1180"/>
      <c r="S22" s="1180"/>
      <c r="T22" s="1180"/>
    </row>
    <row r="23" spans="1:20">
      <c r="A23" s="67"/>
      <c r="B23" s="145"/>
      <c r="C23" s="276" t="s">
        <v>236</v>
      </c>
      <c r="D23" s="342">
        <v>8660</v>
      </c>
      <c r="E23" s="1399">
        <f>'2nd Interim-Unrestricted MYP'!E23+'2nd Interim-Restricted MYP'!E23</f>
        <v>0</v>
      </c>
      <c r="F23" s="1399">
        <f>'2nd Interim-Unrestricted MYP'!F23+'2nd Interim-Restricted MYP'!F23</f>
        <v>0</v>
      </c>
      <c r="G23" s="1399">
        <f>'2nd Interim-Unrestricted MYP'!G23+'2nd Interim-Restricted MYP'!G23</f>
        <v>0</v>
      </c>
      <c r="H23" s="1400">
        <f>'2nd Interim-Unrestricted MYP'!H23+'2nd Interim-Restricted MYP'!H23</f>
        <v>0</v>
      </c>
      <c r="I23" s="1401" t="str">
        <f>IF(E23&lt;1," ",IF(H23&lt;1," ",(H23-E23)/E23))</f>
        <v xml:space="preserve"> </v>
      </c>
      <c r="J23" s="1150">
        <f>'2nd Interim-Unrestricted MYP'!J23+'2nd Interim-Restricted MYP'!J23</f>
        <v>0</v>
      </c>
      <c r="K23" s="1302" t="str">
        <f>IF(H23&lt;1," ",IF(J23&lt;1," ",(J23-H23)/H23))</f>
        <v xml:space="preserve"> </v>
      </c>
      <c r="L23" s="1158">
        <f>'2nd Interim-Unrestricted MYP'!L23+'2nd Interim-Restricted MYP'!L23</f>
        <v>0</v>
      </c>
      <c r="M23" s="1303" t="str">
        <f>IF(J23&lt;1," ",IF(L23&lt;1," ",(L23-J23)/J23))</f>
        <v xml:space="preserve"> </v>
      </c>
      <c r="N23" s="1474"/>
      <c r="O23" s="1180"/>
      <c r="P23" s="1180"/>
      <c r="Q23" s="1180"/>
      <c r="R23" s="1180"/>
      <c r="S23" s="1180"/>
      <c r="T23" s="1180"/>
    </row>
    <row r="24" spans="1:20">
      <c r="A24" s="67"/>
      <c r="B24" s="145"/>
      <c r="C24" s="276" t="s">
        <v>310</v>
      </c>
      <c r="D24" s="342">
        <v>8792</v>
      </c>
      <c r="E24" s="1399">
        <f>'2nd Interim-Unrestricted MYP'!E24+'2nd Interim-Restricted MYP'!E24</f>
        <v>0</v>
      </c>
      <c r="F24" s="1399">
        <f>'2nd Interim-Unrestricted MYP'!F24+'2nd Interim-Restricted MYP'!F24</f>
        <v>0</v>
      </c>
      <c r="G24" s="1399">
        <f>'2nd Interim-Unrestricted MYP'!G24+'2nd Interim-Restricted MYP'!G24</f>
        <v>0</v>
      </c>
      <c r="H24" s="1408">
        <f>'2nd Interim-Unrestricted MYP'!H24+'2nd Interim-Restricted MYP'!H24</f>
        <v>0</v>
      </c>
      <c r="I24" s="1302" t="str">
        <f>IF(E24&lt;1," ",IF(H24&lt;1," ",(H24-E24)/E24))</f>
        <v xml:space="preserve"> </v>
      </c>
      <c r="J24" s="1150">
        <f>'2nd Interim-Unrestricted MYP'!J24+'2nd Interim-Restricted MYP'!J24</f>
        <v>0</v>
      </c>
      <c r="K24" s="1302" t="str">
        <f>IF(H24&lt;1," ",IF(J24&lt;1," ",(J24-H24)/H24))</f>
        <v xml:space="preserve"> </v>
      </c>
      <c r="L24" s="1158">
        <f>'2nd Interim-Unrestricted MYP'!L24+'2nd Interim-Restricted MYP'!L24</f>
        <v>0</v>
      </c>
      <c r="M24" s="1303" t="str">
        <f>IF(J24&lt;1," ",IF(L24&lt;1," ",(L24-J24)/J24))</f>
        <v xml:space="preserve"> </v>
      </c>
      <c r="N24" s="1474"/>
      <c r="O24" s="1180"/>
      <c r="P24" s="1180"/>
      <c r="Q24" s="1180"/>
      <c r="R24" s="1180"/>
      <c r="S24" s="1180"/>
      <c r="T24" s="1180"/>
    </row>
    <row r="25" spans="1:20" ht="15.75" thickBot="1">
      <c r="A25" s="67"/>
      <c r="B25" s="883"/>
      <c r="C25" s="916" t="s">
        <v>311</v>
      </c>
      <c r="D25" s="917" t="s">
        <v>101</v>
      </c>
      <c r="E25" s="1409">
        <f>'2nd Interim-Unrestricted MYP'!E25+'2nd Interim-Restricted MYP'!E25</f>
        <v>160000</v>
      </c>
      <c r="F25" s="1159">
        <f>'2nd Interim-Unrestricted MYP'!F25+'2nd Interim-Restricted MYP'!F25</f>
        <v>0</v>
      </c>
      <c r="G25" s="1410">
        <f>'2nd Interim-Unrestricted MYP'!G25+'2nd Interim-Restricted MYP'!G25</f>
        <v>0</v>
      </c>
      <c r="H25" s="1411">
        <f>'2nd Interim-Unrestricted MYP'!H25+'2nd Interim-Restricted MYP'!H25</f>
        <v>0</v>
      </c>
      <c r="I25" s="1412" t="str">
        <f>IF(E25&lt;1," ",IF(H25&lt;1," ",(H25-E25)/E25))</f>
        <v xml:space="preserve"> </v>
      </c>
      <c r="J25" s="1409">
        <f>'2nd Interim-Unrestricted MYP'!J25+'2nd Interim-Restricted MYP'!J25</f>
        <v>0</v>
      </c>
      <c r="K25" s="1289" t="str">
        <f>IF(H25&lt;1," ",IF(J25&lt;1," ",(J25-H25)/H25))</f>
        <v xml:space="preserve"> </v>
      </c>
      <c r="L25" s="1409">
        <f>'2nd Interim-Unrestricted MYP'!L25+'2nd Interim-Restricted MYP'!L25</f>
        <v>0</v>
      </c>
      <c r="M25" s="1290" t="str">
        <f>IF(J25&lt;1," ",IF(L25&lt;1," ",(L25-J25)/J25))</f>
        <v xml:space="preserve"> </v>
      </c>
      <c r="N25" s="1474"/>
      <c r="O25" s="1180"/>
      <c r="P25" s="1180"/>
      <c r="Q25" s="1180"/>
      <c r="R25" s="1180"/>
      <c r="S25" s="1180"/>
      <c r="T25" s="1180"/>
    </row>
    <row r="26" spans="1:20" ht="16.149999999999999" thickTop="1" thickBot="1">
      <c r="A26" s="67"/>
      <c r="B26" s="896" t="s">
        <v>312</v>
      </c>
      <c r="C26" s="941"/>
      <c r="D26" s="915"/>
      <c r="E26" s="1413">
        <f>SUM(E13:E25)</f>
        <v>9129332.5602700002</v>
      </c>
      <c r="F26" s="1413" t="e">
        <f>SUM(F13:F25)</f>
        <v>#VALUE!</v>
      </c>
      <c r="G26" s="1413">
        <f>SUM(G13:G25)</f>
        <v>0</v>
      </c>
      <c r="H26" s="1413" t="e">
        <f>SUM(H13:H25)</f>
        <v>#VALUE!</v>
      </c>
      <c r="I26" s="1414" t="e">
        <f>IF(E26&lt;1," ",IF(H26&lt;1," ",(H26-E26)/E26))</f>
        <v>#VALUE!</v>
      </c>
      <c r="J26" s="1413" t="e">
        <f>SUM(J13:J25)</f>
        <v>#VALUE!</v>
      </c>
      <c r="K26" s="1414" t="e">
        <f>IF(H26&lt;1," ",IF(J26&lt;1," ",(J26-H26)/H26))</f>
        <v>#VALUE!</v>
      </c>
      <c r="L26" s="1413" t="e">
        <f>SUM(L13:L25)</f>
        <v>#VALUE!</v>
      </c>
      <c r="M26" s="1415" t="e">
        <f>IF(J26&lt;1," ",IF(L26&lt;1," ",(L26-J26)/J26))</f>
        <v>#VALUE!</v>
      </c>
      <c r="N26" s="1474"/>
      <c r="O26" s="1180"/>
      <c r="P26" s="1180"/>
      <c r="Q26" s="1180"/>
      <c r="R26" s="1180"/>
      <c r="S26" s="1180"/>
      <c r="T26" s="1180"/>
    </row>
    <row r="27" spans="1:20" ht="15.75" thickTop="1">
      <c r="A27" s="67"/>
      <c r="B27" s="1"/>
      <c r="C27" s="1"/>
      <c r="D27" s="1"/>
      <c r="E27" s="1140"/>
      <c r="F27" s="1140"/>
      <c r="G27" s="1140"/>
      <c r="H27" s="1416"/>
      <c r="I27" s="1417"/>
      <c r="J27" s="1416"/>
      <c r="K27" s="1417"/>
      <c r="L27" s="1416"/>
      <c r="M27" s="1418"/>
      <c r="N27" s="1475"/>
      <c r="O27" s="1180"/>
      <c r="P27" s="1180"/>
      <c r="Q27" s="1180"/>
      <c r="R27" s="1180"/>
      <c r="S27" s="1180"/>
      <c r="T27" s="1180"/>
    </row>
    <row r="28" spans="1:20">
      <c r="A28" s="1736" t="s">
        <v>3</v>
      </c>
      <c r="B28" s="1737"/>
      <c r="C28" s="1737"/>
      <c r="D28" s="153"/>
      <c r="E28" s="1419"/>
      <c r="F28" s="1419"/>
      <c r="G28" s="1419"/>
      <c r="H28" s="1420"/>
      <c r="I28" s="1421"/>
      <c r="J28" s="1420"/>
      <c r="K28" s="1421"/>
      <c r="L28" s="1420"/>
      <c r="M28" s="1422"/>
      <c r="N28" s="1475"/>
      <c r="O28" s="1180"/>
      <c r="P28" s="1180"/>
      <c r="Q28" s="1180"/>
      <c r="R28" s="1180"/>
      <c r="S28" s="1180"/>
      <c r="T28" s="1180"/>
    </row>
    <row r="29" spans="1:20">
      <c r="A29" s="67"/>
      <c r="B29" s="145" t="s">
        <v>4</v>
      </c>
      <c r="C29" s="276"/>
      <c r="D29" s="275" t="s">
        <v>102</v>
      </c>
      <c r="E29" s="1399">
        <f>'2nd Interim-Unrestricted MYP'!E29+'2nd Interim-Restricted MYP'!E29</f>
        <v>2553199</v>
      </c>
      <c r="F29" s="1399">
        <f>'2nd Interim-Unrestricted MYP'!F29+'2nd Interim-Restricted MYP'!F29</f>
        <v>0</v>
      </c>
      <c r="G29" s="1399">
        <f>'2nd Interim-Unrestricted MYP'!G29+'2nd Interim-Restricted MYP'!G29</f>
        <v>0</v>
      </c>
      <c r="H29" s="1408">
        <f>'2nd Interim-Unrestricted MYP'!H29+'2nd Interim-Restricted MYP'!H29</f>
        <v>0</v>
      </c>
      <c r="I29" s="1302" t="str">
        <f t="shared" ref="I29:I38" si="0">IF(E29&lt;1," ",IF(H29&lt;1," ",(H29-E29)/E29))</f>
        <v xml:space="preserve"> </v>
      </c>
      <c r="J29" s="1158">
        <f>'2nd Interim-Unrestricted MYP'!J29+'2nd Interim-Restricted MYP'!J29</f>
        <v>0</v>
      </c>
      <c r="K29" s="1302" t="str">
        <f t="shared" ref="K29:K38" si="1">IF(H29&lt;1," ",IF(J29&lt;1," ",(J29-H29)/H29))</f>
        <v xml:space="preserve"> </v>
      </c>
      <c r="L29" s="1158">
        <f>'2nd Interim-Unrestricted MYP'!L29+'2nd Interim-Restricted MYP'!L29</f>
        <v>0</v>
      </c>
      <c r="M29" s="1303" t="str">
        <f t="shared" ref="M29:M38" si="2">IF(J29&lt;1," ",IF(L29&lt;1," ",(L29-J29)/J29))</f>
        <v xml:space="preserve"> </v>
      </c>
      <c r="N29" s="1474"/>
      <c r="O29" s="1180"/>
      <c r="P29" s="1180"/>
      <c r="Q29" s="1180"/>
      <c r="R29" s="1180"/>
      <c r="S29" s="1180"/>
      <c r="T29" s="1180"/>
    </row>
    <row r="30" spans="1:20">
      <c r="A30" s="67"/>
      <c r="B30" s="145" t="s">
        <v>23</v>
      </c>
      <c r="C30" s="276"/>
      <c r="D30" s="275" t="s">
        <v>103</v>
      </c>
      <c r="E30" s="1399">
        <f>'2nd Interim-Unrestricted MYP'!E30+'2nd Interim-Restricted MYP'!E30</f>
        <v>1193480</v>
      </c>
      <c r="F30" s="1399">
        <f>'2nd Interim-Unrestricted MYP'!F30+'2nd Interim-Restricted MYP'!F30</f>
        <v>0</v>
      </c>
      <c r="G30" s="1399">
        <f>'2nd Interim-Unrestricted MYP'!G30+'2nd Interim-Restricted MYP'!G30</f>
        <v>0</v>
      </c>
      <c r="H30" s="1408">
        <f>'2nd Interim-Unrestricted MYP'!H30+'2nd Interim-Restricted MYP'!H30</f>
        <v>0</v>
      </c>
      <c r="I30" s="1302" t="str">
        <f t="shared" si="0"/>
        <v xml:space="preserve"> </v>
      </c>
      <c r="J30" s="1158">
        <f>'2nd Interim-Unrestricted MYP'!J30+'2nd Interim-Restricted MYP'!J30</f>
        <v>0</v>
      </c>
      <c r="K30" s="1302" t="str">
        <f t="shared" si="1"/>
        <v xml:space="preserve"> </v>
      </c>
      <c r="L30" s="1158">
        <f>'2nd Interim-Unrestricted MYP'!L30+'2nd Interim-Restricted MYP'!L30</f>
        <v>0</v>
      </c>
      <c r="M30" s="1303" t="str">
        <f t="shared" si="2"/>
        <v xml:space="preserve"> </v>
      </c>
      <c r="N30" s="1474"/>
      <c r="O30" s="1180"/>
      <c r="P30" s="1180"/>
      <c r="Q30" s="1180"/>
      <c r="R30" s="1180"/>
      <c r="S30" s="1180"/>
      <c r="T30" s="1180"/>
    </row>
    <row r="31" spans="1:20">
      <c r="A31" s="67"/>
      <c r="B31" s="145" t="s">
        <v>24</v>
      </c>
      <c r="C31" s="276"/>
      <c r="D31" s="275" t="s">
        <v>104</v>
      </c>
      <c r="E31" s="1399">
        <f>'2nd Interim-Unrestricted MYP'!E31+'2nd Interim-Restricted MYP'!E31</f>
        <v>1300110</v>
      </c>
      <c r="F31" s="1399">
        <f>'2nd Interim-Unrestricted MYP'!F31+'2nd Interim-Restricted MYP'!F31</f>
        <v>0</v>
      </c>
      <c r="G31" s="1399">
        <f>'2nd Interim-Unrestricted MYP'!G31+'2nd Interim-Restricted MYP'!G31</f>
        <v>0</v>
      </c>
      <c r="H31" s="1408">
        <f>'2nd Interim-Unrestricted MYP'!H31+'2nd Interim-Restricted MYP'!H31</f>
        <v>0</v>
      </c>
      <c r="I31" s="1302" t="str">
        <f t="shared" si="0"/>
        <v xml:space="preserve"> </v>
      </c>
      <c r="J31" s="1158">
        <f>'2nd Interim-Unrestricted MYP'!J31+'2nd Interim-Restricted MYP'!J31</f>
        <v>0</v>
      </c>
      <c r="K31" s="1302" t="str">
        <f t="shared" si="1"/>
        <v xml:space="preserve"> </v>
      </c>
      <c r="L31" s="1158">
        <f>'2nd Interim-Unrestricted MYP'!L31+'2nd Interim-Restricted MYP'!L31</f>
        <v>0</v>
      </c>
      <c r="M31" s="1303" t="str">
        <f t="shared" si="2"/>
        <v xml:space="preserve"> </v>
      </c>
      <c r="N31" s="1474"/>
      <c r="O31" s="1180"/>
      <c r="P31" s="1180"/>
      <c r="Q31" s="1180"/>
      <c r="R31" s="1180"/>
      <c r="S31" s="1180"/>
      <c r="T31" s="1180"/>
    </row>
    <row r="32" spans="1:20">
      <c r="A32" s="67"/>
      <c r="B32" s="145" t="s">
        <v>25</v>
      </c>
      <c r="C32" s="276"/>
      <c r="D32" s="275" t="s">
        <v>105</v>
      </c>
      <c r="E32" s="1399">
        <f>'2nd Interim-Unrestricted MYP'!E32+'2nd Interim-Restricted MYP'!E32</f>
        <v>628200</v>
      </c>
      <c r="F32" s="1399">
        <f>'2nd Interim-Unrestricted MYP'!F32+'2nd Interim-Restricted MYP'!F32</f>
        <v>0</v>
      </c>
      <c r="G32" s="1399">
        <f>'2nd Interim-Unrestricted MYP'!G32+'2nd Interim-Restricted MYP'!G32</f>
        <v>0</v>
      </c>
      <c r="H32" s="1408">
        <f>'2nd Interim-Unrestricted MYP'!H32+'2nd Interim-Restricted MYP'!H32</f>
        <v>0</v>
      </c>
      <c r="I32" s="1302" t="str">
        <f t="shared" si="0"/>
        <v xml:space="preserve"> </v>
      </c>
      <c r="J32" s="1158">
        <f>'2nd Interim-Unrestricted MYP'!J32+'2nd Interim-Restricted MYP'!J32</f>
        <v>0</v>
      </c>
      <c r="K32" s="1302" t="str">
        <f t="shared" si="1"/>
        <v xml:space="preserve"> </v>
      </c>
      <c r="L32" s="1158">
        <f>'2nd Interim-Unrestricted MYP'!L32+'2nd Interim-Restricted MYP'!L32</f>
        <v>0</v>
      </c>
      <c r="M32" s="1303" t="str">
        <f t="shared" si="2"/>
        <v xml:space="preserve"> </v>
      </c>
      <c r="N32" s="1474"/>
      <c r="O32" s="1180"/>
      <c r="P32" s="1180"/>
      <c r="Q32" s="1180"/>
      <c r="R32" s="1180"/>
      <c r="S32" s="1180"/>
      <c r="T32" s="1180"/>
    </row>
    <row r="33" spans="1:20">
      <c r="A33" s="67"/>
      <c r="B33" s="145" t="s">
        <v>26</v>
      </c>
      <c r="C33" s="276"/>
      <c r="D33" s="275" t="s">
        <v>106</v>
      </c>
      <c r="E33" s="1399">
        <f>'2nd Interim-Unrestricted MYP'!E33+'2nd Interim-Restricted MYP'!E33</f>
        <v>3760844</v>
      </c>
      <c r="F33" s="1399">
        <f>'2nd Interim-Unrestricted MYP'!F33+'2nd Interim-Restricted MYP'!F33</f>
        <v>0</v>
      </c>
      <c r="G33" s="1399">
        <f>'2nd Interim-Unrestricted MYP'!G33+'2nd Interim-Restricted MYP'!G33</f>
        <v>0</v>
      </c>
      <c r="H33" s="1408">
        <f>'2nd Interim-Unrestricted MYP'!H33+'2nd Interim-Restricted MYP'!H33</f>
        <v>0</v>
      </c>
      <c r="I33" s="1302" t="str">
        <f t="shared" si="0"/>
        <v xml:space="preserve"> </v>
      </c>
      <c r="J33" s="1158">
        <f>'2nd Interim-Unrestricted MYP'!J33+'2nd Interim-Restricted MYP'!J33</f>
        <v>0</v>
      </c>
      <c r="K33" s="1302" t="str">
        <f t="shared" si="1"/>
        <v xml:space="preserve"> </v>
      </c>
      <c r="L33" s="1158">
        <f>'2nd Interim-Unrestricted MYP'!L33+'2nd Interim-Restricted MYP'!L33</f>
        <v>0</v>
      </c>
      <c r="M33" s="1303" t="str">
        <f t="shared" si="2"/>
        <v xml:space="preserve"> </v>
      </c>
      <c r="N33" s="1474"/>
      <c r="O33" s="1180"/>
      <c r="P33" s="1180"/>
      <c r="Q33" s="1180"/>
      <c r="R33" s="1180"/>
      <c r="S33" s="1180"/>
      <c r="T33" s="1180"/>
    </row>
    <row r="34" spans="1:20">
      <c r="A34" s="67"/>
      <c r="B34" s="274" t="s">
        <v>508</v>
      </c>
      <c r="C34" s="276"/>
      <c r="D34" s="275" t="s">
        <v>107</v>
      </c>
      <c r="E34" s="1399">
        <f>'2nd Interim-Unrestricted MYP'!E34+'2nd Interim-Restricted MYP'!E34</f>
        <v>0</v>
      </c>
      <c r="F34" s="1399">
        <f>'2nd Interim-Unrestricted MYP'!F34+'2nd Interim-Restricted MYP'!F34</f>
        <v>0</v>
      </c>
      <c r="G34" s="1399">
        <f>'2nd Interim-Unrestricted MYP'!G34+'2nd Interim-Restricted MYP'!G34</f>
        <v>0</v>
      </c>
      <c r="H34" s="1408">
        <f>'2nd Interim-Unrestricted MYP'!H34+'2nd Interim-Restricted MYP'!H34</f>
        <v>0</v>
      </c>
      <c r="I34" s="1302" t="str">
        <f t="shared" si="0"/>
        <v xml:space="preserve"> </v>
      </c>
      <c r="J34" s="1158">
        <f>'2nd Interim-Unrestricted MYP'!J34+'2nd Interim-Restricted MYP'!J34</f>
        <v>0</v>
      </c>
      <c r="K34" s="1302" t="str">
        <f t="shared" si="1"/>
        <v xml:space="preserve"> </v>
      </c>
      <c r="L34" s="1158">
        <f>'2nd Interim-Unrestricted MYP'!L34+'2nd Interim-Restricted MYP'!L34</f>
        <v>0</v>
      </c>
      <c r="M34" s="1303" t="str">
        <f t="shared" si="2"/>
        <v xml:space="preserve"> </v>
      </c>
      <c r="N34" s="1474"/>
      <c r="O34" s="1180"/>
      <c r="P34" s="1180"/>
      <c r="Q34" s="1180"/>
      <c r="R34" s="1180"/>
      <c r="S34" s="1180"/>
      <c r="T34" s="1180"/>
    </row>
    <row r="35" spans="1:20">
      <c r="A35" s="67"/>
      <c r="B35" s="274" t="s">
        <v>507</v>
      </c>
      <c r="C35" s="274"/>
      <c r="D35" s="275">
        <v>6900</v>
      </c>
      <c r="E35" s="1152">
        <f>'Budget-Unrestricted MYP'!F36</f>
        <v>0</v>
      </c>
      <c r="F35" s="1151">
        <f>'1st Interim-Unrestricted MYP'!G35</f>
        <v>0</v>
      </c>
      <c r="G35" s="1399">
        <f>'2nd Interim-Unrestricted MYP'!G35+'2nd Interim-Restricted MYP'!G35</f>
        <v>0</v>
      </c>
      <c r="H35" s="1408">
        <f>'2nd Interim-Unrestricted MYP'!H35+'2nd Interim-Restricted MYP'!H35</f>
        <v>0</v>
      </c>
      <c r="I35" s="1302" t="str">
        <f t="shared" ref="I35" si="3">IF(E35&lt;1," ",IF(H35&lt;1," ",(H35-E35)/E35))</f>
        <v xml:space="preserve"> </v>
      </c>
      <c r="J35" s="1158">
        <f>'2nd Interim-Unrestricted MYP'!J35+'2nd Interim-Restricted MYP'!J35</f>
        <v>0</v>
      </c>
      <c r="K35" s="1302" t="str">
        <f t="shared" ref="K35" si="4">IF(H35&lt;1," ",IF(J35&lt;1," ",(J35-H35)/H35))</f>
        <v xml:space="preserve"> </v>
      </c>
      <c r="L35" s="1158">
        <f>'2nd Interim-Unrestricted MYP'!L35+'2nd Interim-Restricted MYP'!L35</f>
        <v>0</v>
      </c>
      <c r="M35" s="1303" t="str">
        <f t="shared" ref="M35" si="5">IF(J35&lt;1," ",IF(L35&lt;1," ",(L35-J35)/J35))</f>
        <v xml:space="preserve"> </v>
      </c>
      <c r="N35" s="1474"/>
      <c r="O35" s="1180"/>
      <c r="P35" s="1180"/>
      <c r="Q35" s="1180"/>
      <c r="R35" s="1180"/>
      <c r="S35" s="1180"/>
      <c r="T35" s="1180"/>
    </row>
    <row r="36" spans="1:20">
      <c r="A36" s="67"/>
      <c r="B36" s="145" t="s">
        <v>27</v>
      </c>
      <c r="C36" s="276"/>
      <c r="D36" s="275" t="s">
        <v>108</v>
      </c>
      <c r="E36" s="1399">
        <f>'2nd Interim-Unrestricted MYP'!E36+'2nd Interim-Restricted MYP'!E36</f>
        <v>0</v>
      </c>
      <c r="F36" s="1399">
        <f>'2nd Interim-Unrestricted MYP'!F36+'2nd Interim-Restricted MYP'!F36</f>
        <v>0</v>
      </c>
      <c r="G36" s="1399">
        <f>'2nd Interim-Unrestricted MYP'!G36+'2nd Interim-Restricted MYP'!G36</f>
        <v>0</v>
      </c>
      <c r="H36" s="1408">
        <f>'2nd Interim-Unrestricted MYP'!H36+'2nd Interim-Restricted MYP'!H36</f>
        <v>0</v>
      </c>
      <c r="I36" s="1302" t="str">
        <f t="shared" si="0"/>
        <v xml:space="preserve"> </v>
      </c>
      <c r="J36" s="1158">
        <f>'2nd Interim-Unrestricted MYP'!J36+'2nd Interim-Restricted MYP'!J36</f>
        <v>0</v>
      </c>
      <c r="K36" s="1302" t="str">
        <f t="shared" si="1"/>
        <v xml:space="preserve"> </v>
      </c>
      <c r="L36" s="1158">
        <f>'2nd Interim-Unrestricted MYP'!L36+'2nd Interim-Restricted MYP'!L36</f>
        <v>0</v>
      </c>
      <c r="M36" s="1303" t="str">
        <f t="shared" si="2"/>
        <v xml:space="preserve"> </v>
      </c>
      <c r="N36" s="1474"/>
      <c r="O36" s="1180"/>
      <c r="P36" s="1180"/>
      <c r="Q36" s="1180"/>
      <c r="R36" s="1180"/>
      <c r="S36" s="1180"/>
      <c r="T36" s="1180"/>
    </row>
    <row r="37" spans="1:20" ht="15.75" thickBot="1">
      <c r="A37" s="67"/>
      <c r="B37" s="883" t="s">
        <v>146</v>
      </c>
      <c r="C37" s="916"/>
      <c r="D37" s="617" t="s">
        <v>111</v>
      </c>
      <c r="E37" s="1410">
        <f>'2nd Interim-Unrestricted MYP'!E37+'2nd Interim-Restricted MYP'!E37</f>
        <v>0</v>
      </c>
      <c r="F37" s="1410">
        <f>'2nd Interim-Unrestricted MYP'!F37+'2nd Interim-Restricted MYP'!F37</f>
        <v>0</v>
      </c>
      <c r="G37" s="1410">
        <f>'2nd Interim-Unrestricted MYP'!G37+'2nd Interim-Restricted MYP'!G37</f>
        <v>0</v>
      </c>
      <c r="H37" s="1423">
        <f>'2nd Interim-Unrestricted MYP'!H37+'2nd Interim-Restricted MYP'!H37</f>
        <v>0</v>
      </c>
      <c r="I37" s="1289" t="str">
        <f t="shared" si="0"/>
        <v xml:space="preserve"> </v>
      </c>
      <c r="J37" s="1159">
        <f>'2nd Interim-Unrestricted MYP'!J37+'2nd Interim-Restricted MYP'!J37</f>
        <v>0</v>
      </c>
      <c r="K37" s="1289" t="str">
        <f t="shared" si="1"/>
        <v xml:space="preserve"> </v>
      </c>
      <c r="L37" s="1159">
        <f>'2nd Interim-Unrestricted MYP'!L37+'2nd Interim-Restricted MYP'!L37</f>
        <v>0</v>
      </c>
      <c r="M37" s="1290" t="str">
        <f t="shared" si="2"/>
        <v xml:space="preserve"> </v>
      </c>
      <c r="N37" s="1474"/>
      <c r="O37" s="1180"/>
      <c r="P37" s="1180"/>
      <c r="Q37" s="1180"/>
      <c r="R37" s="1180"/>
      <c r="S37" s="1180"/>
      <c r="T37" s="1180"/>
    </row>
    <row r="38" spans="1:20" ht="16.149999999999999" thickTop="1" thickBot="1">
      <c r="A38" s="67"/>
      <c r="B38" s="896" t="s">
        <v>28</v>
      </c>
      <c r="C38" s="941"/>
      <c r="D38" s="942"/>
      <c r="E38" s="1135">
        <f>SUM(E29:E37)</f>
        <v>9435833</v>
      </c>
      <c r="F38" s="1135">
        <f>SUM(F29:F37)</f>
        <v>0</v>
      </c>
      <c r="G38" s="1135">
        <f>SUM(G29:G37)</f>
        <v>0</v>
      </c>
      <c r="H38" s="1135">
        <f>SUM(H29:H37)</f>
        <v>0</v>
      </c>
      <c r="I38" s="1414" t="str">
        <f t="shared" si="0"/>
        <v xml:space="preserve"> </v>
      </c>
      <c r="J38" s="1135">
        <f>SUM(J29:J37)</f>
        <v>0</v>
      </c>
      <c r="K38" s="1414" t="str">
        <f t="shared" si="1"/>
        <v xml:space="preserve"> </v>
      </c>
      <c r="L38" s="1135">
        <f>SUM(L29:L37)</f>
        <v>0</v>
      </c>
      <c r="M38" s="1415" t="str">
        <f t="shared" si="2"/>
        <v xml:space="preserve"> </v>
      </c>
      <c r="N38" s="1474"/>
      <c r="O38" s="1180"/>
      <c r="P38" s="1180"/>
      <c r="Q38" s="1180"/>
      <c r="R38" s="1180"/>
      <c r="S38" s="1180"/>
      <c r="T38" s="1180"/>
    </row>
    <row r="39" spans="1:20" ht="16.149999999999999" thickTop="1" thickBot="1">
      <c r="A39" s="67"/>
      <c r="B39" s="1"/>
      <c r="C39" s="1"/>
      <c r="D39" s="1424"/>
      <c r="E39" s="1425"/>
      <c r="F39" s="1425"/>
      <c r="G39" s="1425"/>
      <c r="H39" s="1425"/>
      <c r="I39" s="1426"/>
      <c r="J39" s="1425"/>
      <c r="K39" s="1426"/>
      <c r="L39" s="1425"/>
      <c r="M39" s="1427"/>
      <c r="N39" s="1473"/>
      <c r="O39" s="1180"/>
      <c r="P39" s="1180"/>
      <c r="Q39" s="1180"/>
      <c r="R39" s="1180"/>
      <c r="S39" s="1180"/>
      <c r="T39" s="1180"/>
    </row>
    <row r="40" spans="1:20" ht="16.149999999999999" thickTop="1" thickBot="1">
      <c r="A40" s="899" t="s">
        <v>205</v>
      </c>
      <c r="B40" s="900"/>
      <c r="C40" s="904"/>
      <c r="D40" s="905"/>
      <c r="E40" s="1428">
        <f>SUM(E26-E38)</f>
        <v>-306500.43972999975</v>
      </c>
      <c r="F40" s="1428" t="e">
        <f>SUM(F26-F38)</f>
        <v>#VALUE!</v>
      </c>
      <c r="G40" s="1428">
        <f>SUM(G26-G38)</f>
        <v>0</v>
      </c>
      <c r="H40" s="1428" t="e">
        <f>SUM(H26-H38)</f>
        <v>#VALUE!</v>
      </c>
      <c r="I40" s="1429" t="str">
        <f>IF(E40&lt;1," ",IF(H40&lt;1," ",(H40-E40)/E40))</f>
        <v xml:space="preserve"> </v>
      </c>
      <c r="J40" s="1428" t="e">
        <f>SUM(J26-J38)</f>
        <v>#VALUE!</v>
      </c>
      <c r="K40" s="1429" t="e">
        <f>IF(H40&lt;1," ",IF(J40&lt;1," ",(J40-H40)/H40))</f>
        <v>#VALUE!</v>
      </c>
      <c r="L40" s="1428" t="e">
        <f>SUM(L26-L38)</f>
        <v>#VALUE!</v>
      </c>
      <c r="M40" s="1430" t="e">
        <f>IF(J40&lt;1," ",IF(L40&lt;1," ",(L40-J40)/J40))</f>
        <v>#VALUE!</v>
      </c>
      <c r="N40" s="1474"/>
      <c r="O40" s="1180"/>
      <c r="P40" s="1180"/>
      <c r="Q40" s="1180"/>
      <c r="R40" s="1180"/>
      <c r="S40" s="1180"/>
      <c r="T40" s="1180"/>
    </row>
    <row r="41" spans="1:20" ht="15.75" thickTop="1">
      <c r="A41" s="67"/>
      <c r="B41" s="1"/>
      <c r="C41" s="1"/>
      <c r="D41" s="340"/>
      <c r="E41" s="1157"/>
      <c r="F41" s="1157"/>
      <c r="G41" s="1157"/>
      <c r="H41" s="1157"/>
      <c r="I41" s="1431"/>
      <c r="J41" s="1157"/>
      <c r="K41" s="1431"/>
      <c r="L41" s="1157"/>
      <c r="M41" s="1432"/>
      <c r="N41" s="1473"/>
      <c r="O41" s="1180"/>
      <c r="P41" s="1180"/>
      <c r="Q41" s="1180"/>
      <c r="R41" s="1180"/>
      <c r="S41" s="1180"/>
      <c r="T41" s="1180"/>
    </row>
    <row r="42" spans="1:20">
      <c r="A42" s="302" t="s">
        <v>29</v>
      </c>
      <c r="B42" s="1"/>
      <c r="C42" s="153"/>
      <c r="D42" s="341"/>
      <c r="E42" s="1419"/>
      <c r="F42" s="1419"/>
      <c r="G42" s="1419"/>
      <c r="H42" s="1419"/>
      <c r="I42" s="1433"/>
      <c r="J42" s="1419"/>
      <c r="K42" s="1433"/>
      <c r="L42" s="1419"/>
      <c r="M42" s="1434"/>
      <c r="N42" s="1473"/>
      <c r="O42" s="1180"/>
      <c r="P42" s="1180"/>
      <c r="Q42" s="1180"/>
      <c r="R42" s="1180"/>
      <c r="S42" s="1180"/>
      <c r="T42" s="1180"/>
    </row>
    <row r="43" spans="1:20">
      <c r="A43" s="67"/>
      <c r="B43" s="145" t="s">
        <v>124</v>
      </c>
      <c r="C43" s="276"/>
      <c r="D43" s="306">
        <v>8900</v>
      </c>
      <c r="E43" s="1158">
        <f>'2nd Interim-Unrestricted MYP'!E43+'2nd Interim-Restricted MYP'!E43</f>
        <v>0</v>
      </c>
      <c r="F43" s="1158">
        <f>'2nd Interim-Unrestricted MYP'!F43+'2nd Interim-Restricted MYP'!F43</f>
        <v>0</v>
      </c>
      <c r="G43" s="1158">
        <f>'2nd Interim-Unrestricted MYP'!G43+'2nd Interim-Restricted MYP'!G43</f>
        <v>0</v>
      </c>
      <c r="H43" s="1158">
        <f>'2nd Interim-Unrestricted MYP'!H43+'2nd Interim-Restricted MYP'!H43</f>
        <v>0</v>
      </c>
      <c r="I43" s="1302" t="str">
        <f>IF(E43&lt;1," ",IF(H43&lt;1," ",(H43-E43)/E43))</f>
        <v xml:space="preserve"> </v>
      </c>
      <c r="J43" s="1158">
        <f>'2nd Interim-Unrestricted MYP'!J43+'2nd Interim-Restricted MYP'!J43</f>
        <v>0</v>
      </c>
      <c r="K43" s="1302" t="str">
        <f>IF(H43&lt;1," ",IF(J43&lt;1," ",(J43-H43)/H43))</f>
        <v xml:space="preserve"> </v>
      </c>
      <c r="L43" s="1158">
        <f>'2nd Interim-Unrestricted MYP'!L43+'2nd Interim-Restricted MYP'!L43</f>
        <v>0</v>
      </c>
      <c r="M43" s="1303" t="str">
        <f>IF(J43&lt;1," ",IF(L43&lt;1," ",(L43-J43)/J43))</f>
        <v xml:space="preserve"> </v>
      </c>
      <c r="N43" s="1474"/>
      <c r="O43" s="1180"/>
      <c r="P43" s="1180"/>
      <c r="Q43" s="1180"/>
      <c r="R43" s="1180"/>
      <c r="S43" s="1180"/>
      <c r="T43" s="1180"/>
    </row>
    <row r="44" spans="1:20" ht="15.75" thickBot="1">
      <c r="A44" s="67"/>
      <c r="B44" s="883" t="s">
        <v>30</v>
      </c>
      <c r="C44" s="916"/>
      <c r="D44" s="912">
        <v>7600</v>
      </c>
      <c r="E44" s="1159">
        <f>'2nd Interim-Unrestricted MYP'!E44+'2nd Interim-Restricted MYP'!E44</f>
        <v>0</v>
      </c>
      <c r="F44" s="1159">
        <f>'2nd Interim-Unrestricted MYP'!F44+'2nd Interim-Restricted MYP'!F44</f>
        <v>0</v>
      </c>
      <c r="G44" s="1159">
        <f>'2nd Interim-Unrestricted MYP'!G44+'2nd Interim-Restricted MYP'!G44</f>
        <v>0</v>
      </c>
      <c r="H44" s="1159">
        <f>'2nd Interim-Unrestricted MYP'!H44+'2nd Interim-Restricted MYP'!H44</f>
        <v>0</v>
      </c>
      <c r="I44" s="1289" t="str">
        <f>IF(E44&lt;1," ",IF(H44&lt;1," ",(H44-E44)/E44))</f>
        <v xml:space="preserve"> </v>
      </c>
      <c r="J44" s="1159">
        <f>'2nd Interim-Unrestricted MYP'!J44+'2nd Interim-Restricted MYP'!J44</f>
        <v>0</v>
      </c>
      <c r="K44" s="1289" t="str">
        <f>IF(H44&lt;1," ",IF(J44&lt;1," ",(J44-H44)/H44))</f>
        <v xml:space="preserve"> </v>
      </c>
      <c r="L44" s="1159">
        <f>'2nd Interim-Unrestricted MYP'!L44+'2nd Interim-Restricted MYP'!L44</f>
        <v>0</v>
      </c>
      <c r="M44" s="1290" t="str">
        <f>IF(J44&lt;1," ",IF(L44&lt;1," ",(L44-J44)/J44))</f>
        <v xml:space="preserve"> </v>
      </c>
      <c r="N44" s="1474"/>
      <c r="O44" s="1180"/>
      <c r="P44" s="1180"/>
      <c r="Q44" s="1180"/>
      <c r="R44" s="1180"/>
      <c r="S44" s="1180"/>
      <c r="T44" s="1180"/>
    </row>
    <row r="45" spans="1:20" ht="16.149999999999999" thickTop="1" thickBot="1">
      <c r="A45" s="67"/>
      <c r="B45" s="896" t="s">
        <v>31</v>
      </c>
      <c r="C45" s="941"/>
      <c r="D45" s="942"/>
      <c r="E45" s="1135">
        <f>'2nd Interim-Unrestricted MYP'!E45+'2nd Interim-Restricted MYP'!E45</f>
        <v>0</v>
      </c>
      <c r="F45" s="1135">
        <f>F43-F44</f>
        <v>0</v>
      </c>
      <c r="G45" s="1135">
        <f>G43-G44</f>
        <v>0</v>
      </c>
      <c r="H45" s="1135">
        <f>H43-H44</f>
        <v>0</v>
      </c>
      <c r="I45" s="1414" t="str">
        <f>IF(E45&lt;1," ",IF(H45&lt;1," ",(H45-E45)/E45))</f>
        <v xml:space="preserve"> </v>
      </c>
      <c r="J45" s="1135">
        <f>J43-J44</f>
        <v>0</v>
      </c>
      <c r="K45" s="1414" t="str">
        <f>IF(H45&lt;1," ",IF(J45&lt;1," ",(J45-H45)/H45))</f>
        <v xml:space="preserve"> </v>
      </c>
      <c r="L45" s="1135">
        <f>L43-L44</f>
        <v>0</v>
      </c>
      <c r="M45" s="1415" t="str">
        <f>IF(J45&lt;1," ",IF(L45&lt;1," ",(L45-J45)/J45))</f>
        <v xml:space="preserve"> </v>
      </c>
      <c r="N45" s="1474"/>
      <c r="O45" s="1180"/>
      <c r="P45" s="1180"/>
      <c r="Q45" s="1180"/>
      <c r="R45" s="1180"/>
      <c r="S45" s="1180"/>
      <c r="T45" s="1180"/>
    </row>
    <row r="46" spans="1:20" ht="16.149999999999999" thickTop="1" thickBot="1">
      <c r="A46" s="67"/>
      <c r="B46" s="1"/>
      <c r="C46" s="1"/>
      <c r="D46" s="166"/>
      <c r="E46" s="1140"/>
      <c r="F46" s="1140"/>
      <c r="G46" s="1140"/>
      <c r="H46" s="1140"/>
      <c r="I46" s="1292"/>
      <c r="J46" s="1140"/>
      <c r="K46" s="1292"/>
      <c r="L46" s="1140"/>
      <c r="M46" s="1293"/>
      <c r="N46" s="1474"/>
      <c r="O46" s="1180"/>
      <c r="P46" s="1180"/>
      <c r="Q46" s="1180"/>
      <c r="R46" s="1180"/>
      <c r="S46" s="1180"/>
      <c r="T46" s="1180"/>
    </row>
    <row r="47" spans="1:20" ht="16.149999999999999" thickTop="1" thickBot="1">
      <c r="A47" s="899" t="s">
        <v>32</v>
      </c>
      <c r="B47" s="900"/>
      <c r="C47" s="904"/>
      <c r="D47" s="905"/>
      <c r="E47" s="1428">
        <f>E40+E45</f>
        <v>-306500.43972999975</v>
      </c>
      <c r="F47" s="1428" t="e">
        <f>F40+F45</f>
        <v>#VALUE!</v>
      </c>
      <c r="G47" s="1428">
        <f>G40+G45</f>
        <v>0</v>
      </c>
      <c r="H47" s="1428" t="e">
        <f>H40+H45</f>
        <v>#VALUE!</v>
      </c>
      <c r="I47" s="1429" t="str">
        <f>IF(E47&lt;1," ",IF(H47&lt;1," ",(H47-E47)/E47))</f>
        <v xml:space="preserve"> </v>
      </c>
      <c r="J47" s="1428" t="e">
        <f>J40+J45</f>
        <v>#VALUE!</v>
      </c>
      <c r="K47" s="1429" t="e">
        <f>IF(H47&lt;1," ",IF(J47&lt;1," ",(J47-H47)/H47))</f>
        <v>#VALUE!</v>
      </c>
      <c r="L47" s="1428" t="e">
        <f>L40+L45</f>
        <v>#VALUE!</v>
      </c>
      <c r="M47" s="1430" t="e">
        <f>IF(J47&lt;1," ",IF(L47&lt;1," ",(L47-J47)/J47))</f>
        <v>#VALUE!</v>
      </c>
      <c r="N47" s="1474"/>
      <c r="O47" s="1180"/>
      <c r="P47" s="1180"/>
      <c r="Q47" s="1180"/>
      <c r="R47" s="1180"/>
      <c r="S47" s="1180"/>
      <c r="T47" s="1180"/>
    </row>
    <row r="48" spans="1:20" ht="15.75" thickTop="1">
      <c r="A48" s="302"/>
      <c r="B48" s="1"/>
      <c r="C48" s="1"/>
      <c r="D48" s="166"/>
      <c r="E48" s="1140"/>
      <c r="F48" s="1140"/>
      <c r="G48" s="1140"/>
      <c r="H48" s="1140"/>
      <c r="I48" s="1435"/>
      <c r="J48" s="1140"/>
      <c r="K48" s="1435"/>
      <c r="L48" s="1140"/>
      <c r="M48" s="1436"/>
      <c r="N48" s="1473"/>
      <c r="O48" s="1180"/>
      <c r="P48" s="1180"/>
      <c r="Q48" s="1180"/>
      <c r="R48" s="1180"/>
      <c r="S48" s="1180"/>
      <c r="T48" s="1180"/>
    </row>
    <row r="49" spans="1:39">
      <c r="A49" s="302" t="s">
        <v>6</v>
      </c>
      <c r="B49" s="1"/>
      <c r="C49" s="153"/>
      <c r="D49" s="341"/>
      <c r="E49" s="1140"/>
      <c r="F49" s="1140"/>
      <c r="G49" s="1140"/>
      <c r="H49" s="1140"/>
      <c r="I49" s="1435"/>
      <c r="J49" s="1266"/>
      <c r="K49" s="1435"/>
      <c r="L49" s="1140"/>
      <c r="M49" s="1436"/>
      <c r="N49" s="1473"/>
      <c r="O49" s="1180"/>
      <c r="P49" s="1180"/>
      <c r="Q49" s="1180"/>
      <c r="R49" s="1180"/>
      <c r="S49" s="1180"/>
      <c r="T49" s="1180"/>
    </row>
    <row r="50" spans="1:39">
      <c r="A50" s="67"/>
      <c r="B50" s="289" t="s">
        <v>159</v>
      </c>
      <c r="C50" s="290"/>
      <c r="D50" s="291">
        <v>9791</v>
      </c>
      <c r="E50" s="1158">
        <f>'2nd Interim-Unrestricted MYP'!E50+'2nd Interim-Restricted MYP'!E50</f>
        <v>4559746.05</v>
      </c>
      <c r="F50" s="1158">
        <f>'2nd Interim-Unrestricted MYP'!F50+'2nd Interim-Restricted MYP'!F50</f>
        <v>4559746.05</v>
      </c>
      <c r="G50" s="1158">
        <f>'2nd Interim-Unrestricted MYP'!G50+'2nd Interim-Restricted MYP'!G50</f>
        <v>4559746.05</v>
      </c>
      <c r="H50" s="1158">
        <f>'2nd Interim-Unrestricted MYP'!H50+'2nd Interim-Restricted MYP'!H50</f>
        <v>4559746.05</v>
      </c>
      <c r="I50" s="1437">
        <f>IF(E50&lt;1," ",IF(H50&lt;1," ",(H50-E50)/E50))</f>
        <v>0</v>
      </c>
      <c r="J50" s="1438"/>
      <c r="K50" s="1439"/>
      <c r="L50" s="1440"/>
      <c r="M50" s="1441"/>
      <c r="N50" s="1473"/>
      <c r="O50" s="1180"/>
      <c r="P50" s="1180"/>
      <c r="Q50" s="1180"/>
      <c r="R50" s="1180"/>
      <c r="S50" s="1180"/>
      <c r="T50" s="1180"/>
    </row>
    <row r="51" spans="1:39">
      <c r="A51" s="67"/>
      <c r="B51" s="311" t="s">
        <v>133</v>
      </c>
      <c r="C51" s="312"/>
      <c r="D51" s="313">
        <v>9792</v>
      </c>
      <c r="E51" s="1442"/>
      <c r="F51" s="1158">
        <f>'2nd Interim-Unrestricted MYP'!F51+'2nd Interim-Restricted MYP'!F51</f>
        <v>0</v>
      </c>
      <c r="G51" s="1158">
        <f>'2nd Interim-Unrestricted MYP'!G51+'2nd Interim-Restricted MYP'!G51</f>
        <v>0</v>
      </c>
      <c r="H51" s="1158">
        <f>'2nd Interim-Unrestricted MYP'!H51+'2nd Interim-Restricted MYP'!H51</f>
        <v>0</v>
      </c>
      <c r="I51" s="1443"/>
      <c r="J51" s="1444"/>
      <c r="K51" s="1445"/>
      <c r="L51" s="1446"/>
      <c r="M51" s="1447"/>
      <c r="N51" s="1473"/>
      <c r="O51" s="1180"/>
      <c r="P51" s="1180"/>
      <c r="Q51" s="1180"/>
      <c r="R51" s="1180"/>
      <c r="S51" s="1180"/>
      <c r="T51" s="1180"/>
    </row>
    <row r="52" spans="1:39">
      <c r="A52" s="67"/>
      <c r="B52" s="311" t="str">
        <f>'Budget-Restricted MYP'!B52</f>
        <v xml:space="preserve">  Beg Fund Balance at Unaudited Actuals</v>
      </c>
      <c r="C52" s="312"/>
      <c r="D52" s="949"/>
      <c r="E52" s="1442"/>
      <c r="F52" s="1158">
        <f>'2nd Interim-Unrestricted MYP'!F52+'2nd Interim-Restricted MYP'!F52</f>
        <v>4559746.05</v>
      </c>
      <c r="G52" s="1158">
        <f>'2nd Interim-Unrestricted MYP'!G52+'2nd Interim-Restricted MYP'!G52</f>
        <v>4559746.05</v>
      </c>
      <c r="H52" s="1158">
        <f>'2nd Interim-Unrestricted MYP'!H52+'2nd Interim-Restricted MYP'!H52</f>
        <v>4559746.05</v>
      </c>
      <c r="I52" s="1443" t="str">
        <f>IF(E52&lt;1," ",IF(H52&lt;1," ",(H52-E52)/E52))</f>
        <v xml:space="preserve"> </v>
      </c>
      <c r="J52" s="1444"/>
      <c r="K52" s="1445"/>
      <c r="L52" s="1446"/>
      <c r="M52" s="1447"/>
      <c r="N52" s="1473"/>
      <c r="O52" s="1180"/>
      <c r="P52" s="1180"/>
      <c r="Q52" s="1180"/>
      <c r="R52" s="1180"/>
      <c r="S52" s="1180"/>
      <c r="T52" s="1180"/>
    </row>
    <row r="53" spans="1:39">
      <c r="A53" s="67"/>
      <c r="B53" s="311" t="s">
        <v>299</v>
      </c>
      <c r="C53" s="312"/>
      <c r="D53" s="313">
        <v>9793</v>
      </c>
      <c r="E53" s="1442"/>
      <c r="F53" s="1158">
        <f>'2nd Interim-Unrestricted MYP'!F53+'2nd Interim-Restricted MYP'!F53</f>
        <v>0</v>
      </c>
      <c r="G53" s="1158">
        <f>'2nd Interim-Unrestricted MYP'!G53+'2nd Interim-Restricted MYP'!G53</f>
        <v>0</v>
      </c>
      <c r="H53" s="1158">
        <f>'2nd Interim-Unrestricted MYP'!H53+'2nd Interim-Restricted MYP'!H53</f>
        <v>0</v>
      </c>
      <c r="I53" s="1443"/>
      <c r="J53" s="1448"/>
      <c r="K53" s="1445"/>
      <c r="L53" s="1446"/>
      <c r="M53" s="1447"/>
      <c r="N53" s="1473"/>
      <c r="O53" s="1180"/>
      <c r="P53" s="1180"/>
      <c r="Q53" s="1180"/>
      <c r="R53" s="1180"/>
      <c r="S53" s="1180"/>
      <c r="T53" s="1180"/>
    </row>
    <row r="54" spans="1:39">
      <c r="A54" s="67"/>
      <c r="B54" s="311" t="s">
        <v>298</v>
      </c>
      <c r="C54" s="312"/>
      <c r="D54" s="313">
        <v>9795</v>
      </c>
      <c r="E54" s="1442"/>
      <c r="F54" s="1158">
        <f>'2nd Interim-Unrestricted MYP'!F54+'2nd Interim-Restricted MYP'!F54</f>
        <v>0</v>
      </c>
      <c r="G54" s="1158">
        <f>'2nd Interim-Unrestricted MYP'!G54+'2nd Interim-Restricted MYP'!G54</f>
        <v>0</v>
      </c>
      <c r="H54" s="1158">
        <f>'2nd Interim-Unrestricted MYP'!H54+'2nd Interim-Restricted MYP'!H54</f>
        <v>0</v>
      </c>
      <c r="I54" s="1443"/>
      <c r="J54" s="1449"/>
      <c r="K54" s="1450"/>
      <c r="L54" s="1451"/>
      <c r="M54" s="1452"/>
      <c r="N54" s="1473"/>
      <c r="O54" s="1180"/>
      <c r="P54" s="1180"/>
      <c r="Q54" s="1180"/>
      <c r="R54" s="1180"/>
      <c r="S54" s="1180"/>
      <c r="T54" s="1180"/>
    </row>
    <row r="55" spans="1:39" ht="15.75" thickBot="1">
      <c r="A55" s="67"/>
      <c r="B55" s="894" t="str">
        <f>'Budget-Restricted MYP'!B55</f>
        <v xml:space="preserve">  Beginning Fund Balance as per Audit Report +/- Restatements</v>
      </c>
      <c r="C55" s="496"/>
      <c r="D55" s="895"/>
      <c r="E55" s="1159">
        <f>'2nd Interim-Unrestricted MYP'!E55+'2nd Interim-Restricted MYP'!E55</f>
        <v>0</v>
      </c>
      <c r="F55" s="1159">
        <f>'2nd Interim-Unrestricted MYP'!F55+'2nd Interim-Restricted MYP'!F55</f>
        <v>4559746.05</v>
      </c>
      <c r="G55" s="1159">
        <f>'2nd Interim-Unrestricted MYP'!G55+'2nd Interim-Restricted MYP'!G55</f>
        <v>4559746.05</v>
      </c>
      <c r="H55" s="1159">
        <f>'2nd Interim-Unrestricted MYP'!H55+'2nd Interim-Restricted MYP'!H55</f>
        <v>4559746.05</v>
      </c>
      <c r="I55" s="1453" t="str">
        <f>IF(E55&lt;1," ",IF(H55&lt;1," ",(H55-E55)/E55))</f>
        <v xml:space="preserve"> </v>
      </c>
      <c r="J55" s="1454" t="e">
        <f>H56</f>
        <v>#VALUE!</v>
      </c>
      <c r="K55" s="1455"/>
      <c r="L55" s="1456" t="e">
        <f>J56</f>
        <v>#VALUE!</v>
      </c>
      <c r="M55" s="1457" t="e">
        <f>IF(J55&lt;1," ",IF(L55&lt;1," ",(L55-J55)/J55))</f>
        <v>#VALUE!</v>
      </c>
      <c r="N55" s="1473"/>
      <c r="O55" s="1180"/>
      <c r="P55" s="1181"/>
      <c r="Q55" s="3"/>
      <c r="R55" s="3"/>
      <c r="S55" s="3"/>
      <c r="T55" s="3"/>
      <c r="U55" s="1"/>
      <c r="V55" s="1"/>
      <c r="W55" s="1"/>
      <c r="X55" s="1"/>
      <c r="Y55" s="1"/>
      <c r="Z55" s="1"/>
      <c r="AA55" s="1"/>
      <c r="AB55" s="1"/>
      <c r="AC55" s="1"/>
      <c r="AD55" s="1"/>
      <c r="AE55" s="1"/>
      <c r="AF55" s="1"/>
      <c r="AG55" s="1"/>
      <c r="AH55" s="1"/>
      <c r="AI55" s="1"/>
      <c r="AJ55" s="1"/>
      <c r="AK55" s="1"/>
      <c r="AL55" s="1"/>
      <c r="AM55" s="1"/>
    </row>
    <row r="56" spans="1:39" ht="16.149999999999999" thickTop="1" thickBot="1">
      <c r="A56" s="67"/>
      <c r="B56" s="896" t="s">
        <v>33</v>
      </c>
      <c r="C56" s="897"/>
      <c r="D56" s="898">
        <v>9790</v>
      </c>
      <c r="E56" s="1135">
        <f>'2nd Interim-Unrestricted MYP'!E56+'2nd Interim-Restricted MYP'!E56</f>
        <v>4253245.1947099995</v>
      </c>
      <c r="F56" s="1135" t="e">
        <f>'2nd Interim-Unrestricted MYP'!F56+'2nd Interim-Restricted MYP'!F56</f>
        <v>#VALUE!</v>
      </c>
      <c r="G56" s="1135">
        <f>'2nd Interim-Unrestricted MYP'!G56+'2nd Interim-Restricted MYP'!G56</f>
        <v>4559746</v>
      </c>
      <c r="H56" s="1135" t="e">
        <f>'2nd Interim-Unrestricted MYP'!H56+'2nd Interim-Restricted MYP'!H56</f>
        <v>#VALUE!</v>
      </c>
      <c r="I56" s="1458" t="e">
        <f>IF(E56&lt;1," ",IF(H56&lt;1," ",(H56-E56)/E56))</f>
        <v>#VALUE!</v>
      </c>
      <c r="J56" s="1135" t="e">
        <f>J55+J47</f>
        <v>#VALUE!</v>
      </c>
      <c r="K56" s="1458" t="e">
        <f>IF(H56&lt;1," ",IF(J56&lt;1," ",(J56-H56)/H56))</f>
        <v>#VALUE!</v>
      </c>
      <c r="L56" s="1135" t="e">
        <f>L47+L55</f>
        <v>#VALUE!</v>
      </c>
      <c r="M56" s="1459" t="e">
        <f>IF(J56&lt;1," ",IF(L56&lt;1," ",(L56-J56)/J56))</f>
        <v>#VALUE!</v>
      </c>
      <c r="N56" s="1473"/>
      <c r="O56" s="1180"/>
      <c r="P56" s="1180"/>
      <c r="Q56" s="1180"/>
      <c r="R56" s="1180"/>
      <c r="S56" s="1180"/>
      <c r="T56" s="1180"/>
    </row>
    <row r="57" spans="1:39" ht="15.75" thickTop="1">
      <c r="A57" s="67"/>
      <c r="B57" s="1"/>
      <c r="C57" s="1"/>
      <c r="D57" s="166"/>
      <c r="E57" s="1460"/>
      <c r="F57" s="1460"/>
      <c r="G57" s="1460"/>
      <c r="H57" s="1460"/>
      <c r="I57" s="1292"/>
      <c r="J57" s="1460"/>
      <c r="K57" s="1292"/>
      <c r="L57" s="1460"/>
      <c r="M57" s="1293"/>
      <c r="N57" s="1474"/>
      <c r="O57" s="1180"/>
      <c r="P57" s="1180"/>
      <c r="Q57" s="1180"/>
      <c r="R57" s="1180"/>
      <c r="S57" s="1180"/>
      <c r="T57" s="1180"/>
    </row>
    <row r="58" spans="1:39">
      <c r="A58" s="320" t="s">
        <v>139</v>
      </c>
      <c r="B58"/>
      <c r="C58" s="97"/>
      <c r="D58" s="545" t="s">
        <v>2</v>
      </c>
      <c r="E58" s="1461"/>
      <c r="F58" s="1140"/>
      <c r="G58" s="1140"/>
      <c r="H58" s="1140"/>
      <c r="I58" s="1292"/>
      <c r="J58" s="1140"/>
      <c r="K58" s="1292"/>
      <c r="L58" s="1140"/>
      <c r="M58" s="1293"/>
      <c r="N58" s="1474"/>
      <c r="O58" s="1180"/>
      <c r="P58" s="1180"/>
      <c r="Q58" s="1180"/>
      <c r="R58" s="1180"/>
      <c r="S58" s="1180"/>
      <c r="T58" s="1180"/>
    </row>
    <row r="59" spans="1:39">
      <c r="A59" s="67"/>
      <c r="B59" s="502" t="s">
        <v>7</v>
      </c>
      <c r="C59" s="503" t="s">
        <v>140</v>
      </c>
      <c r="D59" s="351"/>
      <c r="E59" s="1462"/>
      <c r="F59" s="1462"/>
      <c r="G59" s="1462"/>
      <c r="H59" s="1462"/>
      <c r="I59" s="1463"/>
      <c r="J59" s="1462"/>
      <c r="K59" s="1463"/>
      <c r="L59" s="1462"/>
      <c r="M59" s="1464"/>
      <c r="N59" s="1473"/>
      <c r="O59" s="1180"/>
      <c r="P59" s="1180"/>
      <c r="Q59" s="1180"/>
      <c r="R59" s="1180"/>
      <c r="S59" s="1180"/>
      <c r="T59" s="1180"/>
    </row>
    <row r="60" spans="1:39">
      <c r="A60" s="67"/>
      <c r="B60" s="347"/>
      <c r="C60" s="345" t="s">
        <v>34</v>
      </c>
      <c r="D60" s="285">
        <v>9711</v>
      </c>
      <c r="E60" s="1158">
        <f>'2nd Interim-Unrestricted MYP'!E60+'2nd Interim-Restricted MYP'!E60</f>
        <v>0</v>
      </c>
      <c r="F60" s="1158">
        <f>'2nd Interim-Unrestricted MYP'!F60+'2nd Interim-Restricted MYP'!F60</f>
        <v>0</v>
      </c>
      <c r="G60" s="1158">
        <f>'2nd Interim-Unrestricted MYP'!G60+'2nd Interim-Restricted MYP'!G60</f>
        <v>0</v>
      </c>
      <c r="H60" s="1158">
        <f>'2nd Interim-Unrestricted MYP'!H60+'2nd Interim-Restricted MYP'!H60</f>
        <v>0</v>
      </c>
      <c r="I60" s="1302" t="str">
        <f>IF(E60&lt;1," ",IF(H60&lt;1," ",(H60-E60)/E60))</f>
        <v xml:space="preserve"> </v>
      </c>
      <c r="J60" s="1158">
        <f>'2nd Interim-Unrestricted MYP'!J60+'2nd Interim-Restricted MYP'!J60</f>
        <v>0</v>
      </c>
      <c r="K60" s="1302" t="str">
        <f>IF(H60&lt;1," ",IF(J60&lt;1," ",(J60-H60)/H60))</f>
        <v xml:space="preserve"> </v>
      </c>
      <c r="L60" s="1158">
        <f>'2nd Interim-Unrestricted MYP'!L60+'2nd Interim-Restricted MYP'!L60</f>
        <v>0</v>
      </c>
      <c r="M60" s="1303" t="str">
        <f>IF(J60&lt;1," ",IF(L60&lt;1," ",(L60-J60)/J60))</f>
        <v xml:space="preserve"> </v>
      </c>
      <c r="N60" s="1474"/>
      <c r="O60" s="1180"/>
      <c r="P60" s="1180"/>
      <c r="Q60" s="1180"/>
      <c r="R60" s="1180"/>
      <c r="S60" s="1180"/>
      <c r="T60" s="1180"/>
    </row>
    <row r="61" spans="1:39">
      <c r="A61" s="67"/>
      <c r="B61" s="344"/>
      <c r="C61" s="345" t="s">
        <v>10</v>
      </c>
      <c r="D61" s="285">
        <v>9712</v>
      </c>
      <c r="E61" s="1158">
        <f>'2nd Interim-Unrestricted MYP'!E61+'2nd Interim-Restricted MYP'!E61</f>
        <v>0</v>
      </c>
      <c r="F61" s="1158">
        <f>'2nd Interim-Unrestricted MYP'!F61+'2nd Interim-Restricted MYP'!F61</f>
        <v>0</v>
      </c>
      <c r="G61" s="1158">
        <f>'2nd Interim-Unrestricted MYP'!G61+'2nd Interim-Restricted MYP'!G61</f>
        <v>0</v>
      </c>
      <c r="H61" s="1158">
        <f>'2nd Interim-Unrestricted MYP'!H61+'2nd Interim-Restricted MYP'!H61</f>
        <v>0</v>
      </c>
      <c r="I61" s="1302" t="str">
        <f>IF(E61&lt;1," ",IF(H61&lt;1," ",(H61-E61)/E61))</f>
        <v xml:space="preserve"> </v>
      </c>
      <c r="J61" s="1158">
        <f>'2nd Interim-Unrestricted MYP'!J61+'2nd Interim-Restricted MYP'!J61</f>
        <v>0</v>
      </c>
      <c r="K61" s="1302" t="str">
        <f>IF(H61&lt;1," ",IF(J61&lt;1," ",(J61-H61)/H61))</f>
        <v xml:space="preserve"> </v>
      </c>
      <c r="L61" s="1158">
        <f>'2nd Interim-Unrestricted MYP'!L61+'2nd Interim-Restricted MYP'!L61</f>
        <v>0</v>
      </c>
      <c r="M61" s="1303" t="str">
        <f>IF(J61&lt;1," ",IF(L61&lt;1," ",(L61-J61)/J61))</f>
        <v xml:space="preserve"> </v>
      </c>
      <c r="N61" s="1474"/>
      <c r="O61" s="1180"/>
      <c r="P61" s="1180"/>
      <c r="Q61" s="1180"/>
      <c r="R61" s="1180"/>
      <c r="S61" s="1180"/>
      <c r="T61" s="1180"/>
    </row>
    <row r="62" spans="1:39" ht="16.5" customHeight="1">
      <c r="A62" s="67"/>
      <c r="B62" s="344"/>
      <c r="C62" s="345" t="s">
        <v>11</v>
      </c>
      <c r="D62" s="285">
        <v>9713</v>
      </c>
      <c r="E62" s="1158">
        <f>'2nd Interim-Unrestricted MYP'!E62+'2nd Interim-Restricted MYP'!E62</f>
        <v>0</v>
      </c>
      <c r="F62" s="1158">
        <f>'2nd Interim-Unrestricted MYP'!F62+'2nd Interim-Restricted MYP'!F62</f>
        <v>0</v>
      </c>
      <c r="G62" s="1158">
        <f>'2nd Interim-Unrestricted MYP'!G62+'2nd Interim-Restricted MYP'!G62</f>
        <v>0</v>
      </c>
      <c r="H62" s="1158">
        <f>'2nd Interim-Unrestricted MYP'!H62+'2nd Interim-Restricted MYP'!H62</f>
        <v>0</v>
      </c>
      <c r="I62" s="1302" t="str">
        <f>IF(E62&lt;1," ",IF(H62&lt;1," ",(H62-E62)/E62))</f>
        <v xml:space="preserve"> </v>
      </c>
      <c r="J62" s="1158">
        <f>'2nd Interim-Unrestricted MYP'!J62+'2nd Interim-Restricted MYP'!J62</f>
        <v>0</v>
      </c>
      <c r="K62" s="1302" t="str">
        <f>IF(H62&lt;1," ",IF(J62&lt;1," ",(J62-H62)/H62))</f>
        <v xml:space="preserve"> </v>
      </c>
      <c r="L62" s="1158">
        <f>'2nd Interim-Unrestricted MYP'!L62+'2nd Interim-Restricted MYP'!L62</f>
        <v>0</v>
      </c>
      <c r="M62" s="1303" t="str">
        <f>IF(J62&lt;1," ",IF(L62&lt;1," ",(L62-J62)/J62))</f>
        <v xml:space="preserve"> </v>
      </c>
      <c r="N62" s="1474"/>
      <c r="O62" s="1180"/>
      <c r="P62" s="1180"/>
      <c r="Q62" s="1180"/>
      <c r="R62" s="1180"/>
      <c r="S62" s="1180"/>
      <c r="T62" s="1180"/>
    </row>
    <row r="63" spans="1:39">
      <c r="A63" s="67"/>
      <c r="B63" s="344"/>
      <c r="C63" s="345" t="s">
        <v>141</v>
      </c>
      <c r="D63" s="285">
        <v>9719</v>
      </c>
      <c r="E63" s="1158">
        <f>'2nd Interim-Unrestricted MYP'!E63+'2nd Interim-Restricted MYP'!E63</f>
        <v>0</v>
      </c>
      <c r="F63" s="1158">
        <f>'2nd Interim-Unrestricted MYP'!F63+'2nd Interim-Restricted MYP'!F63</f>
        <v>0</v>
      </c>
      <c r="G63" s="1158">
        <f>'2nd Interim-Unrestricted MYP'!G63+'2nd Interim-Restricted MYP'!G63</f>
        <v>0</v>
      </c>
      <c r="H63" s="1158">
        <f>'2nd Interim-Unrestricted MYP'!H63+'2nd Interim-Restricted MYP'!H63</f>
        <v>0</v>
      </c>
      <c r="I63" s="1302" t="str">
        <f>IF(E63&lt;1," ",IF(H63&lt;1," ",(H63-E63)/E63))</f>
        <v xml:space="preserve"> </v>
      </c>
      <c r="J63" s="1158">
        <f>'2nd Interim-Unrestricted MYP'!J63+'2nd Interim-Restricted MYP'!J63</f>
        <v>0</v>
      </c>
      <c r="K63" s="1302" t="str">
        <f>IF(H63&lt;1," ",IF(J63&lt;1," ",(J63-H63)/H63))</f>
        <v xml:space="preserve"> </v>
      </c>
      <c r="L63" s="1158">
        <f>'2nd Interim-Unrestricted MYP'!L63+'2nd Interim-Restricted MYP'!L63</f>
        <v>0</v>
      </c>
      <c r="M63" s="1303" t="str">
        <f>IF(J63&lt;1," ",IF(L63&lt;1," ",(L63-J63)/J63))</f>
        <v xml:space="preserve"> </v>
      </c>
      <c r="N63" s="1474"/>
      <c r="O63" s="1180"/>
      <c r="P63" s="1180"/>
      <c r="Q63" s="1180"/>
      <c r="R63" s="1180"/>
      <c r="S63" s="1180"/>
      <c r="T63" s="1180"/>
    </row>
    <row r="64" spans="1:39">
      <c r="A64" s="67"/>
      <c r="B64" s="344" t="s">
        <v>8</v>
      </c>
      <c r="C64" s="346" t="s">
        <v>142</v>
      </c>
      <c r="D64" s="285">
        <v>9740</v>
      </c>
      <c r="E64" s="1158">
        <f>'2nd Interim-Unrestricted MYP'!E64+'2nd Interim-Restricted MYP'!E64</f>
        <v>2403949</v>
      </c>
      <c r="F64" s="1158" t="e">
        <f>'2nd Interim-Unrestricted MYP'!F64+'2nd Interim-Restricted MYP'!F64</f>
        <v>#VALUE!</v>
      </c>
      <c r="G64" s="1158">
        <f>'2nd Interim-Unrestricted MYP'!G64+'2nd Interim-Restricted MYP'!G64</f>
        <v>2078650</v>
      </c>
      <c r="H64" s="1158" t="e">
        <f>'2nd Interim-Unrestricted MYP'!H64+'2nd Interim-Restricted MYP'!H64</f>
        <v>#VALUE!</v>
      </c>
      <c r="I64" s="1302" t="e">
        <f>IF(E64&lt;1," ",IF(H64&lt;1," ",(H64-E64)/E64))</f>
        <v>#VALUE!</v>
      </c>
      <c r="J64" s="1158" t="e">
        <f>'2nd Interim-Unrestricted MYP'!J64+'2nd Interim-Restricted MYP'!J64</f>
        <v>#VALUE!</v>
      </c>
      <c r="K64" s="1302" t="e">
        <f>IF(H64&lt;1," ",IF(J64&lt;1," ",(J64-H64)/H64))</f>
        <v>#VALUE!</v>
      </c>
      <c r="L64" s="1158" t="e">
        <f>'2nd Interim-Unrestricted MYP'!L64+'2nd Interim-Restricted MYP'!L64</f>
        <v>#VALUE!</v>
      </c>
      <c r="M64" s="1303" t="e">
        <f>IF(J64&lt;1," ",IF(L64&lt;1," ",(L64-J64)/J64))</f>
        <v>#VALUE!</v>
      </c>
      <c r="N64" s="1474"/>
      <c r="O64" s="1180"/>
      <c r="P64" s="1180"/>
      <c r="Q64" s="1180"/>
      <c r="R64" s="1180"/>
      <c r="S64" s="1180"/>
      <c r="T64" s="1180"/>
    </row>
    <row r="65" spans="1:21">
      <c r="A65" s="67"/>
      <c r="B65" s="344" t="s">
        <v>9</v>
      </c>
      <c r="C65" s="350" t="s">
        <v>344</v>
      </c>
      <c r="D65" s="972"/>
      <c r="E65" s="1167"/>
      <c r="F65" s="1167"/>
      <c r="G65" s="1167"/>
      <c r="H65" s="1167"/>
      <c r="I65" s="1465"/>
      <c r="J65" s="1167"/>
      <c r="K65" s="1465"/>
      <c r="L65" s="863"/>
      <c r="M65" s="849"/>
      <c r="N65" s="1476"/>
      <c r="O65" s="1180"/>
      <c r="P65" s="1180"/>
      <c r="Q65" s="1180"/>
      <c r="R65" s="1180"/>
      <c r="S65" s="1180"/>
      <c r="T65" s="1180"/>
    </row>
    <row r="66" spans="1:21">
      <c r="A66" s="67"/>
      <c r="B66" s="344"/>
      <c r="C66" s="345" t="s">
        <v>143</v>
      </c>
      <c r="D66" s="286">
        <v>9750</v>
      </c>
      <c r="E66" s="1158">
        <f>'2nd Interim-Unrestricted MYP'!E66+'2nd Interim-Restricted MYP'!E66</f>
        <v>0</v>
      </c>
      <c r="F66" s="1158">
        <f>'2nd Interim-Unrestricted MYP'!F66+'2nd Interim-Restricted MYP'!F66</f>
        <v>0</v>
      </c>
      <c r="G66" s="1158">
        <f>'2nd Interim-Unrestricted MYP'!G66+'2nd Interim-Restricted MYP'!G66</f>
        <v>0</v>
      </c>
      <c r="H66" s="1158">
        <f>'2nd Interim-Unrestricted MYP'!H66+'2nd Interim-Restricted MYP'!H66</f>
        <v>0</v>
      </c>
      <c r="I66" s="1302" t="str">
        <f>IF(E66&lt;1," ",IF(H66&lt;1," ",(H66-E66)/E66))</f>
        <v xml:space="preserve"> </v>
      </c>
      <c r="J66" s="1158">
        <f>'2nd Interim-Unrestricted MYP'!J66+'2nd Interim-Restricted MYP'!J66</f>
        <v>0</v>
      </c>
      <c r="K66" s="1302" t="str">
        <f>IF(H66&lt;1," ",IF(J66&lt;1," ",(J66-H66)/H66))</f>
        <v xml:space="preserve"> </v>
      </c>
      <c r="L66" s="1158">
        <f>'2nd Interim-Unrestricted MYP'!L66+'2nd Interim-Restricted MYP'!L66</f>
        <v>0</v>
      </c>
      <c r="M66" s="1303" t="str">
        <f>IF(J66&lt;1," ",IF(L66&lt;1," ",(L66-J66)/J66))</f>
        <v xml:space="preserve"> </v>
      </c>
      <c r="N66" s="1474"/>
      <c r="O66" s="1180"/>
      <c r="P66" s="1180"/>
      <c r="Q66" s="1180"/>
      <c r="R66" s="1180"/>
      <c r="S66" s="1180"/>
      <c r="T66" s="1180"/>
    </row>
    <row r="67" spans="1:21">
      <c r="A67" s="67"/>
      <c r="B67" s="344"/>
      <c r="C67" s="345" t="s">
        <v>144</v>
      </c>
      <c r="D67" s="286">
        <v>9760</v>
      </c>
      <c r="E67" s="1158">
        <f>'2nd Interim-Unrestricted MYP'!E67+'2nd Interim-Restricted MYP'!E67</f>
        <v>0</v>
      </c>
      <c r="F67" s="1158">
        <f>'2nd Interim-Unrestricted MYP'!F67+'2nd Interim-Restricted MYP'!F67</f>
        <v>0</v>
      </c>
      <c r="G67" s="1158">
        <f>'2nd Interim-Unrestricted MYP'!G67+'2nd Interim-Restricted MYP'!G67</f>
        <v>0</v>
      </c>
      <c r="H67" s="1158">
        <f>'2nd Interim-Unrestricted MYP'!H67+'2nd Interim-Restricted MYP'!H67</f>
        <v>0</v>
      </c>
      <c r="I67" s="1302" t="str">
        <f>IF(E67&lt;1," ",IF(H67&lt;1," ",(H67-E67)/E67))</f>
        <v xml:space="preserve"> </v>
      </c>
      <c r="J67" s="1158">
        <f>'2nd Interim-Unrestricted MYP'!J67+'2nd Interim-Restricted MYP'!J67</f>
        <v>0</v>
      </c>
      <c r="K67" s="1302" t="str">
        <f>IF(H67&lt;1," ",IF(J67&lt;1," ",(J67-H67)/H67))</f>
        <v xml:space="preserve"> </v>
      </c>
      <c r="L67" s="1158">
        <f>'2nd Interim-Unrestricted MYP'!L67+'2nd Interim-Restricted MYP'!L67</f>
        <v>0</v>
      </c>
      <c r="M67" s="1303" t="str">
        <f>IF(J67&lt;1," ",IF(L67&lt;1," ",(L67-J67)/J67))</f>
        <v xml:space="preserve"> </v>
      </c>
      <c r="N67" s="1474"/>
      <c r="O67" s="1180"/>
      <c r="P67" s="1180"/>
      <c r="Q67" s="1180"/>
      <c r="R67" s="1180"/>
      <c r="S67" s="1180"/>
      <c r="T67" s="1180"/>
    </row>
    <row r="68" spans="1:21">
      <c r="A68" s="67"/>
      <c r="B68" s="344" t="s">
        <v>38</v>
      </c>
      <c r="C68" s="346" t="s">
        <v>145</v>
      </c>
      <c r="D68" s="285">
        <v>9780</v>
      </c>
      <c r="E68" s="1158">
        <f>'2nd Interim-Unrestricted MYP'!E68+'2nd Interim-Restricted MYP'!E68</f>
        <v>0</v>
      </c>
      <c r="F68" s="1158">
        <f>'2nd Interim-Unrestricted MYP'!F68+'2nd Interim-Restricted MYP'!F68</f>
        <v>0</v>
      </c>
      <c r="G68" s="1158">
        <f>'2nd Interim-Unrestricted MYP'!G68+'2nd Interim-Restricted MYP'!G68</f>
        <v>0</v>
      </c>
      <c r="H68" s="1158">
        <f>'2nd Interim-Unrestricted MYP'!H68+'2nd Interim-Restricted MYP'!H68</f>
        <v>0</v>
      </c>
      <c r="I68" s="1302" t="str">
        <f>IF(E68&lt;1," ",IF(H68&lt;1," ",(H68-E68)/E68))</f>
        <v xml:space="preserve"> </v>
      </c>
      <c r="J68" s="1158">
        <f>'2nd Interim-Unrestricted MYP'!J68+'2nd Interim-Restricted MYP'!J68</f>
        <v>0</v>
      </c>
      <c r="K68" s="1302" t="str">
        <f>IF(H68&lt;1," ",IF(J68&lt;1," ",(J68-H68)/H68))</f>
        <v xml:space="preserve"> </v>
      </c>
      <c r="L68" s="1158">
        <f>'2nd Interim-Unrestricted MYP'!L68+'2nd Interim-Restricted MYP'!L68</f>
        <v>0</v>
      </c>
      <c r="M68" s="1303" t="str">
        <f>IF(J68&lt;1," ",IF(L68&lt;1," ",(L68-J68)/J68))</f>
        <v xml:space="preserve"> </v>
      </c>
      <c r="N68" s="1474"/>
      <c r="O68" s="1180"/>
      <c r="P68" s="1180"/>
      <c r="Q68" s="1180"/>
      <c r="R68" s="1180"/>
      <c r="S68" s="1180"/>
      <c r="T68" s="1180"/>
    </row>
    <row r="69" spans="1:21">
      <c r="A69" s="67"/>
      <c r="B69" s="344" t="s">
        <v>40</v>
      </c>
      <c r="C69" s="350" t="s">
        <v>347</v>
      </c>
      <c r="D69" s="592"/>
      <c r="E69" s="1167"/>
      <c r="F69" s="1167"/>
      <c r="G69" s="1167"/>
      <c r="H69" s="1167"/>
      <c r="I69" s="1465"/>
      <c r="J69" s="1167"/>
      <c r="K69" s="1465"/>
      <c r="L69" s="863"/>
      <c r="M69" s="849"/>
      <c r="N69" s="1476"/>
      <c r="O69" s="1180"/>
      <c r="P69" s="1180"/>
      <c r="Q69" s="1180"/>
      <c r="R69" s="1180"/>
      <c r="S69" s="1180"/>
      <c r="T69" s="1180"/>
    </row>
    <row r="70" spans="1:21">
      <c r="A70" s="67"/>
      <c r="B70" s="344"/>
      <c r="C70" s="345" t="s">
        <v>345</v>
      </c>
      <c r="D70" s="286">
        <v>9789</v>
      </c>
      <c r="E70" s="1158">
        <f>'2nd Interim-Unrestricted MYP'!E70+'2nd Interim-Restricted MYP'!E70</f>
        <v>456269.25</v>
      </c>
      <c r="F70" s="1158">
        <f>'2nd Interim-Unrestricted MYP'!F70+'2nd Interim-Restricted MYP'!F70</f>
        <v>0</v>
      </c>
      <c r="G70" s="1158">
        <f>'2nd Interim-Unrestricted MYP'!G70+'2nd Interim-Restricted MYP'!G70</f>
        <v>0</v>
      </c>
      <c r="H70" s="1158">
        <f>'2nd Interim-Unrestricted MYP'!H70+'2nd Interim-Restricted MYP'!H70</f>
        <v>0</v>
      </c>
      <c r="I70" s="1302" t="str">
        <f>IF(E70&lt;1," ",IF(H70&lt;1," ",(H70-E70)/E70))</f>
        <v xml:space="preserve"> </v>
      </c>
      <c r="J70" s="1158">
        <f>'2nd Interim-Unrestricted MYP'!J70+'2nd Interim-Restricted MYP'!J70</f>
        <v>0</v>
      </c>
      <c r="K70" s="1302" t="str">
        <f>IF(H70&lt;1," ",IF(J70&lt;1," ",(J70-H70)/H70))</f>
        <v xml:space="preserve"> </v>
      </c>
      <c r="L70" s="1158">
        <f>'2nd Interim-Unrestricted MYP'!L70+'2nd Interim-Restricted MYP'!L70</f>
        <v>0</v>
      </c>
      <c r="M70" s="1303" t="str">
        <f>IF(J70&lt;1," ",IF(L70&lt;1," ",(L70-J70)/J70))</f>
        <v xml:space="preserve"> </v>
      </c>
      <c r="N70" s="1352"/>
      <c r="O70" s="1813" t="s">
        <v>408</v>
      </c>
      <c r="P70" s="1813"/>
      <c r="Q70" s="1813"/>
      <c r="R70" s="1813"/>
      <c r="S70" s="1813" t="s">
        <v>409</v>
      </c>
      <c r="T70" s="1813"/>
      <c r="U70" s="1813"/>
    </row>
    <row r="71" spans="1:21" ht="15.75" thickBot="1">
      <c r="A71" s="67"/>
      <c r="B71" s="883"/>
      <c r="C71" s="889" t="s">
        <v>346</v>
      </c>
      <c r="D71" s="617">
        <v>9790</v>
      </c>
      <c r="E71" s="1158">
        <f>'2nd Interim-Unrestricted MYP'!E71+'2nd Interim-Restricted MYP'!E71</f>
        <v>1393026.9447099995</v>
      </c>
      <c r="F71" s="1158" t="e">
        <f>'2nd Interim-Unrestricted MYP'!F71+'2nd Interim-Restricted MYP'!F71</f>
        <v>#VALUE!</v>
      </c>
      <c r="G71" s="1158">
        <f>'2nd Interim-Unrestricted MYP'!G71+'2nd Interim-Restricted MYP'!G71</f>
        <v>2481096</v>
      </c>
      <c r="H71" s="1158" t="e">
        <f>'2nd Interim-Unrestricted MYP'!H71+'2nd Interim-Restricted MYP'!H71</f>
        <v>#VALUE!</v>
      </c>
      <c r="I71" s="1302" t="e">
        <f>IF(E71&lt;1," ",IF(H71&lt;1," ",(H71-E71)/E71))</f>
        <v>#VALUE!</v>
      </c>
      <c r="J71" s="1158" t="e">
        <f>'2nd Interim-Unrestricted MYP'!J71+'2nd Interim-Restricted MYP'!J71</f>
        <v>#VALUE!</v>
      </c>
      <c r="K71" s="1302" t="e">
        <f>IF(H71&lt;1," ",IF(J71&lt;1," ",(J71-H71)/H71))</f>
        <v>#VALUE!</v>
      </c>
      <c r="L71" s="1158" t="e">
        <f>'2nd Interim-Unrestricted MYP'!L71+'2nd Interim-Restricted MYP'!L71</f>
        <v>#VALUE!</v>
      </c>
      <c r="M71" s="1303" t="e">
        <f>IF(J71&lt;1," ",IF(L71&lt;1," ",(L71-J71)/J71))</f>
        <v>#VALUE!</v>
      </c>
      <c r="N71" s="1352"/>
      <c r="O71" s="1307">
        <v>0.05</v>
      </c>
      <c r="P71" s="134" t="s">
        <v>406</v>
      </c>
      <c r="Q71" s="1308">
        <v>71000</v>
      </c>
      <c r="R71" s="134" t="s">
        <v>407</v>
      </c>
      <c r="S71" s="1309">
        <v>0</v>
      </c>
      <c r="T71" s="200" t="s">
        <v>410</v>
      </c>
      <c r="U71" s="1309">
        <v>300</v>
      </c>
    </row>
    <row r="72" spans="1:21" ht="16.149999999999999" thickTop="1" thickBot="1">
      <c r="A72" s="236"/>
      <c r="B72" s="1884" t="s">
        <v>315</v>
      </c>
      <c r="C72" s="1885"/>
      <c r="D72" s="1885"/>
      <c r="E72" s="1466">
        <f>(E70+E71)/(+E38+E44)</f>
        <v>0.1959865329017586</v>
      </c>
      <c r="F72" s="1466" t="e">
        <f>(F70+F71)/(+F38+F44)</f>
        <v>#VALUE!</v>
      </c>
      <c r="G72" s="1466" t="e">
        <f>(G70+G71)/(+G38+G44)</f>
        <v>#DIV/0!</v>
      </c>
      <c r="H72" s="1466" t="e">
        <f>(H70+H71)/(+H38+H44)</f>
        <v>#VALUE!</v>
      </c>
      <c r="I72" s="1467"/>
      <c r="J72" s="1466" t="e">
        <f>(J70+J71)/(+J38+J44)</f>
        <v>#VALUE!</v>
      </c>
      <c r="K72" s="1467"/>
      <c r="L72" s="1466" t="e">
        <f>(L70+L71)/(+L38+L44)</f>
        <v>#VALUE!</v>
      </c>
      <c r="M72" s="1468"/>
      <c r="N72" s="1352"/>
      <c r="O72" s="1307">
        <v>0.04</v>
      </c>
      <c r="P72" s="134" t="s">
        <v>406</v>
      </c>
      <c r="Q72" s="1308">
        <v>71000</v>
      </c>
      <c r="R72" s="134" t="s">
        <v>407</v>
      </c>
      <c r="S72" s="1309">
        <v>301</v>
      </c>
      <c r="T72" s="200" t="s">
        <v>410</v>
      </c>
      <c r="U72" s="1309">
        <v>1000</v>
      </c>
    </row>
    <row r="73" spans="1:21">
      <c r="O73" s="1307">
        <v>0.03</v>
      </c>
      <c r="P73"/>
      <c r="Q73"/>
      <c r="R73"/>
      <c r="S73" s="1309">
        <v>1001</v>
      </c>
      <c r="T73" s="200" t="s">
        <v>410</v>
      </c>
      <c r="U73" s="1309">
        <v>30000</v>
      </c>
    </row>
    <row r="74" spans="1:21">
      <c r="A74" s="1"/>
      <c r="B74" s="134" t="s">
        <v>459</v>
      </c>
      <c r="C74" s="132"/>
      <c r="E74" s="1469">
        <f>IF('2nd Interim-ADA'!L76&lt;300.99,0.05,(IF(AND('2nd Interim-ADA'!L76 &gt;=301,'2nd Interim-ADA'!L76&lt;=1000.99),0.04,IF(AND('2nd Interim-ADA'!L76 &gt;=1001,'2nd Interim-ADA'!L76&lt;=30000.99),0.03,0.02))))</f>
        <v>0.04</v>
      </c>
      <c r="F74" s="1469" t="e">
        <f>IF('2nd Interim-ADA'!O76&lt;300.99,0.05,(IF(AND('2nd Interim-ADA'!O76 &gt;=301,'2nd Interim-ADA'!O76&lt;=1000.99),0.04,IF(AND('2nd Interim-ADA'!O76 &gt;=1001,'2nd Interim-ADA'!O76&lt;=30000.99),0.03,0.02))))</f>
        <v>#VALUE!</v>
      </c>
      <c r="G74" s="1469" t="e">
        <f>IF('2nd Interim-ADA'!O76&lt;300.99,0.05,(IF(AND('2nd Interim-ADA'!O76 &gt;=301,'2nd Interim-ADA'!O76&lt;=1000.99),0.04,IF(AND('2nd Interim-ADA'!O76 &gt;=1001,'2nd Interim-ADA'!O76&lt;=30000.99),0.03,0.02))))</f>
        <v>#VALUE!</v>
      </c>
      <c r="H74" s="1469" t="e">
        <f>IF('2nd Interim-ADA'!O76&lt;300.99,0.05,(IF(AND('2nd Interim-ADA'!O76 &gt;=301,'2nd Interim-ADA'!O76&lt;=1000.99),0.04,IF(AND('2nd Interim-ADA'!O76 &gt;=1001,'2nd Interim-ADA'!O76&lt;=30000.99),0.03,0.02))))</f>
        <v>#VALUE!</v>
      </c>
      <c r="J74" s="1469" t="e">
        <f>IF('2nd Interim-ADA'!R76&lt;300.99,0.05,(IF(AND('2nd Interim-ADA'!R76 &gt;=301,'2nd Interim-ADA'!R76&lt;=1000.99),0.04,IF(AND('2nd Interim-ADA'!R76 &gt;=1001,'2nd Interim-ADA'!R76&lt;=30000.99),0.03,0.02))))</f>
        <v>#VALUE!</v>
      </c>
      <c r="L74" s="1469" t="e">
        <f>IF('2nd Interim-ADA'!U76&lt;300.99,0.05,(IF(AND('2nd Interim-ADA'!U76 &gt;=301,'2nd Interim-ADA'!U76&lt;=1000.99),0.04,IF(AND('2nd Interim-ADA'!U76 &gt;=1001,'2nd Interim-ADA'!U76&lt;=30000.99),0.03,0.02))))</f>
        <v>#VALUE!</v>
      </c>
      <c r="O74" s="1307">
        <v>0.02</v>
      </c>
      <c r="P74"/>
      <c r="Q74"/>
      <c r="R74"/>
      <c r="S74" s="1309">
        <v>30001</v>
      </c>
      <c r="T74" s="200" t="s">
        <v>410</v>
      </c>
      <c r="U74" s="1309">
        <v>400000</v>
      </c>
    </row>
    <row r="75" spans="1:21">
      <c r="A75"/>
      <c r="B75" s="134" t="s">
        <v>458</v>
      </c>
      <c r="C75" s="132"/>
      <c r="E75" s="1596"/>
      <c r="F75" s="1375"/>
      <c r="G75" s="1375"/>
      <c r="H75" s="1375"/>
      <c r="J75" s="1375"/>
      <c r="L75" s="1375"/>
      <c r="O75" s="1307">
        <v>0.01</v>
      </c>
      <c r="P75"/>
      <c r="Q75"/>
      <c r="R75"/>
      <c r="S75" s="1309">
        <v>400001</v>
      </c>
      <c r="T75" s="200" t="s">
        <v>411</v>
      </c>
      <c r="U75" s="1310"/>
    </row>
    <row r="76" spans="1:21">
      <c r="A76"/>
      <c r="B76" s="132" t="s">
        <v>412</v>
      </c>
      <c r="C76" s="132"/>
      <c r="E76" s="1200" t="str">
        <f>T('Budget-Summary MYP'!F76)</f>
        <v>Met</v>
      </c>
      <c r="F76" s="1200" t="e">
        <f>IF(F75="",IF(F72&gt;=F74,"Met","Not Met"),IF(F72&gt;=F75,"Met","Not Met"))</f>
        <v>#VALUE!</v>
      </c>
      <c r="G76" s="1200" t="e">
        <f>IF(G75="",IF(G72&gt;=G74,"Met","Not Met"),IF(G72&gt;=G75,"Met","Not Met"))</f>
        <v>#DIV/0!</v>
      </c>
      <c r="H76" s="1200" t="e">
        <f>IF(H75="",IF(H72&gt;=H74,"Met","Not Met"),IF(H72&gt;=H75,"Met","Not Met"))</f>
        <v>#VALUE!</v>
      </c>
      <c r="J76" s="1200" t="e">
        <f>IF(J75="",IF(J72&gt;=J74,"Met","Not Met"),IF(J72&gt;=J75,"Met","Not Met"))</f>
        <v>#VALUE!</v>
      </c>
      <c r="L76" s="1200" t="e">
        <f>IF(L75="",IF(L72&gt;=L74,"Met","Not Met"),IF(L72&gt;=L75,"Met","Not Met"))</f>
        <v>#VALUE!</v>
      </c>
      <c r="O76" s="1307"/>
      <c r="P76"/>
      <c r="Q76"/>
      <c r="R76"/>
      <c r="S76" s="1309"/>
      <c r="T76" s="200"/>
      <c r="U76" s="1310"/>
    </row>
    <row r="77" spans="1:21" ht="15.75" thickBot="1">
      <c r="A77"/>
      <c r="B77" s="132"/>
      <c r="C77" s="132"/>
      <c r="E77" s="1200"/>
      <c r="F77" s="1200"/>
      <c r="G77" s="1200"/>
      <c r="H77" s="1200"/>
      <c r="J77" s="1200"/>
      <c r="L77" s="1200"/>
      <c r="O77" s="1307"/>
      <c r="P77"/>
      <c r="Q77"/>
      <c r="R77"/>
      <c r="S77" s="1309"/>
      <c r="T77" s="200"/>
      <c r="U77" s="1310"/>
    </row>
    <row r="78" spans="1:21" ht="15.75" thickBot="1">
      <c r="A78"/>
      <c r="B78" s="1810" t="s">
        <v>482</v>
      </c>
      <c r="C78" s="1811"/>
      <c r="D78" s="1811"/>
      <c r="E78" s="1811"/>
      <c r="F78" s="1811"/>
      <c r="G78" s="1811"/>
      <c r="H78" s="1811"/>
      <c r="I78" s="1811"/>
      <c r="J78" s="1811"/>
      <c r="K78" s="1811"/>
      <c r="L78" s="1811"/>
      <c r="M78" s="1812"/>
      <c r="N78" s="134"/>
      <c r="O78"/>
      <c r="P78"/>
      <c r="Q78"/>
      <c r="R78" s="1309"/>
      <c r="S78" s="200"/>
      <c r="T78" s="1310"/>
    </row>
    <row r="79" spans="1:21" ht="86.25" customHeight="1">
      <c r="A79"/>
      <c r="B79" s="1886"/>
      <c r="C79" s="1887"/>
      <c r="D79" s="1887"/>
      <c r="E79" s="1887"/>
      <c r="F79" s="1887"/>
      <c r="G79" s="1887"/>
      <c r="H79" s="1887"/>
      <c r="I79" s="1887"/>
      <c r="J79" s="1887"/>
      <c r="K79" s="1887"/>
      <c r="L79" s="1887"/>
      <c r="M79" s="1888"/>
      <c r="N79" s="1200"/>
      <c r="O79"/>
      <c r="P79"/>
      <c r="Q79"/>
      <c r="R79" s="1309"/>
      <c r="S79" s="200"/>
      <c r="T79" s="1310"/>
    </row>
    <row r="80" spans="1:21">
      <c r="A80"/>
      <c r="B80"/>
      <c r="C80"/>
      <c r="E80"/>
      <c r="F80"/>
      <c r="O80" s="1307"/>
      <c r="P80" s="134"/>
      <c r="Q80" s="1308"/>
      <c r="R80" s="134"/>
      <c r="S80" s="1309"/>
      <c r="T80" s="200"/>
      <c r="U80" s="1309"/>
    </row>
    <row r="81" spans="1:21">
      <c r="A81"/>
      <c r="B81" s="134" t="s">
        <v>415</v>
      </c>
      <c r="C81"/>
      <c r="E81" s="1383">
        <f>'Budget-Summary MYP'!F81</f>
        <v>8.4000000000000005E-2</v>
      </c>
      <c r="F81" s="1383">
        <f>'Budget-Summary MYP'!G81</f>
        <v>0</v>
      </c>
      <c r="G81" s="1383" t="e">
        <f>ROUND(-MIN('2nd Interim-Unrestricted MYP'!G47/('2nd Interim-Unrestricted MYP'!G38+'2nd Interim-Unrestricted MYP'!F44),0),3)</f>
        <v>#DIV/0!</v>
      </c>
      <c r="H81" s="1383" t="e">
        <f>ROUND(-MIN('2nd Interim-Unrestricted MYP'!H47/('2nd Interim-Unrestricted MYP'!H38+'2nd Interim-Unrestricted MYP'!G44),0),3)</f>
        <v>#VALUE!</v>
      </c>
      <c r="J81" s="1383" t="e">
        <f>ROUND(-MIN('2nd Interim-Unrestricted MYP'!J47/('2nd Interim-Unrestricted MYP'!J38+'2nd Interim-Unrestricted MYP'!J44),0),3)</f>
        <v>#VALUE!</v>
      </c>
      <c r="L81" s="1383" t="e">
        <f>ROUND(-MIN('2nd Interim-Unrestricted MYP'!L47/('2nd Interim-Unrestricted MYP'!L38+'2nd Interim-Unrestricted MYP'!L44),0),3)</f>
        <v>#VALUE!</v>
      </c>
      <c r="O81"/>
      <c r="P81" s="134"/>
      <c r="Q81" s="1308"/>
      <c r="R81" s="134"/>
      <c r="S81" s="1309"/>
      <c r="T81" s="200"/>
      <c r="U81" s="1309"/>
    </row>
    <row r="82" spans="1:21">
      <c r="A82"/>
      <c r="B82" s="132" t="s">
        <v>416</v>
      </c>
      <c r="C82"/>
      <c r="E82" s="1384">
        <f>'Budget-Summary MYP'!F82</f>
        <v>6.5000000000000002E-2</v>
      </c>
      <c r="F82" s="1384">
        <f>'Budget-Summary MYP'!G82</f>
        <v>0</v>
      </c>
      <c r="G82" s="1384" t="e">
        <f>ROUND(G72/3,3)</f>
        <v>#DIV/0!</v>
      </c>
      <c r="H82" s="1384" t="e">
        <f>ROUND(H72/3,3)</f>
        <v>#VALUE!</v>
      </c>
      <c r="J82" s="1384" t="e">
        <f>ROUND(J72/3,3)</f>
        <v>#VALUE!</v>
      </c>
      <c r="L82" s="1384" t="e">
        <f>ROUND(L72/3,3)</f>
        <v>#VALUE!</v>
      </c>
      <c r="O82" s="1311" t="s">
        <v>413</v>
      </c>
      <c r="P82" s="134"/>
      <c r="Q82" s="1308"/>
      <c r="R82" s="134"/>
      <c r="S82" s="1309"/>
      <c r="T82" s="200"/>
      <c r="U82" s="1309"/>
    </row>
    <row r="83" spans="1:21">
      <c r="A83"/>
      <c r="B83" s="132" t="s">
        <v>417</v>
      </c>
      <c r="C83"/>
      <c r="E83" s="1200" t="str">
        <f>T('Budget-Summary MYP'!F83)</f>
        <v>Not Met</v>
      </c>
      <c r="F83" s="1200" t="str">
        <f>T('Budget-Summary MYP'!G83)</f>
        <v/>
      </c>
      <c r="G83" s="1200" t="e">
        <f>IF(G81&lt;=G82,"Met","Not Met")</f>
        <v>#DIV/0!</v>
      </c>
      <c r="H83" s="1200" t="e">
        <f>IF(H81&lt;=H82,"Met","Not Met")</f>
        <v>#VALUE!</v>
      </c>
      <c r="J83" s="1200" t="e">
        <f>IF(J81&lt;=J82,"Met","Not Met")</f>
        <v>#VALUE!</v>
      </c>
      <c r="L83" s="1200" t="e">
        <f>IF(L81&lt;=L82,"Met","Not Met")</f>
        <v>#VALUE!</v>
      </c>
      <c r="O83" s="1799" t="s">
        <v>414</v>
      </c>
      <c r="P83" s="1800"/>
      <c r="Q83" s="1800"/>
      <c r="R83" s="1800"/>
      <c r="S83" s="1800"/>
      <c r="T83" s="1800"/>
      <c r="U83" s="1800"/>
    </row>
    <row r="84" spans="1:21" ht="15.75" thickBot="1">
      <c r="A84"/>
      <c r="B84"/>
      <c r="C84"/>
      <c r="N84" s="134"/>
      <c r="O84" s="1800"/>
      <c r="P84" s="1800"/>
      <c r="Q84" s="1800"/>
      <c r="R84" s="1800"/>
      <c r="S84" s="1800"/>
      <c r="T84" s="1800"/>
      <c r="U84" s="1800"/>
    </row>
    <row r="85" spans="1:21" ht="15.75" thickBot="1">
      <c r="B85" s="1810" t="s">
        <v>484</v>
      </c>
      <c r="C85" s="1811"/>
      <c r="D85" s="1811"/>
      <c r="E85" s="1811"/>
      <c r="F85" s="1811"/>
      <c r="G85" s="1811"/>
      <c r="H85" s="1811"/>
      <c r="I85" s="1811"/>
      <c r="J85" s="1811"/>
      <c r="K85" s="1811"/>
      <c r="L85" s="1811"/>
      <c r="M85" s="1812"/>
      <c r="N85" s="1385"/>
      <c r="O85" s="1800"/>
      <c r="P85" s="1800"/>
      <c r="Q85" s="1800"/>
      <c r="R85" s="1800"/>
      <c r="S85" s="1800"/>
      <c r="T85" s="1800"/>
      <c r="U85" s="1800"/>
    </row>
    <row r="86" spans="1:21" ht="91.5" customHeight="1">
      <c r="B86" s="1804"/>
      <c r="C86" s="1805"/>
      <c r="D86" s="1805"/>
      <c r="E86" s="1805"/>
      <c r="F86" s="1805"/>
      <c r="G86" s="1805"/>
      <c r="H86" s="1805"/>
      <c r="I86" s="1805"/>
      <c r="J86" s="1805"/>
      <c r="K86" s="1805"/>
      <c r="L86" s="1805"/>
      <c r="M86" s="1806"/>
      <c r="N86" s="1385"/>
      <c r="O86" s="1800"/>
      <c r="P86" s="1800"/>
      <c r="Q86" s="1800"/>
      <c r="R86" s="1800"/>
      <c r="S86" s="1800"/>
      <c r="T86" s="1800"/>
      <c r="U86" s="1800"/>
    </row>
    <row r="87" spans="1:21" ht="36.75" customHeight="1">
      <c r="E87" s="1597"/>
      <c r="F87" s="1532"/>
      <c r="G87" s="1532"/>
      <c r="H87" s="1532"/>
      <c r="I87" s="1532"/>
      <c r="J87" s="1532"/>
      <c r="K87" s="1532"/>
      <c r="L87" s="1532"/>
      <c r="M87" s="1532"/>
      <c r="N87" s="1385"/>
      <c r="O87" s="1800"/>
      <c r="P87" s="1800"/>
      <c r="Q87" s="1800"/>
      <c r="R87" s="1800"/>
      <c r="S87" s="1800"/>
      <c r="T87" s="1800"/>
      <c r="U87" s="1800"/>
    </row>
  </sheetData>
  <sheetProtection algorithmName="SHA-512" hashValue="WPZYvw52pKoFuCDF8YPguJIbdL9WK70m/QDtow+6lI+qL1QEf8k7/8aR6aicMdiziPFl8sknA44hh/lDGO70Aw==" saltValue="MesXMgSGkd0Q/QtfOvkABA==" spinCount="100000" sheet="1" objects="1" scenarios="1"/>
  <mergeCells count="13">
    <mergeCell ref="A1:C1"/>
    <mergeCell ref="A2:C2"/>
    <mergeCell ref="A3:C3"/>
    <mergeCell ref="A8:C8"/>
    <mergeCell ref="A28:C28"/>
    <mergeCell ref="S70:U70"/>
    <mergeCell ref="O83:U87"/>
    <mergeCell ref="B72:D72"/>
    <mergeCell ref="B78:M78"/>
    <mergeCell ref="B79:M79"/>
    <mergeCell ref="B85:M85"/>
    <mergeCell ref="B86:M86"/>
    <mergeCell ref="O70:R70"/>
  </mergeCells>
  <conditionalFormatting sqref="A1:A3">
    <cfRule type="containsText" dxfId="30" priority="25" stopIfTrue="1" operator="containsText" text="Enter">
      <formula>NOT(ISERROR(SEARCH("Enter",A1)))</formula>
    </cfRule>
  </conditionalFormatting>
  <conditionalFormatting sqref="B74 E74:H74 J74 L74">
    <cfRule type="expression" dxfId="29" priority="381" stopIfTrue="1">
      <formula>#REF!=""</formula>
    </cfRule>
  </conditionalFormatting>
  <conditionalFormatting sqref="B75">
    <cfRule type="expression" dxfId="28" priority="382" stopIfTrue="1">
      <formula>#REF!&lt;&gt;0</formula>
    </cfRule>
  </conditionalFormatting>
  <conditionalFormatting sqref="B79">
    <cfRule type="containsText" dxfId="27" priority="3" stopIfTrue="1" operator="containsText" text="Not Met">
      <formula>NOT(ISERROR(SEARCH("Not Met",B79)))</formula>
    </cfRule>
    <cfRule type="containsText" dxfId="26" priority="4" stopIfTrue="1" operator="containsText" text="Met">
      <formula>NOT(ISERROR(SEARCH("Met",B79)))</formula>
    </cfRule>
  </conditionalFormatting>
  <conditionalFormatting sqref="E76:H77">
    <cfRule type="containsText" dxfId="25" priority="1" stopIfTrue="1" operator="containsText" text="Not Met">
      <formula>NOT(ISERROR(SEARCH("Not Met",E76)))</formula>
    </cfRule>
    <cfRule type="containsText" dxfId="24" priority="2" stopIfTrue="1" operator="containsText" text="Met">
      <formula>NOT(ISERROR(SEARCH("Met",E76)))</formula>
    </cfRule>
  </conditionalFormatting>
  <conditionalFormatting sqref="E83:H83">
    <cfRule type="containsText" dxfId="23" priority="7" stopIfTrue="1" operator="containsText" text="Not Met">
      <formula>NOT(ISERROR(SEARCH("Not Met",E83)))</formula>
    </cfRule>
    <cfRule type="containsText" dxfId="22" priority="8" stopIfTrue="1" operator="containsText" text="Met">
      <formula>NOT(ISERROR(SEARCH("Met",E83)))</formula>
    </cfRule>
  </conditionalFormatting>
  <conditionalFormatting sqref="J76:J77 L76:L77">
    <cfRule type="containsText" dxfId="21" priority="14" stopIfTrue="1" operator="containsText" text="Not Met">
      <formula>NOT(ISERROR(SEARCH("Not Met",J76)))</formula>
    </cfRule>
    <cfRule type="containsText" dxfId="20" priority="15" stopIfTrue="1" operator="containsText" text="Met">
      <formula>NOT(ISERROR(SEARCH("Met",J76)))</formula>
    </cfRule>
  </conditionalFormatting>
  <conditionalFormatting sqref="J83 L83">
    <cfRule type="containsText" dxfId="19" priority="12" stopIfTrue="1" operator="containsText" text="Not Met">
      <formula>NOT(ISERROR(SEARCH("Not Met",J83)))</formula>
    </cfRule>
    <cfRule type="containsText" dxfId="18" priority="13" stopIfTrue="1" operator="containsText" text="Met">
      <formula>NOT(ISERROR(SEARCH("Met",J83)))</formula>
    </cfRule>
  </conditionalFormatting>
  <printOptions horizontalCentered="1"/>
  <pageMargins left="0.25" right="0.25" top="0.5" bottom="0.25" header="0.5" footer="0.5"/>
  <pageSetup scale="61" fitToHeight="0" orientation="landscape" horizontalDpi="1200" verticalDpi="1200" r:id="rId1"/>
  <headerFooter alignWithMargins="0">
    <oddFooter>Page &amp;P of &amp;N</oddFooter>
  </headerFooter>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5"/>
    <pageSetUpPr fitToPage="1"/>
  </sheetPr>
  <dimension ref="A1:L34"/>
  <sheetViews>
    <sheetView showGridLines="0" zoomScaleNormal="100" workbookViewId="0">
      <selection activeCell="A10" sqref="A10"/>
    </sheetView>
  </sheetViews>
  <sheetFormatPr defaultRowHeight="12.75"/>
  <cols>
    <col min="1" max="1" width="3.6640625" customWidth="1"/>
    <col min="2" max="2" width="25.6640625" customWidth="1"/>
    <col min="4" max="4" width="16.6640625" customWidth="1"/>
    <col min="5" max="10" width="14.6640625" customWidth="1"/>
    <col min="11" max="11" width="11.86328125" customWidth="1"/>
    <col min="12" max="12" width="83.46484375" style="1177" customWidth="1"/>
  </cols>
  <sheetData>
    <row r="1" spans="1:11" ht="17.649999999999999">
      <c r="A1" s="135" t="s">
        <v>116</v>
      </c>
      <c r="B1" s="135"/>
      <c r="H1" s="134"/>
      <c r="I1" s="134"/>
    </row>
    <row r="2" spans="1:11" ht="13.15">
      <c r="A2" s="168" t="str">
        <f>'2nd Interim-ADA'!J4</f>
        <v>Fiscal Year 2024-25 Second Interim Report</v>
      </c>
    </row>
    <row r="3" spans="1:11" ht="13.5" customHeight="1">
      <c r="A3" s="1664" t="str">
        <f>IF('INTERIM-CERTIFICATION'!$M$1="","CHARTER NAME: Enter Charter Name on INTERIM-CERTIFICATION Worksheet",(CONCATENATE("CHARTER NAME: ",'INTERIM-CERTIFICATION'!$M$1)))</f>
        <v>CHARTER NAME: Encor Jr./Sr. High School for the Performing and Visual Arts</v>
      </c>
      <c r="B3" s="1664"/>
      <c r="C3" s="1664"/>
      <c r="D3" s="1664"/>
      <c r="E3" s="1664"/>
      <c r="F3" s="1664"/>
      <c r="G3" s="169"/>
      <c r="H3" s="169"/>
      <c r="I3" s="169"/>
    </row>
    <row r="4" spans="1:11">
      <c r="A4" s="1550" t="str">
        <f>Instructions!H1</f>
        <v>Form Revised (revision date here if revised)</v>
      </c>
    </row>
    <row r="5" spans="1:11" ht="12.75" customHeight="1">
      <c r="A5" s="1828" t="s">
        <v>322</v>
      </c>
      <c r="B5" s="1828"/>
      <c r="C5" s="1828"/>
      <c r="D5" s="1828"/>
      <c r="E5" s="1828"/>
      <c r="F5" s="1828"/>
      <c r="G5" s="1828"/>
      <c r="H5" s="1828"/>
      <c r="I5" s="365"/>
      <c r="J5" s="365"/>
      <c r="K5" s="365"/>
    </row>
    <row r="6" spans="1:11">
      <c r="A6" s="1828"/>
      <c r="B6" s="1828"/>
      <c r="C6" s="1828"/>
      <c r="D6" s="1828"/>
      <c r="E6" s="1828"/>
      <c r="F6" s="1828"/>
      <c r="G6" s="1828"/>
      <c r="H6" s="1828"/>
      <c r="I6" s="365"/>
      <c r="J6" s="365"/>
      <c r="K6" s="365"/>
    </row>
    <row r="7" spans="1:11">
      <c r="A7" s="1828"/>
      <c r="B7" s="1828"/>
      <c r="C7" s="1828"/>
      <c r="D7" s="1828"/>
      <c r="E7" s="1828"/>
      <c r="F7" s="1828"/>
      <c r="G7" s="1828"/>
      <c r="H7" s="1828"/>
    </row>
    <row r="8" spans="1:11" ht="12.75" customHeight="1">
      <c r="A8" s="1829" t="s">
        <v>323</v>
      </c>
      <c r="B8" s="1829"/>
      <c r="C8" s="1829"/>
      <c r="D8" s="1829"/>
      <c r="E8" s="1829"/>
      <c r="F8" s="1829"/>
      <c r="G8" s="1829"/>
      <c r="H8" s="1829"/>
    </row>
    <row r="10" spans="1:11" ht="19.5" customHeight="1" thickBot="1">
      <c r="A10" s="1250"/>
      <c r="B10" s="132" t="s">
        <v>245</v>
      </c>
    </row>
    <row r="11" spans="1:11" ht="19.5" customHeight="1" thickBot="1">
      <c r="A11" s="200"/>
      <c r="B11" s="132"/>
    </row>
    <row r="12" spans="1:11" ht="13.15" thickTop="1">
      <c r="A12" s="1312"/>
      <c r="B12" s="1313"/>
      <c r="C12" s="1314"/>
      <c r="D12" s="1315" t="s">
        <v>238</v>
      </c>
      <c r="E12" s="1822" t="str">
        <f>'2nd Interim-Assumptions'!G6</f>
        <v>2024-25</v>
      </c>
      <c r="F12" s="1823"/>
      <c r="G12" s="1824" t="str">
        <f>'2nd Interim-Assumptions'!H6</f>
        <v>2025-26</v>
      </c>
      <c r="H12" s="1825"/>
      <c r="I12" s="1824" t="str">
        <f>'2nd Interim-Assumptions'!J6</f>
        <v>2026-27</v>
      </c>
      <c r="J12" s="1825"/>
      <c r="K12" s="1316" t="s">
        <v>117</v>
      </c>
    </row>
    <row r="13" spans="1:11">
      <c r="A13" s="1317"/>
      <c r="C13" s="1318" t="s">
        <v>120</v>
      </c>
      <c r="D13" s="1319" t="str">
        <f>'Budget-DEBT'!D13</f>
        <v>2024</v>
      </c>
      <c r="E13" s="1826" t="s">
        <v>118</v>
      </c>
      <c r="F13" s="1827"/>
      <c r="G13" s="1826" t="s">
        <v>118</v>
      </c>
      <c r="H13" s="1827"/>
      <c r="I13" s="1826" t="s">
        <v>118</v>
      </c>
      <c r="J13" s="1827"/>
      <c r="K13" s="1320" t="s">
        <v>234</v>
      </c>
    </row>
    <row r="14" spans="1:11" ht="13.15" thickBot="1">
      <c r="A14" s="1317" t="s">
        <v>119</v>
      </c>
      <c r="C14" s="1321" t="s">
        <v>240</v>
      </c>
      <c r="D14" s="1322" t="s">
        <v>237</v>
      </c>
      <c r="E14" s="1323" t="s">
        <v>235</v>
      </c>
      <c r="F14" s="1324" t="s">
        <v>236</v>
      </c>
      <c r="G14" s="1323" t="s">
        <v>235</v>
      </c>
      <c r="H14" s="1324" t="s">
        <v>236</v>
      </c>
      <c r="I14" s="1323" t="s">
        <v>235</v>
      </c>
      <c r="J14" s="1324" t="s">
        <v>236</v>
      </c>
      <c r="K14" s="1325"/>
    </row>
    <row r="15" spans="1:11" ht="18" customHeight="1" thickBot="1">
      <c r="A15" s="170" t="s">
        <v>128</v>
      </c>
      <c r="B15" s="171"/>
      <c r="C15" s="198"/>
      <c r="D15" s="29"/>
      <c r="E15" s="206"/>
      <c r="F15" s="208"/>
      <c r="G15" s="206"/>
      <c r="H15" s="208"/>
      <c r="I15" s="206"/>
      <c r="J15" s="208"/>
      <c r="K15" s="209"/>
    </row>
    <row r="16" spans="1:11" ht="18" customHeight="1" thickBot="1">
      <c r="A16" s="170" t="s">
        <v>129</v>
      </c>
      <c r="B16" s="171"/>
      <c r="C16" s="198"/>
      <c r="D16" s="29"/>
      <c r="E16" s="206"/>
      <c r="F16" s="208"/>
      <c r="G16" s="206"/>
      <c r="H16" s="208"/>
      <c r="I16" s="206"/>
      <c r="J16" s="208"/>
      <c r="K16" s="209"/>
    </row>
    <row r="17" spans="1:12" ht="18" customHeight="1" thickBot="1">
      <c r="A17" s="170" t="s">
        <v>131</v>
      </c>
      <c r="B17" s="171"/>
      <c r="C17" s="198"/>
      <c r="D17" s="29"/>
      <c r="E17" s="206"/>
      <c r="F17" s="208"/>
      <c r="G17" s="206"/>
      <c r="H17" s="208"/>
      <c r="I17" s="206"/>
      <c r="J17" s="208"/>
      <c r="K17" s="209"/>
    </row>
    <row r="18" spans="1:12" ht="18" customHeight="1" thickBot="1">
      <c r="A18" s="170" t="s">
        <v>130</v>
      </c>
      <c r="B18" s="171"/>
      <c r="C18" s="198"/>
      <c r="D18" s="190"/>
      <c r="E18" s="207"/>
      <c r="F18" s="208"/>
      <c r="G18" s="207"/>
      <c r="H18" s="208"/>
      <c r="I18" s="207"/>
      <c r="J18" s="208"/>
      <c r="K18" s="209"/>
    </row>
    <row r="19" spans="1:12" ht="18" customHeight="1" thickBot="1">
      <c r="A19" s="170" t="s">
        <v>123</v>
      </c>
      <c r="B19" s="171"/>
      <c r="C19" s="198"/>
      <c r="D19" s="29"/>
      <c r="E19" s="206"/>
      <c r="F19" s="208"/>
      <c r="G19" s="206"/>
      <c r="H19" s="208"/>
      <c r="I19" s="206"/>
      <c r="J19" s="208"/>
      <c r="K19" s="209"/>
    </row>
    <row r="20" spans="1:12" ht="18" customHeight="1" thickBot="1">
      <c r="A20" s="170" t="s">
        <v>127</v>
      </c>
      <c r="B20" s="171"/>
      <c r="C20" s="198"/>
      <c r="D20" s="29"/>
      <c r="E20" s="206"/>
      <c r="F20" s="208"/>
      <c r="G20" s="206"/>
      <c r="H20" s="208"/>
      <c r="I20" s="206"/>
      <c r="J20" s="208"/>
      <c r="K20" s="209"/>
    </row>
    <row r="21" spans="1:12" ht="18" customHeight="1" thickBot="1">
      <c r="A21" s="172" t="s">
        <v>460</v>
      </c>
      <c r="B21" s="171"/>
      <c r="C21" s="198"/>
      <c r="D21" s="29"/>
      <c r="E21" s="206"/>
      <c r="F21" s="208"/>
      <c r="G21" s="206"/>
      <c r="H21" s="208"/>
      <c r="I21" s="206"/>
      <c r="J21" s="208"/>
      <c r="K21" s="209"/>
    </row>
    <row r="22" spans="1:12" ht="18" customHeight="1" thickBot="1">
      <c r="A22" s="172" t="s">
        <v>460</v>
      </c>
      <c r="B22" s="172"/>
      <c r="C22" s="198"/>
      <c r="D22" s="29"/>
      <c r="E22" s="206"/>
      <c r="F22" s="208"/>
      <c r="G22" s="206"/>
      <c r="H22" s="208"/>
      <c r="I22" s="206"/>
      <c r="J22" s="208"/>
      <c r="K22" s="209"/>
    </row>
    <row r="23" spans="1:12" ht="18" customHeight="1" thickBot="1">
      <c r="A23" s="172" t="s">
        <v>460</v>
      </c>
      <c r="B23" s="171"/>
      <c r="C23" s="198"/>
      <c r="D23" s="29"/>
      <c r="E23" s="206"/>
      <c r="F23" s="208"/>
      <c r="G23" s="206"/>
      <c r="H23" s="208"/>
      <c r="I23" s="206"/>
      <c r="J23" s="208"/>
      <c r="K23" s="209"/>
    </row>
    <row r="24" spans="1:12" ht="18" customHeight="1" thickBot="1">
      <c r="A24" s="172" t="s">
        <v>461</v>
      </c>
      <c r="B24" s="171"/>
      <c r="C24" s="198"/>
      <c r="D24" s="29"/>
      <c r="E24" s="206"/>
      <c r="F24" s="208"/>
      <c r="G24" s="206"/>
      <c r="H24" s="208"/>
      <c r="I24" s="206"/>
      <c r="J24" s="208"/>
      <c r="K24" s="209"/>
    </row>
    <row r="25" spans="1:12" ht="18" customHeight="1" thickBot="1">
      <c r="A25" s="172" t="s">
        <v>158</v>
      </c>
      <c r="B25" s="171"/>
      <c r="C25" s="198"/>
      <c r="D25" s="1336"/>
      <c r="E25" s="1337"/>
      <c r="F25" s="1338"/>
      <c r="G25" s="1337"/>
      <c r="H25" s="1338"/>
      <c r="I25" s="1337"/>
      <c r="J25" s="1338"/>
      <c r="K25" s="209"/>
    </row>
    <row r="26" spans="1:12" s="132" customFormat="1" ht="18" customHeight="1" thickBot="1">
      <c r="A26" s="1333"/>
      <c r="B26" s="1334" t="s">
        <v>0</v>
      </c>
      <c r="C26" s="1335"/>
      <c r="D26" s="1339">
        <f>SUM(D15:D25)</f>
        <v>0</v>
      </c>
      <c r="E26" s="1340">
        <f t="shared" ref="E26:J26" si="0">SUM(E15:E25)</f>
        <v>0</v>
      </c>
      <c r="F26" s="1341">
        <f t="shared" si="0"/>
        <v>0</v>
      </c>
      <c r="G26" s="1340">
        <f t="shared" si="0"/>
        <v>0</v>
      </c>
      <c r="H26" s="1341">
        <f t="shared" si="0"/>
        <v>0</v>
      </c>
      <c r="I26" s="1340">
        <f t="shared" si="0"/>
        <v>0</v>
      </c>
      <c r="J26" s="1341">
        <f t="shared" si="0"/>
        <v>0</v>
      </c>
      <c r="K26" s="1342"/>
      <c r="L26" s="1198"/>
    </row>
    <row r="27" spans="1:12" ht="9.75" customHeight="1">
      <c r="A27" s="1317"/>
      <c r="C27" s="173"/>
      <c r="D27" s="173"/>
      <c r="E27" s="173"/>
      <c r="F27" s="173"/>
      <c r="G27" s="173"/>
      <c r="H27" s="173"/>
      <c r="I27" s="173"/>
      <c r="J27" s="173"/>
      <c r="K27" s="1326"/>
    </row>
    <row r="28" spans="1:12" ht="18" customHeight="1" thickBot="1">
      <c r="A28" s="1327" t="s">
        <v>121</v>
      </c>
      <c r="B28" s="174"/>
      <c r="C28" s="1328"/>
      <c r="D28" s="1328"/>
      <c r="E28" s="1328"/>
      <c r="F28" s="1328"/>
      <c r="G28" s="1328"/>
      <c r="H28" s="1328"/>
      <c r="I28" s="1328"/>
      <c r="J28" s="1328"/>
      <c r="K28" s="1329"/>
    </row>
    <row r="29" spans="1:12" ht="18" customHeight="1" thickBot="1">
      <c r="A29" s="1816"/>
      <c r="B29" s="1817"/>
      <c r="C29" s="1817"/>
      <c r="D29" s="1817"/>
      <c r="E29" s="1817"/>
      <c r="F29" s="1817"/>
      <c r="G29" s="1817"/>
      <c r="H29" s="1817"/>
      <c r="I29" s="1817"/>
      <c r="J29" s="1817"/>
      <c r="K29" s="1818"/>
    </row>
    <row r="30" spans="1:12" ht="18" customHeight="1" thickBot="1">
      <c r="A30" s="1816"/>
      <c r="B30" s="1830"/>
      <c r="C30" s="1830"/>
      <c r="D30" s="1830"/>
      <c r="E30" s="1830"/>
      <c r="F30" s="1830"/>
      <c r="G30" s="1830"/>
      <c r="H30" s="1830"/>
      <c r="I30" s="1830"/>
      <c r="J30" s="1830"/>
      <c r="K30" s="1831"/>
    </row>
    <row r="31" spans="1:12" ht="18" customHeight="1" thickBot="1">
      <c r="A31" s="1816"/>
      <c r="B31" s="1817"/>
      <c r="C31" s="1817"/>
      <c r="D31" s="1817"/>
      <c r="E31" s="1817"/>
      <c r="F31" s="1817"/>
      <c r="G31" s="1817"/>
      <c r="H31" s="1817"/>
      <c r="I31" s="1817"/>
      <c r="J31" s="1817"/>
      <c r="K31" s="1818"/>
    </row>
    <row r="32" spans="1:12" ht="18" customHeight="1">
      <c r="A32" s="1330" t="s">
        <v>122</v>
      </c>
      <c r="B32" s="1331"/>
      <c r="C32" s="1331"/>
      <c r="D32" s="1331"/>
      <c r="E32" s="1331"/>
      <c r="F32" s="1331"/>
      <c r="G32" s="1331"/>
      <c r="H32" s="1331"/>
      <c r="I32" s="1331"/>
      <c r="J32" s="1331"/>
      <c r="K32" s="1332"/>
    </row>
    <row r="33" spans="1:11" ht="81" customHeight="1" thickBot="1">
      <c r="A33" s="1819"/>
      <c r="B33" s="1820"/>
      <c r="C33" s="1820"/>
      <c r="D33" s="1820"/>
      <c r="E33" s="1820"/>
      <c r="F33" s="1820"/>
      <c r="G33" s="1820"/>
      <c r="H33" s="1820"/>
      <c r="I33" s="1820"/>
      <c r="J33" s="1820"/>
      <c r="K33" s="1821"/>
    </row>
    <row r="34" spans="1:11" ht="13.15" thickTop="1"/>
  </sheetData>
  <sheetProtection password="D94D" sheet="1"/>
  <mergeCells count="13">
    <mergeCell ref="A3:F3"/>
    <mergeCell ref="A5:H7"/>
    <mergeCell ref="A8:H8"/>
    <mergeCell ref="A33:K33"/>
    <mergeCell ref="A29:K29"/>
    <mergeCell ref="A30:K30"/>
    <mergeCell ref="A31:K31"/>
    <mergeCell ref="E12:F12"/>
    <mergeCell ref="E13:F13"/>
    <mergeCell ref="G12:H12"/>
    <mergeCell ref="G13:H13"/>
    <mergeCell ref="I12:J12"/>
    <mergeCell ref="I13:J13"/>
  </mergeCells>
  <conditionalFormatting sqref="A3">
    <cfRule type="containsText" dxfId="17"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theme="5"/>
    <pageSetUpPr fitToPage="1"/>
  </sheetPr>
  <dimension ref="A1:AH76"/>
  <sheetViews>
    <sheetView showGridLines="0" view="pageBreakPreview" zoomScale="85" zoomScaleNormal="70" zoomScaleSheetLayoutView="85" workbookViewId="0">
      <pane xSplit="4" ySplit="7" topLeftCell="Q54" activePane="bottomRight" state="frozen"/>
      <selection pane="topRight" activeCell="E1" sqref="E1"/>
      <selection pane="bottomLeft" activeCell="A8" sqref="A8"/>
      <selection pane="bottomRight" activeCell="E44" sqref="E44:E51"/>
    </sheetView>
  </sheetViews>
  <sheetFormatPr defaultRowHeight="12.75"/>
  <cols>
    <col min="1" max="1" width="2.53125" customWidth="1"/>
    <col min="2" max="2" width="45.86328125" customWidth="1"/>
    <col min="3" max="3" width="14.6640625" customWidth="1"/>
    <col min="4" max="4" width="12.86328125" customWidth="1"/>
    <col min="5" max="5" width="13.46484375" customWidth="1"/>
    <col min="6" max="6" width="9" bestFit="1" customWidth="1"/>
    <col min="7" max="7" width="13.46484375" customWidth="1"/>
    <col min="8" max="8" width="9" bestFit="1" customWidth="1"/>
    <col min="9" max="9" width="13.46484375" customWidth="1"/>
    <col min="10" max="10" width="9" bestFit="1" customWidth="1"/>
    <col min="11" max="11" width="13.46484375" customWidth="1"/>
    <col min="12" max="12" width="9" bestFit="1" customWidth="1"/>
    <col min="13" max="13" width="13.46484375" customWidth="1"/>
    <col min="14" max="14" width="9" bestFit="1" customWidth="1"/>
    <col min="15" max="15" width="13.46484375" customWidth="1"/>
    <col min="16" max="16" width="9" bestFit="1" customWidth="1"/>
    <col min="17" max="17" width="13.46484375" customWidth="1"/>
    <col min="18" max="18" width="9" bestFit="1" customWidth="1"/>
    <col min="19" max="19" width="13.33203125" customWidth="1"/>
    <col min="20" max="20" width="9.1328125" customWidth="1"/>
    <col min="21" max="21" width="13.33203125" customWidth="1"/>
    <col min="22" max="22" width="9.1328125" customWidth="1"/>
    <col min="23" max="23" width="13.33203125" customWidth="1"/>
    <col min="24" max="24" width="9.1328125" customWidth="1"/>
    <col min="25" max="25" width="13.33203125" customWidth="1"/>
    <col min="26" max="26" width="9.1328125" customWidth="1"/>
    <col min="27" max="27" width="13.33203125" customWidth="1"/>
    <col min="28" max="28" width="9.1328125" customWidth="1"/>
    <col min="29" max="29" width="16.46484375" style="173" customWidth="1"/>
    <col min="30" max="30" width="16.6640625" style="173" customWidth="1"/>
    <col min="31" max="32" width="13.6640625" customWidth="1"/>
    <col min="33" max="33" width="70.53125" hidden="1" customWidth="1"/>
    <col min="34" max="34" width="52.53125" customWidth="1"/>
  </cols>
  <sheetData>
    <row r="1" spans="1:33" ht="15.4" thickBot="1">
      <c r="A1" s="175"/>
      <c r="B1" s="175"/>
      <c r="C1" s="175"/>
      <c r="D1" s="175"/>
      <c r="E1" s="176"/>
      <c r="F1" s="1841" t="str">
        <f>IF('INTERIM-CERTIFICATION'!$M$1="","CHARTER NAME: Enter Charter Name on INTERIM-CERTIFICATION Worksheet",(CONCATENATE("CHARTER NAME: ",'INTERIM-CERTIFICATION'!$M$1)))</f>
        <v>CHARTER NAME: Encor Jr./Sr. High School for the Performing and Visual Arts</v>
      </c>
      <c r="G1" s="1841" t="str">
        <f>IF('INTERIM-CERTIFICATION'!$H$1="","CHARTER NAME: Enter Charter Name on INTERIM-CERTIFICATION Worksheet",(CONCATENATE("CHARTER NAME: ",'INTERIM-CERTIFICATION'!$H$1)))</f>
        <v>CHARTER NAME: Enter Charter Name on INTERIM-CERTIFICATION Worksheet</v>
      </c>
      <c r="H1" s="1841"/>
      <c r="I1" s="1841"/>
      <c r="J1" s="1841"/>
      <c r="K1" s="1841"/>
      <c r="L1" s="1841"/>
      <c r="M1" s="178"/>
      <c r="N1" s="178"/>
      <c r="O1" s="175"/>
      <c r="P1" s="179"/>
      <c r="Q1" s="177"/>
      <c r="R1" s="179"/>
      <c r="S1" s="180"/>
      <c r="T1" s="178"/>
      <c r="U1" s="1841" t="str">
        <f>F1</f>
        <v>CHARTER NAME: Encor Jr./Sr. High School for the Performing and Visual Arts</v>
      </c>
      <c r="V1" s="1841" t="str">
        <f>IF('INTERIM-CERTIFICATION'!$H$1="","CHARTER NAME: Enter Charter Name on INTERIM-CERTIFICATION Worksheet",(CONCATENATE("CHARTER NAME: ",'INTERIM-CERTIFICATION'!$H$1)))</f>
        <v>CHARTER NAME: Enter Charter Name on INTERIM-CERTIFICATION Worksheet</v>
      </c>
      <c r="W1" s="1841"/>
      <c r="X1" s="1841"/>
      <c r="Y1" s="1841"/>
      <c r="Z1" s="1841"/>
      <c r="AA1" s="1841"/>
      <c r="AB1" s="181"/>
      <c r="AD1" s="1006"/>
      <c r="AE1" s="27"/>
      <c r="AF1" s="27"/>
      <c r="AG1" s="1177"/>
    </row>
    <row r="2" spans="1:33" ht="15">
      <c r="B2" s="182" t="s">
        <v>114</v>
      </c>
      <c r="C2" s="95"/>
      <c r="D2" s="183"/>
      <c r="G2" s="1876" t="str">
        <f>""&amp;'Budget-ADA'!K7&amp;"  Second Interim Cash Flow"</f>
        <v>2024-25  Second Interim Cash Flow</v>
      </c>
      <c r="H2" s="1876"/>
      <c r="I2" s="1876"/>
      <c r="J2" s="1876"/>
      <c r="K2" s="1876"/>
      <c r="L2" s="178"/>
      <c r="M2" s="178"/>
      <c r="N2" s="178"/>
      <c r="O2" s="177"/>
      <c r="P2" s="181"/>
      <c r="Q2" s="27"/>
      <c r="R2" s="181"/>
      <c r="T2" s="177"/>
      <c r="U2" s="1890" t="str">
        <f>+G2</f>
        <v>2024-25  Second Interim Cash Flow</v>
      </c>
      <c r="V2" s="1890"/>
      <c r="W2" s="1890"/>
      <c r="X2" s="1890"/>
      <c r="Y2" s="1890"/>
      <c r="Z2" s="1890"/>
      <c r="AA2" s="1890"/>
      <c r="AB2" s="181"/>
      <c r="AC2" s="1006"/>
      <c r="AD2" s="1006"/>
      <c r="AE2" s="27"/>
      <c r="AF2" s="27"/>
      <c r="AG2" s="1177"/>
    </row>
    <row r="3" spans="1:33" ht="15.4" thickBot="1">
      <c r="A3" s="1557" t="str">
        <f>Instructions!H1</f>
        <v>Form Revised (revision date here if revised)</v>
      </c>
      <c r="B3" s="181"/>
      <c r="C3" s="23"/>
      <c r="D3" s="23"/>
      <c r="E3" s="26"/>
      <c r="F3" s="25"/>
      <c r="G3" s="27"/>
      <c r="H3" s="25"/>
      <c r="I3" s="27"/>
      <c r="J3" s="25"/>
      <c r="K3" s="27"/>
      <c r="L3" s="25"/>
      <c r="M3" s="27"/>
      <c r="N3" s="25"/>
      <c r="O3" s="27"/>
      <c r="P3" s="25"/>
      <c r="Q3" s="27"/>
      <c r="R3" s="25"/>
      <c r="S3" s="27"/>
      <c r="T3" s="25"/>
      <c r="U3" s="27"/>
      <c r="V3" s="25"/>
      <c r="W3" s="27"/>
      <c r="X3" s="25"/>
      <c r="Y3" s="27"/>
      <c r="Z3" s="25"/>
      <c r="AA3" s="27"/>
      <c r="AB3" s="25"/>
      <c r="AC3" s="1006"/>
      <c r="AD3" s="1006"/>
      <c r="AE3" s="27"/>
      <c r="AF3" s="27"/>
      <c r="AG3" s="1177"/>
    </row>
    <row r="4" spans="1:33" ht="15.4" thickTop="1">
      <c r="A4" s="399"/>
      <c r="B4" s="71"/>
      <c r="C4" s="71"/>
      <c r="D4" s="71"/>
      <c r="E4" s="532" t="s">
        <v>79</v>
      </c>
      <c r="F4" s="400" t="s">
        <v>80</v>
      </c>
      <c r="G4" s="533" t="s">
        <v>81</v>
      </c>
      <c r="H4" s="400" t="s">
        <v>82</v>
      </c>
      <c r="I4" s="533" t="s">
        <v>83</v>
      </c>
      <c r="J4" s="400" t="s">
        <v>82</v>
      </c>
      <c r="K4" s="533" t="s">
        <v>84</v>
      </c>
      <c r="L4" s="400" t="s">
        <v>82</v>
      </c>
      <c r="M4" s="533" t="s">
        <v>85</v>
      </c>
      <c r="N4" s="400" t="s">
        <v>82</v>
      </c>
      <c r="O4" s="533" t="s">
        <v>86</v>
      </c>
      <c r="P4" s="400" t="s">
        <v>82</v>
      </c>
      <c r="Q4" s="533" t="s">
        <v>87</v>
      </c>
      <c r="R4" s="534" t="s">
        <v>82</v>
      </c>
      <c r="S4" s="184" t="s">
        <v>88</v>
      </c>
      <c r="T4" s="59" t="s">
        <v>82</v>
      </c>
      <c r="U4" s="184" t="s">
        <v>89</v>
      </c>
      <c r="V4" s="59" t="s">
        <v>82</v>
      </c>
      <c r="W4" s="184" t="s">
        <v>90</v>
      </c>
      <c r="X4" s="59" t="s">
        <v>82</v>
      </c>
      <c r="Y4" s="184" t="s">
        <v>91</v>
      </c>
      <c r="Z4" s="59" t="s">
        <v>82</v>
      </c>
      <c r="AA4" s="184" t="s">
        <v>92</v>
      </c>
      <c r="AB4" s="59" t="s">
        <v>82</v>
      </c>
      <c r="AC4" s="1007" t="s">
        <v>93</v>
      </c>
      <c r="AD4" s="1015"/>
      <c r="AE4" s="55" t="s">
        <v>19</v>
      </c>
      <c r="AF4" s="55"/>
      <c r="AG4" s="1177"/>
    </row>
    <row r="5" spans="1:33" ht="15.4" thickBot="1">
      <c r="A5" s="185"/>
      <c r="B5" s="23"/>
      <c r="C5" s="23"/>
      <c r="D5" s="23"/>
      <c r="E5" s="187" t="s">
        <v>61</v>
      </c>
      <c r="F5" s="60" t="s">
        <v>94</v>
      </c>
      <c r="G5" s="186" t="s">
        <v>61</v>
      </c>
      <c r="H5" s="60" t="s">
        <v>94</v>
      </c>
      <c r="I5" s="186" t="s">
        <v>61</v>
      </c>
      <c r="J5" s="60" t="s">
        <v>94</v>
      </c>
      <c r="K5" s="186" t="s">
        <v>61</v>
      </c>
      <c r="L5" s="60" t="s">
        <v>94</v>
      </c>
      <c r="M5" s="186" t="s">
        <v>61</v>
      </c>
      <c r="N5" s="60" t="s">
        <v>94</v>
      </c>
      <c r="O5" s="186" t="s">
        <v>61</v>
      </c>
      <c r="P5" s="60" t="s">
        <v>94</v>
      </c>
      <c r="Q5" s="186" t="s">
        <v>93</v>
      </c>
      <c r="R5" s="63" t="s">
        <v>94</v>
      </c>
      <c r="S5" s="186" t="s">
        <v>93</v>
      </c>
      <c r="T5" s="60" t="s">
        <v>94</v>
      </c>
      <c r="U5" s="186" t="s">
        <v>93</v>
      </c>
      <c r="V5" s="60" t="s">
        <v>94</v>
      </c>
      <c r="W5" s="186" t="s">
        <v>93</v>
      </c>
      <c r="X5" s="60" t="s">
        <v>94</v>
      </c>
      <c r="Y5" s="186" t="s">
        <v>93</v>
      </c>
      <c r="Z5" s="60" t="s">
        <v>94</v>
      </c>
      <c r="AA5" s="186" t="s">
        <v>93</v>
      </c>
      <c r="AB5" s="60" t="s">
        <v>94</v>
      </c>
      <c r="AC5" s="1008" t="s">
        <v>95</v>
      </c>
      <c r="AD5" s="1016" t="s">
        <v>0</v>
      </c>
      <c r="AE5" s="56" t="s">
        <v>16</v>
      </c>
      <c r="AF5" s="56" t="s">
        <v>96</v>
      </c>
      <c r="AG5" s="1177"/>
    </row>
    <row r="6" spans="1:33" ht="15.75" thickTop="1" thickBot="1">
      <c r="A6" s="188" t="s">
        <v>97</v>
      </c>
      <c r="B6" s="179"/>
      <c r="D6" s="409" t="s">
        <v>115</v>
      </c>
      <c r="E6" s="535"/>
      <c r="F6" s="61"/>
      <c r="G6" s="189">
        <f>E66</f>
        <v>0</v>
      </c>
      <c r="H6" s="61"/>
      <c r="I6" s="189">
        <f>G66</f>
        <v>0</v>
      </c>
      <c r="J6" s="61"/>
      <c r="K6" s="189">
        <f>I66</f>
        <v>0</v>
      </c>
      <c r="L6" s="61"/>
      <c r="M6" s="189">
        <f>K66</f>
        <v>0</v>
      </c>
      <c r="N6" s="61"/>
      <c r="O6" s="189">
        <f>M66</f>
        <v>0</v>
      </c>
      <c r="P6" s="61"/>
      <c r="Q6" s="189">
        <f>O66</f>
        <v>0</v>
      </c>
      <c r="R6" s="536"/>
      <c r="S6" s="189">
        <f>Q66</f>
        <v>0</v>
      </c>
      <c r="T6" s="61"/>
      <c r="U6" s="189">
        <f>S66</f>
        <v>0</v>
      </c>
      <c r="V6" s="61"/>
      <c r="W6" s="189">
        <f>U66</f>
        <v>0</v>
      </c>
      <c r="X6" s="61"/>
      <c r="Y6" s="189">
        <f>W66</f>
        <v>0</v>
      </c>
      <c r="Z6" s="61"/>
      <c r="AA6" s="189">
        <f>Y66</f>
        <v>0</v>
      </c>
      <c r="AB6" s="61"/>
      <c r="AC6" s="387">
        <f>+AA66</f>
        <v>0</v>
      </c>
      <c r="AD6" s="57"/>
      <c r="AE6" s="57"/>
      <c r="AF6" s="58"/>
      <c r="AG6" s="1177"/>
    </row>
    <row r="7" spans="1:33" ht="15.4" thickTop="1">
      <c r="A7" s="401"/>
      <c r="B7" s="366"/>
      <c r="C7" s="64"/>
      <c r="D7" s="64"/>
      <c r="E7" s="1891" t="s">
        <v>250</v>
      </c>
      <c r="F7" s="1892"/>
      <c r="G7" s="1892"/>
      <c r="H7" s="1892"/>
      <c r="I7" s="1892"/>
      <c r="J7" s="1892"/>
      <c r="K7" s="1892"/>
      <c r="L7" s="1892"/>
      <c r="M7" s="1892"/>
      <c r="N7" s="1892"/>
      <c r="O7" s="1892"/>
      <c r="P7" s="1892"/>
      <c r="Q7" s="1892"/>
      <c r="R7" s="1893"/>
      <c r="S7" s="65"/>
      <c r="T7" s="62"/>
      <c r="U7" s="65"/>
      <c r="V7" s="62"/>
      <c r="W7" s="65"/>
      <c r="X7" s="62"/>
      <c r="Y7" s="65"/>
      <c r="Z7" s="62"/>
      <c r="AA7" s="65"/>
      <c r="AB7" s="62"/>
      <c r="AC7" s="1009"/>
      <c r="AD7" s="1009"/>
      <c r="AE7" s="65"/>
      <c r="AF7" s="543"/>
      <c r="AG7" s="1177"/>
    </row>
    <row r="8" spans="1:33" ht="15">
      <c r="A8" s="66" t="s">
        <v>98</v>
      </c>
      <c r="B8" s="515"/>
      <c r="C8" s="371"/>
      <c r="D8" s="371"/>
      <c r="E8" s="372"/>
      <c r="F8" s="164"/>
      <c r="G8" s="373"/>
      <c r="H8" s="164"/>
      <c r="I8" s="373"/>
      <c r="J8" s="164"/>
      <c r="K8" s="373"/>
      <c r="L8" s="164"/>
      <c r="M8" s="373"/>
      <c r="N8" s="164"/>
      <c r="O8" s="373"/>
      <c r="P8" s="164"/>
      <c r="Q8" s="373"/>
      <c r="R8" s="537"/>
      <c r="S8" s="373"/>
      <c r="T8" s="164"/>
      <c r="U8" s="373"/>
      <c r="V8" s="164"/>
      <c r="W8" s="373"/>
      <c r="X8" s="164"/>
      <c r="Y8" s="373"/>
      <c r="Z8" s="164"/>
      <c r="AA8" s="373"/>
      <c r="AB8" s="164"/>
      <c r="AC8" s="1010"/>
      <c r="AD8" s="1010"/>
      <c r="AE8" s="373"/>
      <c r="AF8" s="517"/>
      <c r="AG8" s="1177"/>
    </row>
    <row r="9" spans="1:33" ht="15">
      <c r="A9" s="402" t="s">
        <v>303</v>
      </c>
      <c r="B9" s="145"/>
      <c r="C9" s="139"/>
      <c r="D9" s="1044"/>
      <c r="E9" s="768"/>
      <c r="F9" s="384"/>
      <c r="G9" s="504"/>
      <c r="H9" s="384"/>
      <c r="I9" s="504"/>
      <c r="J9" s="384"/>
      <c r="K9" s="504"/>
      <c r="L9" s="384"/>
      <c r="M9" s="504"/>
      <c r="N9" s="384"/>
      <c r="O9" s="504"/>
      <c r="P9" s="384"/>
      <c r="Q9" s="504"/>
      <c r="R9" s="509"/>
      <c r="S9" s="1053"/>
      <c r="T9" s="384"/>
      <c r="U9" s="504"/>
      <c r="V9" s="384"/>
      <c r="W9" s="504"/>
      <c r="X9" s="384"/>
      <c r="Y9" s="504"/>
      <c r="Z9" s="384"/>
      <c r="AA9" s="504"/>
      <c r="AB9" s="384"/>
      <c r="AC9" s="1011"/>
      <c r="AD9" s="1014"/>
      <c r="AE9" s="1014"/>
      <c r="AF9" s="385"/>
      <c r="AG9" s="1177"/>
    </row>
    <row r="10" spans="1:33" ht="15">
      <c r="A10" s="403"/>
      <c r="B10" s="276" t="s">
        <v>152</v>
      </c>
      <c r="C10" s="275">
        <v>8011</v>
      </c>
      <c r="D10" s="1044"/>
      <c r="E10" s="376"/>
      <c r="F10" s="524" t="str">
        <f>IF($AE10&lt;1," ",IF(E10&lt;1," ",(E10)/$AE10))</f>
        <v xml:space="preserve"> </v>
      </c>
      <c r="G10" s="388"/>
      <c r="H10" s="524" t="str">
        <f>IF($AE10&lt;1," ",IF(G10&lt;1," ",(G10)/$AE10))</f>
        <v xml:space="preserve"> </v>
      </c>
      <c r="I10" s="388"/>
      <c r="J10" s="524" t="str">
        <f>IF($AE10&lt;1," ",IF(I10&lt;1," ",(I10)/$AE10))</f>
        <v xml:space="preserve"> </v>
      </c>
      <c r="K10" s="388"/>
      <c r="L10" s="524" t="str">
        <f>IF($AE10&lt;1," ",IF(K10&lt;1," ",(K10)/$AE10))</f>
        <v xml:space="preserve"> </v>
      </c>
      <c r="M10" s="388"/>
      <c r="N10" s="337" t="str">
        <f>IF($AE10&lt;1," ",IF(M10&lt;1," ",(M10)/$AE10))</f>
        <v xml:space="preserve"> </v>
      </c>
      <c r="O10" s="388"/>
      <c r="P10" s="337" t="str">
        <f>IF($AE10&lt;1," ",IF(O10&lt;1," ",(O10)/$AE10))</f>
        <v xml:space="preserve"> </v>
      </c>
      <c r="Q10" s="388"/>
      <c r="R10" s="338" t="str">
        <f>IF($AE10&lt;1," ",IF(Q10&lt;1," ",(Q10)/$AE10))</f>
        <v xml:space="preserve"> </v>
      </c>
      <c r="S10" s="376"/>
      <c r="T10" s="337" t="str">
        <f>IF($AE10&lt;1," ",IF(S10&lt;1," ",(S10)/$AE10))</f>
        <v xml:space="preserve"> </v>
      </c>
      <c r="U10" s="388"/>
      <c r="V10" s="337" t="str">
        <f>IF($AE10&lt;1," ",IF(U10&lt;1," ",(U10)/$AE10))</f>
        <v xml:space="preserve"> </v>
      </c>
      <c r="W10" s="388"/>
      <c r="X10" s="337" t="str">
        <f>IF($AE10&lt;1," ",IF(W10&lt;1," ",(W10)/$AE10))</f>
        <v xml:space="preserve"> </v>
      </c>
      <c r="Y10" s="388"/>
      <c r="Z10" s="337" t="str">
        <f>IF($AE10&lt;1," ",IF(Y10&lt;1," ",(Y10)/$AE10))</f>
        <v xml:space="preserve"> </v>
      </c>
      <c r="AA10" s="388"/>
      <c r="AB10" s="337" t="str">
        <f>IF($AE10&lt;1," ",IF(AA10&lt;1," ",(AA10)/$AE10))</f>
        <v xml:space="preserve"> </v>
      </c>
      <c r="AC10" s="1534">
        <f>AE10-(E10+G10+I10+K10+M10+O10+Q10+S10+U10+W10+Y10+AA10)</f>
        <v>0</v>
      </c>
      <c r="AD10" s="377">
        <f>+E10+G10+I10+K10+M10+O10+Q10+S10+U10+W10+Y10+AA10+AC10</f>
        <v>0</v>
      </c>
      <c r="AE10" s="377">
        <f>'2nd Interim-Summary MYP'!H13</f>
        <v>0</v>
      </c>
      <c r="AF10" s="377">
        <f>+AE10-AD10</f>
        <v>0</v>
      </c>
      <c r="AG10" s="1177"/>
    </row>
    <row r="11" spans="1:33" ht="15">
      <c r="A11" s="403"/>
      <c r="B11" s="139" t="s">
        <v>153</v>
      </c>
      <c r="C11" s="275">
        <v>8012</v>
      </c>
      <c r="D11" s="1044"/>
      <c r="E11" s="376"/>
      <c r="F11" s="524" t="str">
        <f>IF($AE11&lt;1," ",IF(E11&lt;1," ",(E11)/$AE11))</f>
        <v xml:space="preserve"> </v>
      </c>
      <c r="G11" s="388"/>
      <c r="H11" s="524" t="str">
        <f>IF($AE11&lt;1," ",IF(G11&lt;1," ",(G11)/$AE11))</f>
        <v xml:space="preserve"> </v>
      </c>
      <c r="I11" s="388"/>
      <c r="J11" s="524" t="str">
        <f>IF($AE11&lt;1," ",IF(I11&lt;1," ",(I11)/$AE11))</f>
        <v xml:space="preserve"> </v>
      </c>
      <c r="K11" s="388"/>
      <c r="L11" s="524" t="str">
        <f>IF($AE11&lt;1," ",IF(K11&lt;1," ",(K11)/$AE11))</f>
        <v xml:space="preserve"> </v>
      </c>
      <c r="M11" s="388"/>
      <c r="N11" s="337" t="str">
        <f>IF($AE11&lt;1," ",IF(M11&lt;1," ",(M11)/$AE11))</f>
        <v xml:space="preserve"> </v>
      </c>
      <c r="O11" s="388"/>
      <c r="P11" s="337" t="str">
        <f>IF($AE11&lt;1," ",IF(O11&lt;1," ",(O11)/$AE11))</f>
        <v xml:space="preserve"> </v>
      </c>
      <c r="Q11" s="388"/>
      <c r="R11" s="338" t="str">
        <f>IF($AE11&lt;1," ",IF(Q11&lt;1," ",(Q11)/$AE11))</f>
        <v xml:space="preserve"> </v>
      </c>
      <c r="S11" s="376"/>
      <c r="T11" s="337" t="str">
        <f>IF($AE11&lt;1," ",IF(S11&lt;1," ",(S11)/$AE11))</f>
        <v xml:space="preserve"> </v>
      </c>
      <c r="U11" s="388"/>
      <c r="V11" s="337" t="str">
        <f>IF($AE11&lt;1," ",IF(U11&lt;1," ",(U11)/$AE11))</f>
        <v xml:space="preserve"> </v>
      </c>
      <c r="W11" s="388"/>
      <c r="X11" s="337" t="str">
        <f>IF($AE11&lt;1," ",IF(W11&lt;1," ",(W11)/$AE11))</f>
        <v xml:space="preserve"> </v>
      </c>
      <c r="Y11" s="388"/>
      <c r="Z11" s="337" t="str">
        <f>IF($AE11&lt;1," ",IF(Y11&lt;1," ",(Y11)/$AE11))</f>
        <v xml:space="preserve"> </v>
      </c>
      <c r="AA11" s="388"/>
      <c r="AB11" s="337" t="str">
        <f>IF($AE11&lt;1," ",IF(AA11&lt;1," ",(AA11)/$AE11))</f>
        <v xml:space="preserve"> </v>
      </c>
      <c r="AC11" s="1534">
        <f t="shared" ref="AC11:AC22" si="0">AE11-(E11+G11+I11+K11+M11+O11+Q11+S11+U11+W11+Y11+AA11)</f>
        <v>0</v>
      </c>
      <c r="AD11" s="377">
        <f>+E11+G11+I11+K11+M11+O11+Q11+S11+U11+W11+Y11+AA11+AC11</f>
        <v>0</v>
      </c>
      <c r="AE11" s="377">
        <f>'2nd Interim-Summary MYP'!H14</f>
        <v>0</v>
      </c>
      <c r="AF11" s="377">
        <f>+AE11-AD11</f>
        <v>0</v>
      </c>
      <c r="AG11" s="1177"/>
    </row>
    <row r="12" spans="1:33" ht="15">
      <c r="A12" s="403"/>
      <c r="B12" s="139" t="s">
        <v>301</v>
      </c>
      <c r="C12" s="275">
        <v>8019</v>
      </c>
      <c r="D12" s="1048"/>
      <c r="E12" s="376"/>
      <c r="F12" s="524" t="str">
        <f>IF($AE12&lt;1," ",IF(E12&lt;1," ",(E12)/$AE12))</f>
        <v xml:space="preserve"> </v>
      </c>
      <c r="G12" s="388"/>
      <c r="H12" s="524" t="str">
        <f>IF($AE12&lt;1," ",IF(G12&lt;1," ",(G12)/$AE12))</f>
        <v xml:space="preserve"> </v>
      </c>
      <c r="I12" s="388"/>
      <c r="J12" s="524" t="str">
        <f>IF($AE12&lt;1," ",IF(I12&lt;1," ",(I12)/$AE12))</f>
        <v xml:space="preserve"> </v>
      </c>
      <c r="K12" s="388"/>
      <c r="L12" s="524" t="str">
        <f>IF($AE12&lt;1," ",IF(K12&lt;1," ",(K12)/$AE12))</f>
        <v xml:space="preserve"> </v>
      </c>
      <c r="M12" s="388"/>
      <c r="N12" s="337" t="str">
        <f>IF($AE12&lt;1," ",IF(M12&lt;1," ",(M12)/$AE12))</f>
        <v xml:space="preserve"> </v>
      </c>
      <c r="O12" s="388"/>
      <c r="P12" s="337" t="str">
        <f>IF($AE12&lt;1," ",IF(O12&lt;1," ",(O12)/$AE12))</f>
        <v xml:space="preserve"> </v>
      </c>
      <c r="Q12" s="388"/>
      <c r="R12" s="338" t="str">
        <f>IF($AE12&lt;1," ",IF(Q12&lt;1," ",(Q12)/$AE12))</f>
        <v xml:space="preserve"> </v>
      </c>
      <c r="S12" s="376"/>
      <c r="T12" s="337" t="str">
        <f>IF($AE12&lt;1," ",IF(S12&lt;1," ",(S12)/$AE12))</f>
        <v xml:space="preserve"> </v>
      </c>
      <c r="U12" s="388"/>
      <c r="V12" s="337" t="str">
        <f>IF($AE12&lt;1," ",IF(U12&lt;1," ",(U12)/$AE12))</f>
        <v xml:space="preserve"> </v>
      </c>
      <c r="W12" s="388"/>
      <c r="X12" s="337" t="str">
        <f>IF($AE12&lt;1," ",IF(W12&lt;1," ",(W12)/$AE12))</f>
        <v xml:space="preserve"> </v>
      </c>
      <c r="Y12" s="388"/>
      <c r="Z12" s="337" t="str">
        <f>IF($AE12&lt;1," ",IF(Y12&lt;1," ",(Y12)/$AE12))</f>
        <v xml:space="preserve"> </v>
      </c>
      <c r="AA12" s="388"/>
      <c r="AB12" s="337" t="str">
        <f>IF($AE12&lt;1," ",IF(AA12&lt;1," ",(AA12)/$AE12))</f>
        <v xml:space="preserve"> </v>
      </c>
      <c r="AC12" s="1534">
        <f t="shared" si="0"/>
        <v>0</v>
      </c>
      <c r="AD12" s="377">
        <f>+E12+G12+I12+K12+M12+O12+Q12+S12+U12+W12+Y12+AA12+AC12</f>
        <v>0</v>
      </c>
      <c r="AE12" s="378">
        <f>'2nd Interim-Summary MYP'!H15</f>
        <v>0</v>
      </c>
      <c r="AF12" s="377">
        <f>+AE12-AD12</f>
        <v>0</v>
      </c>
      <c r="AG12" s="1177"/>
    </row>
    <row r="13" spans="1:33" ht="15">
      <c r="A13" s="403"/>
      <c r="B13" s="139" t="s">
        <v>302</v>
      </c>
      <c r="C13" s="275">
        <v>8096</v>
      </c>
      <c r="D13" s="1048"/>
      <c r="E13" s="376"/>
      <c r="F13" s="524" t="str">
        <f>IF($AE13&lt;1," ",IF(E13&lt;1," ",(E13)/$AE13))</f>
        <v xml:space="preserve"> </v>
      </c>
      <c r="G13" s="388"/>
      <c r="H13" s="524" t="str">
        <f>IF($AE13&lt;1," ",IF(G13&lt;1," ",(G13)/$AE13))</f>
        <v xml:space="preserve"> </v>
      </c>
      <c r="I13" s="388"/>
      <c r="J13" s="524" t="str">
        <f>IF($AE13&lt;1," ",IF(I13&lt;1," ",(I13)/$AE13))</f>
        <v xml:space="preserve"> </v>
      </c>
      <c r="K13" s="388"/>
      <c r="L13" s="524" t="str">
        <f>IF($AE13&lt;1," ",IF(K13&lt;1," ",(K13)/$AE13))</f>
        <v xml:space="preserve"> </v>
      </c>
      <c r="M13" s="388"/>
      <c r="N13" s="337" t="str">
        <f>IF($AE13&lt;1," ",IF(M13&lt;1," ",(M13)/$AE13))</f>
        <v xml:space="preserve"> </v>
      </c>
      <c r="O13" s="388"/>
      <c r="P13" s="337" t="str">
        <f>IF($AE13&lt;1," ",IF(O13&lt;1," ",(O13)/$AE13))</f>
        <v xml:space="preserve"> </v>
      </c>
      <c r="Q13" s="388"/>
      <c r="R13" s="338" t="str">
        <f>IF($AE13&lt;1," ",IF(Q13&lt;1," ",(Q13)/$AE13))</f>
        <v xml:space="preserve"> </v>
      </c>
      <c r="S13" s="376"/>
      <c r="T13" s="337" t="str">
        <f>IF($AE13&lt;1," ",IF(S13&lt;1," ",(S13)/$AE13))</f>
        <v xml:space="preserve"> </v>
      </c>
      <c r="U13" s="388"/>
      <c r="V13" s="337" t="str">
        <f>IF($AE13&lt;1," ",IF(U13&lt;1," ",(U13)/$AE13))</f>
        <v xml:space="preserve"> </v>
      </c>
      <c r="W13" s="388"/>
      <c r="X13" s="337" t="str">
        <f>IF($AE13&lt;1," ",IF(W13&lt;1," ",(W13)/$AE13))</f>
        <v xml:space="preserve"> </v>
      </c>
      <c r="Y13" s="388"/>
      <c r="Z13" s="337" t="str">
        <f>IF($AE13&lt;1," ",IF(Y13&lt;1," ",(Y13)/$AE13))</f>
        <v xml:space="preserve"> </v>
      </c>
      <c r="AA13" s="388"/>
      <c r="AB13" s="337" t="str">
        <f>IF($AE13&lt;1," ",IF(AA13&lt;1," ",(AA13)/$AE13))</f>
        <v xml:space="preserve"> </v>
      </c>
      <c r="AC13" s="1534">
        <f t="shared" si="0"/>
        <v>0</v>
      </c>
      <c r="AD13" s="377">
        <f>+E13+G13+I13+K13+M13+O13+Q13+S13+U13+W13+Y13+AA13+AC13</f>
        <v>0</v>
      </c>
      <c r="AE13" s="377">
        <f>'2nd Interim-Summary MYP'!H16</f>
        <v>0</v>
      </c>
      <c r="AF13" s="377">
        <f>+AE13-AD13</f>
        <v>0</v>
      </c>
      <c r="AG13" s="1177"/>
    </row>
    <row r="14" spans="1:33" ht="15">
      <c r="A14" s="402" t="s">
        <v>304</v>
      </c>
      <c r="B14" s="145"/>
      <c r="C14" s="275" t="s">
        <v>99</v>
      </c>
      <c r="D14" s="1044"/>
      <c r="E14" s="376"/>
      <c r="F14" s="524" t="str">
        <f>IF($AE14&lt;1," ",IF(E14&lt;1," ",(E14)/$AE14))</f>
        <v xml:space="preserve"> </v>
      </c>
      <c r="G14" s="388"/>
      <c r="H14" s="524" t="str">
        <f>IF($AE14&lt;1," ",IF(G14&lt;1," ",(G14)/$AE14))</f>
        <v xml:space="preserve"> </v>
      </c>
      <c r="I14" s="388"/>
      <c r="J14" s="524" t="str">
        <f>IF($AE14&lt;1," ",IF(I14&lt;1," ",(I14)/$AE14))</f>
        <v xml:space="preserve"> </v>
      </c>
      <c r="K14" s="388"/>
      <c r="L14" s="524" t="str">
        <f>IF($AE14&lt;1," ",IF(K14&lt;1," ",(K14)/$AE14))</f>
        <v xml:space="preserve"> </v>
      </c>
      <c r="M14" s="388"/>
      <c r="N14" s="337" t="str">
        <f>IF($AE14&lt;1," ",IF(M14&lt;1," ",(M14)/$AE14))</f>
        <v xml:space="preserve"> </v>
      </c>
      <c r="O14" s="388"/>
      <c r="P14" s="337" t="str">
        <f>IF($AE14&lt;1," ",IF(O14&lt;1," ",(O14)/$AE14))</f>
        <v xml:space="preserve"> </v>
      </c>
      <c r="Q14" s="388"/>
      <c r="R14" s="338" t="str">
        <f>IF($AE14&lt;1," ",IF(Q14&lt;1," ",(Q14)/$AE14))</f>
        <v xml:space="preserve"> </v>
      </c>
      <c r="S14" s="376"/>
      <c r="T14" s="337" t="str">
        <f>IF($AE14&lt;1," ",IF(S14&lt;1," ",(S14)/$AE14))</f>
        <v xml:space="preserve"> </v>
      </c>
      <c r="U14" s="388"/>
      <c r="V14" s="337" t="str">
        <f>IF($AE14&lt;1," ",IF(U14&lt;1," ",(U14)/$AE14))</f>
        <v xml:space="preserve"> </v>
      </c>
      <c r="W14" s="388"/>
      <c r="X14" s="337" t="str">
        <f>IF($AE14&lt;1," ",IF(W14&lt;1," ",(W14)/$AE14))</f>
        <v xml:space="preserve"> </v>
      </c>
      <c r="Y14" s="388"/>
      <c r="Z14" s="337" t="str">
        <f>IF($AE14&lt;1," ",IF(Y14&lt;1," ",(Y14)/$AE14))</f>
        <v xml:space="preserve"> </v>
      </c>
      <c r="AA14" s="388"/>
      <c r="AB14" s="337" t="str">
        <f>IF($AE14&lt;1," ",IF(AA14&lt;1," ",(AA14)/$AE14))</f>
        <v xml:space="preserve"> </v>
      </c>
      <c r="AC14" s="1534">
        <f t="shared" si="0"/>
        <v>0</v>
      </c>
      <c r="AD14" s="377">
        <f>+E14+G14+I14+K14+M14+O14+Q14+S14+U14+W14+Y14+AA14+AC14</f>
        <v>0</v>
      </c>
      <c r="AE14" s="377">
        <f>'2nd Interim-Summary MYP'!H17</f>
        <v>0</v>
      </c>
      <c r="AF14" s="377">
        <f t="shared" ref="AF14:AF22" si="1">+AE14-AD14</f>
        <v>0</v>
      </c>
      <c r="AG14" s="1177"/>
    </row>
    <row r="15" spans="1:33" ht="15">
      <c r="A15" s="403" t="s">
        <v>305</v>
      </c>
      <c r="B15" s="139"/>
      <c r="C15" s="139"/>
      <c r="D15" s="1044"/>
      <c r="E15" s="505"/>
      <c r="F15" s="524"/>
      <c r="G15" s="389"/>
      <c r="H15" s="524"/>
      <c r="I15" s="389"/>
      <c r="J15" s="524"/>
      <c r="K15" s="389"/>
      <c r="L15" s="524"/>
      <c r="M15" s="389"/>
      <c r="N15" s="337"/>
      <c r="O15" s="389"/>
      <c r="P15" s="337"/>
      <c r="Q15" s="389"/>
      <c r="R15" s="338"/>
      <c r="S15" s="505"/>
      <c r="T15" s="337"/>
      <c r="U15" s="389"/>
      <c r="V15" s="337"/>
      <c r="W15" s="389"/>
      <c r="X15" s="337"/>
      <c r="Y15" s="389"/>
      <c r="Z15" s="337"/>
      <c r="AA15" s="389"/>
      <c r="AB15" s="337"/>
      <c r="AC15" s="1535"/>
      <c r="AD15" s="377"/>
      <c r="AE15" s="377"/>
      <c r="AF15" s="377"/>
      <c r="AG15" s="1177"/>
    </row>
    <row r="16" spans="1:33" ht="15">
      <c r="A16" s="403"/>
      <c r="B16" s="139" t="s">
        <v>306</v>
      </c>
      <c r="C16" s="275">
        <v>8560</v>
      </c>
      <c r="D16" s="1044"/>
      <c r="E16" s="376"/>
      <c r="F16" s="524" t="e">
        <f>IF($AE16&lt;1," ",IF(E16&lt;1," ",(E16)/$AE16))</f>
        <v>#VALUE!</v>
      </c>
      <c r="G16" s="388"/>
      <c r="H16" s="524" t="e">
        <f>IF($AE16&lt;1," ",IF(G16&lt;1," ",(G16)/$AE16))</f>
        <v>#VALUE!</v>
      </c>
      <c r="I16" s="388"/>
      <c r="J16" s="524" t="e">
        <f>IF($AE16&lt;1," ",IF(I16&lt;1," ",(I16)/$AE16))</f>
        <v>#VALUE!</v>
      </c>
      <c r="K16" s="388"/>
      <c r="L16" s="524" t="e">
        <f>IF($AE16&lt;1," ",IF(K16&lt;1," ",(K16)/$AE16))</f>
        <v>#VALUE!</v>
      </c>
      <c r="M16" s="388"/>
      <c r="N16" s="337" t="e">
        <f>IF($AE16&lt;1," ",IF(M16&lt;1," ",(M16)/$AE16))</f>
        <v>#VALUE!</v>
      </c>
      <c r="O16" s="388"/>
      <c r="P16" s="337" t="e">
        <f>IF($AE16&lt;1," ",IF(O16&lt;1," ",(O16)/$AE16))</f>
        <v>#VALUE!</v>
      </c>
      <c r="Q16" s="388"/>
      <c r="R16" s="338" t="e">
        <f>IF($AE16&lt;1," ",IF(Q16&lt;1," ",(Q16)/$AE16))</f>
        <v>#VALUE!</v>
      </c>
      <c r="S16" s="376"/>
      <c r="T16" s="337" t="e">
        <f>IF($AE16&lt;1," ",IF(S16&lt;1," ",(S16)/$AE16))</f>
        <v>#VALUE!</v>
      </c>
      <c r="U16" s="388"/>
      <c r="V16" s="337" t="e">
        <f>IF($AE16&lt;1," ",IF(U16&lt;1," ",(U16)/$AE16))</f>
        <v>#VALUE!</v>
      </c>
      <c r="W16" s="388"/>
      <c r="X16" s="337" t="e">
        <f>IF($AE16&lt;1," ",IF(W16&lt;1," ",(W16)/$AE16))</f>
        <v>#VALUE!</v>
      </c>
      <c r="Y16" s="388"/>
      <c r="Z16" s="337" t="e">
        <f>IF($AE16&lt;1," ",IF(Y16&lt;1," ",(Y16)/$AE16))</f>
        <v>#VALUE!</v>
      </c>
      <c r="AA16" s="388"/>
      <c r="AB16" s="337" t="e">
        <f>IF($AE16&lt;1," ",IF(AA16&lt;1," ",(AA16)/$AE16))</f>
        <v>#VALUE!</v>
      </c>
      <c r="AC16" s="1534" t="e">
        <f t="shared" si="0"/>
        <v>#VALUE!</v>
      </c>
      <c r="AD16" s="377" t="e">
        <f>+E16+G16+I16+K16+M16+O16+Q16+S16+U16+W16+Y16+AA16+AC16</f>
        <v>#VALUE!</v>
      </c>
      <c r="AE16" s="377" t="e">
        <f>'2nd Interim-Summary MYP'!H19</f>
        <v>#VALUE!</v>
      </c>
      <c r="AF16" s="377" t="e">
        <f t="shared" si="1"/>
        <v>#VALUE!</v>
      </c>
      <c r="AG16" s="1177"/>
    </row>
    <row r="17" spans="1:33" ht="15">
      <c r="A17" s="403"/>
      <c r="B17" s="139" t="s">
        <v>307</v>
      </c>
      <c r="C17" s="275">
        <v>8560</v>
      </c>
      <c r="D17" s="1044"/>
      <c r="E17" s="376"/>
      <c r="F17" s="524" t="e">
        <f>IF($AE17&lt;1," ",IF(E17&lt;1," ",(E17)/$AE17))</f>
        <v>#VALUE!</v>
      </c>
      <c r="G17" s="388"/>
      <c r="H17" s="524" t="e">
        <f>IF($AE17&lt;1," ",IF(G17&lt;1," ",(G17)/$AE17))</f>
        <v>#VALUE!</v>
      </c>
      <c r="I17" s="388"/>
      <c r="J17" s="524" t="e">
        <f>IF($AE17&lt;1," ",IF(I17&lt;1," ",(I17)/$AE17))</f>
        <v>#VALUE!</v>
      </c>
      <c r="K17" s="388"/>
      <c r="L17" s="524" t="e">
        <f>IF($AE17&lt;1," ",IF(K17&lt;1," ",(K17)/$AE17))</f>
        <v>#VALUE!</v>
      </c>
      <c r="M17" s="388"/>
      <c r="N17" s="337" t="e">
        <f>IF($AE17&lt;1," ",IF(M17&lt;1," ",(M17)/$AE17))</f>
        <v>#VALUE!</v>
      </c>
      <c r="O17" s="388"/>
      <c r="P17" s="337" t="e">
        <f>IF($AE17&lt;1," ",IF(O17&lt;1," ",(O17)/$AE17))</f>
        <v>#VALUE!</v>
      </c>
      <c r="Q17" s="388"/>
      <c r="R17" s="338" t="e">
        <f>IF($AE17&lt;1," ",IF(Q17&lt;1," ",(Q17)/$AE17))</f>
        <v>#VALUE!</v>
      </c>
      <c r="S17" s="376"/>
      <c r="T17" s="337" t="e">
        <f>IF($AE17&lt;1," ",IF(S17&lt;1," ",(S17)/$AE17))</f>
        <v>#VALUE!</v>
      </c>
      <c r="U17" s="388"/>
      <c r="V17" s="337" t="e">
        <f>IF($AE17&lt;1," ",IF(U17&lt;1," ",(U17)/$AE17))</f>
        <v>#VALUE!</v>
      </c>
      <c r="W17" s="388"/>
      <c r="X17" s="337" t="e">
        <f>IF($AE17&lt;1," ",IF(W17&lt;1," ",(W17)/$AE17))</f>
        <v>#VALUE!</v>
      </c>
      <c r="Y17" s="388"/>
      <c r="Z17" s="337" t="e">
        <f>IF($AE17&lt;1," ",IF(Y17&lt;1," ",(Y17)/$AE17))</f>
        <v>#VALUE!</v>
      </c>
      <c r="AA17" s="388"/>
      <c r="AB17" s="337" t="e">
        <f>IF($AE17&lt;1," ",IF(AA17&lt;1," ",(AA17)/$AE17))</f>
        <v>#VALUE!</v>
      </c>
      <c r="AC17" s="1534" t="e">
        <f t="shared" si="0"/>
        <v>#VALUE!</v>
      </c>
      <c r="AD17" s="377" t="e">
        <f>+E17+G17+I17+K17+M17+O17+Q17+S17+U17+W17+Y17+AA17+AC17</f>
        <v>#VALUE!</v>
      </c>
      <c r="AE17" s="377" t="e">
        <f>'2nd Interim-Summary MYP'!H20</f>
        <v>#VALUE!</v>
      </c>
      <c r="AF17" s="377" t="e">
        <f>+AE17-AD17</f>
        <v>#VALUE!</v>
      </c>
      <c r="AG17" s="1177"/>
    </row>
    <row r="18" spans="1:33" ht="15">
      <c r="A18" s="403"/>
      <c r="B18" s="139" t="s">
        <v>308</v>
      </c>
      <c r="C18" s="275" t="s">
        <v>100</v>
      </c>
      <c r="D18" s="1044"/>
      <c r="E18" s="376"/>
      <c r="F18" s="524" t="str">
        <f>IF($AE18&lt;1," ",IF(E18&lt;1," ",(E18)/$AE18))</f>
        <v xml:space="preserve"> </v>
      </c>
      <c r="G18" s="388"/>
      <c r="H18" s="524" t="str">
        <f>IF($AE18&lt;1," ",IF(G18&lt;1," ",(G18)/$AE18))</f>
        <v xml:space="preserve"> </v>
      </c>
      <c r="I18" s="388"/>
      <c r="J18" s="524" t="str">
        <f>IF($AE18&lt;1," ",IF(I18&lt;1," ",(I18)/$AE18))</f>
        <v xml:space="preserve"> </v>
      </c>
      <c r="K18" s="388"/>
      <c r="L18" s="524" t="str">
        <f>IF($AE18&lt;1," ",IF(K18&lt;1," ",(K18)/$AE18))</f>
        <v xml:space="preserve"> </v>
      </c>
      <c r="M18" s="388"/>
      <c r="N18" s="337" t="str">
        <f>IF($AE18&lt;1," ",IF(M18&lt;1," ",(M18)/$AE18))</f>
        <v xml:space="preserve"> </v>
      </c>
      <c r="O18" s="388"/>
      <c r="P18" s="337" t="str">
        <f>IF($AE18&lt;1," ",IF(O18&lt;1," ",(O18)/$AE18))</f>
        <v xml:space="preserve"> </v>
      </c>
      <c r="Q18" s="388"/>
      <c r="R18" s="338" t="str">
        <f>IF($AE18&lt;1," ",IF(Q18&lt;1," ",(Q18)/$AE18))</f>
        <v xml:space="preserve"> </v>
      </c>
      <c r="S18" s="376"/>
      <c r="T18" s="337" t="str">
        <f>IF($AE18&lt;1," ",IF(S18&lt;1," ",(S18)/$AE18))</f>
        <v xml:space="preserve"> </v>
      </c>
      <c r="U18" s="388"/>
      <c r="V18" s="337" t="str">
        <f>IF($AE18&lt;1," ",IF(U18&lt;1," ",(U18)/$AE18))</f>
        <v xml:space="preserve"> </v>
      </c>
      <c r="W18" s="388"/>
      <c r="X18" s="337" t="str">
        <f>IF($AE18&lt;1," ",IF(W18&lt;1," ",(W18)/$AE18))</f>
        <v xml:space="preserve"> </v>
      </c>
      <c r="Y18" s="388"/>
      <c r="Z18" s="337" t="str">
        <f>IF($AE18&lt;1," ",IF(Y18&lt;1," ",(Y18)/$AE18))</f>
        <v xml:space="preserve"> </v>
      </c>
      <c r="AA18" s="388"/>
      <c r="AB18" s="337" t="str">
        <f>IF($AE18&lt;1," ",IF(AA18&lt;1," ",(AA18)/$AE18))</f>
        <v xml:space="preserve"> </v>
      </c>
      <c r="AC18" s="1534">
        <f t="shared" si="0"/>
        <v>0</v>
      </c>
      <c r="AD18" s="377">
        <f>+E18+G18+I18+K18+M18+O18+Q18+S18+U18+W18+Y18+AA18+AC18</f>
        <v>0</v>
      </c>
      <c r="AE18" s="377">
        <f>'2nd Interim-Summary MYP'!H21</f>
        <v>0</v>
      </c>
      <c r="AF18" s="377">
        <f t="shared" si="1"/>
        <v>0</v>
      </c>
      <c r="AG18" s="1177"/>
    </row>
    <row r="19" spans="1:33" ht="15">
      <c r="A19" s="403" t="s">
        <v>309</v>
      </c>
      <c r="B19" s="139"/>
      <c r="C19" s="139"/>
      <c r="D19" s="1044"/>
      <c r="E19" s="505"/>
      <c r="F19" s="524"/>
      <c r="G19" s="389"/>
      <c r="H19" s="524"/>
      <c r="I19" s="389"/>
      <c r="J19" s="524"/>
      <c r="K19" s="389"/>
      <c r="L19" s="524"/>
      <c r="M19" s="389"/>
      <c r="N19" s="337"/>
      <c r="O19" s="389"/>
      <c r="P19" s="337"/>
      <c r="Q19" s="389"/>
      <c r="R19" s="338"/>
      <c r="S19" s="505"/>
      <c r="T19" s="337"/>
      <c r="U19" s="389"/>
      <c r="V19" s="337"/>
      <c r="W19" s="389"/>
      <c r="X19" s="337"/>
      <c r="Y19" s="389"/>
      <c r="Z19" s="337"/>
      <c r="AA19" s="389"/>
      <c r="AB19" s="337"/>
      <c r="AC19" s="1535"/>
      <c r="AD19" s="377"/>
      <c r="AE19" s="377"/>
      <c r="AF19" s="377"/>
      <c r="AG19" s="1177"/>
    </row>
    <row r="20" spans="1:33" ht="15">
      <c r="A20" s="403"/>
      <c r="B20" s="139" t="s">
        <v>236</v>
      </c>
      <c r="C20" s="275">
        <v>8660</v>
      </c>
      <c r="D20" s="1044"/>
      <c r="E20" s="376"/>
      <c r="F20" s="524" t="str">
        <f>IF($AE20&lt;1," ",IF(E20&lt;1," ",(E20)/$AE20))</f>
        <v xml:space="preserve"> </v>
      </c>
      <c r="G20" s="388"/>
      <c r="H20" s="524" t="str">
        <f>IF($AE20&lt;1," ",IF(G20&lt;1," ",(G20)/$AE20))</f>
        <v xml:space="preserve"> </v>
      </c>
      <c r="I20" s="388"/>
      <c r="J20" s="524" t="str">
        <f>IF($AE20&lt;1," ",IF(I20&lt;1," ",(I20)/$AE20))</f>
        <v xml:space="preserve"> </v>
      </c>
      <c r="K20" s="388"/>
      <c r="L20" s="524" t="str">
        <f>IF($AE20&lt;1," ",IF(K20&lt;1," ",(K20)/$AE20))</f>
        <v xml:space="preserve"> </v>
      </c>
      <c r="M20" s="388"/>
      <c r="N20" s="337" t="str">
        <f>IF($AE20&lt;1," ",IF(M20&lt;1," ",(M20)/$AE20))</f>
        <v xml:space="preserve"> </v>
      </c>
      <c r="O20" s="388"/>
      <c r="P20" s="337" t="str">
        <f>IF($AE20&lt;1," ",IF(O20&lt;1," ",(O20)/$AE20))</f>
        <v xml:space="preserve"> </v>
      </c>
      <c r="Q20" s="388"/>
      <c r="R20" s="338" t="str">
        <f>IF($AE20&lt;1," ",IF(Q20&lt;1," ",(Q20)/$AE20))</f>
        <v xml:space="preserve"> </v>
      </c>
      <c r="S20" s="376"/>
      <c r="T20" s="337" t="str">
        <f>IF($AE20&lt;1," ",IF(S20&lt;1," ",(S20)/$AE20))</f>
        <v xml:space="preserve"> </v>
      </c>
      <c r="U20" s="388"/>
      <c r="V20" s="337" t="str">
        <f>IF($AE20&lt;1," ",IF(U20&lt;1," ",(U20)/$AE20))</f>
        <v xml:space="preserve"> </v>
      </c>
      <c r="W20" s="388"/>
      <c r="X20" s="337" t="str">
        <f>IF($AE20&lt;1," ",IF(W20&lt;1," ",(W20)/$AE20))</f>
        <v xml:space="preserve"> </v>
      </c>
      <c r="Y20" s="388"/>
      <c r="Z20" s="337" t="str">
        <f>IF($AE20&lt;1," ",IF(Y20&lt;1," ",(Y20)/$AE20))</f>
        <v xml:space="preserve"> </v>
      </c>
      <c r="AA20" s="388"/>
      <c r="AB20" s="337" t="str">
        <f>IF($AE20&lt;1," ",IF(AA20&lt;1," ",(AA20)/$AE20))</f>
        <v xml:space="preserve"> </v>
      </c>
      <c r="AC20" s="1534">
        <f t="shared" si="0"/>
        <v>0</v>
      </c>
      <c r="AD20" s="377">
        <f>+E20+G20+I20+K20+M20+O20+Q20+S20+U20+W20+Y20+AA20+AC20</f>
        <v>0</v>
      </c>
      <c r="AE20" s="377">
        <f>'2nd Interim-Summary MYP'!H23</f>
        <v>0</v>
      </c>
      <c r="AF20" s="377">
        <f t="shared" si="1"/>
        <v>0</v>
      </c>
      <c r="AG20" s="1177"/>
    </row>
    <row r="21" spans="1:33" ht="15">
      <c r="A21" s="403"/>
      <c r="B21" s="139" t="s">
        <v>310</v>
      </c>
      <c r="C21" s="275">
        <v>8792</v>
      </c>
      <c r="D21" s="1044"/>
      <c r="E21" s="376"/>
      <c r="F21" s="524" t="str">
        <f>IF($AE21&lt;1," ",IF(E21&lt;1," ",(E21)/$AE21))</f>
        <v xml:space="preserve"> </v>
      </c>
      <c r="G21" s="388"/>
      <c r="H21" s="524" t="str">
        <f>IF($AE21&lt;1," ",IF(G21&lt;1," ",(G21)/$AE21))</f>
        <v xml:space="preserve"> </v>
      </c>
      <c r="I21" s="388"/>
      <c r="J21" s="524" t="str">
        <f>IF($AE21&lt;1," ",IF(I21&lt;1," ",(I21)/$AE21))</f>
        <v xml:space="preserve"> </v>
      </c>
      <c r="K21" s="388"/>
      <c r="L21" s="524" t="str">
        <f>IF($AE21&lt;1," ",IF(K21&lt;1," ",(K21)/$AE21))</f>
        <v xml:space="preserve"> </v>
      </c>
      <c r="M21" s="388"/>
      <c r="N21" s="337" t="str">
        <f>IF($AE21&lt;1," ",IF(M21&lt;1," ",(M21)/$AE21))</f>
        <v xml:space="preserve"> </v>
      </c>
      <c r="O21" s="388"/>
      <c r="P21" s="337" t="str">
        <f>IF($AE21&lt;1," ",IF(O21&lt;1," ",(O21)/$AE21))</f>
        <v xml:space="preserve"> </v>
      </c>
      <c r="Q21" s="388"/>
      <c r="R21" s="338" t="str">
        <f>IF($AE21&lt;1," ",IF(Q21&lt;1," ",(Q21)/$AE21))</f>
        <v xml:space="preserve"> </v>
      </c>
      <c r="S21" s="376"/>
      <c r="T21" s="337" t="str">
        <f>IF($AE21&lt;1," ",IF(S21&lt;1," ",(S21)/$AE21))</f>
        <v xml:space="preserve"> </v>
      </c>
      <c r="U21" s="388"/>
      <c r="V21" s="337" t="str">
        <f>IF($AE21&lt;1," ",IF(U21&lt;1," ",(U21)/$AE21))</f>
        <v xml:space="preserve"> </v>
      </c>
      <c r="W21" s="388"/>
      <c r="X21" s="337" t="str">
        <f>IF($AE21&lt;1," ",IF(W21&lt;1," ",(W21)/$AE21))</f>
        <v xml:space="preserve"> </v>
      </c>
      <c r="Y21" s="388"/>
      <c r="Z21" s="337" t="str">
        <f>IF($AE21&lt;1," ",IF(Y21&lt;1," ",(Y21)/$AE21))</f>
        <v xml:space="preserve"> </v>
      </c>
      <c r="AA21" s="388"/>
      <c r="AB21" s="337" t="str">
        <f>IF($AE21&lt;1," ",IF(AA21&lt;1," ",(AA21)/$AE21))</f>
        <v xml:space="preserve"> </v>
      </c>
      <c r="AC21" s="1534">
        <f t="shared" si="0"/>
        <v>0</v>
      </c>
      <c r="AD21" s="377">
        <f>+E21+G21+I21+K21+M21+O21+Q21+S21+U21+W21+Y21+AA21+AC21</f>
        <v>0</v>
      </c>
      <c r="AE21" s="377">
        <f>'2nd Interim-Summary MYP'!H24</f>
        <v>0</v>
      </c>
      <c r="AF21" s="377">
        <f t="shared" si="1"/>
        <v>0</v>
      </c>
      <c r="AG21" s="1177"/>
    </row>
    <row r="22" spans="1:33" ht="15">
      <c r="A22" s="403"/>
      <c r="B22" s="139" t="s">
        <v>311</v>
      </c>
      <c r="C22" s="275" t="s">
        <v>101</v>
      </c>
      <c r="D22" s="1044"/>
      <c r="E22" s="376"/>
      <c r="F22" s="524" t="str">
        <f>IF($AE22&lt;1," ",IF(E22&lt;1," ",(E22)/$AE22))</f>
        <v xml:space="preserve"> </v>
      </c>
      <c r="G22" s="388"/>
      <c r="H22" s="524" t="str">
        <f>IF($AE22&lt;1," ",IF(G22&lt;1," ",(G22)/$AE22))</f>
        <v xml:space="preserve"> </v>
      </c>
      <c r="I22" s="388"/>
      <c r="J22" s="524" t="str">
        <f>IF($AE22&lt;1," ",IF(I22&lt;1," ",(I22)/$AE22))</f>
        <v xml:space="preserve"> </v>
      </c>
      <c r="K22" s="388"/>
      <c r="L22" s="524" t="str">
        <f>IF($AE22&lt;1," ",IF(K22&lt;1," ",(K22)/$AE22))</f>
        <v xml:space="preserve"> </v>
      </c>
      <c r="M22" s="388"/>
      <c r="N22" s="337" t="str">
        <f>IF($AE22&lt;1," ",IF(M22&lt;1," ",(M22)/$AE22))</f>
        <v xml:space="preserve"> </v>
      </c>
      <c r="O22" s="388"/>
      <c r="P22" s="337" t="str">
        <f>IF($AE22&lt;1," ",IF(O22&lt;1," ",(O22)/$AE22))</f>
        <v xml:space="preserve"> </v>
      </c>
      <c r="Q22" s="388"/>
      <c r="R22" s="338" t="str">
        <f>IF($AE22&lt;1," ",IF(Q22&lt;1," ",(Q22)/$AE22))</f>
        <v xml:space="preserve"> </v>
      </c>
      <c r="S22" s="376"/>
      <c r="T22" s="337" t="str">
        <f>IF($AE22&lt;1," ",IF(S22&lt;1," ",(S22)/$AE22))</f>
        <v xml:space="preserve"> </v>
      </c>
      <c r="U22" s="388"/>
      <c r="V22" s="337" t="str">
        <f>IF($AE22&lt;1," ",IF(U22&lt;1," ",(U22)/$AE22))</f>
        <v xml:space="preserve"> </v>
      </c>
      <c r="W22" s="388"/>
      <c r="X22" s="337" t="str">
        <f>IF($AE22&lt;1," ",IF(W22&lt;1," ",(W22)/$AE22))</f>
        <v xml:space="preserve"> </v>
      </c>
      <c r="Y22" s="388"/>
      <c r="Z22" s="337" t="str">
        <f>IF($AE22&lt;1," ",IF(Y22&lt;1," ",(Y22)/$AE22))</f>
        <v xml:space="preserve"> </v>
      </c>
      <c r="AA22" s="388"/>
      <c r="AB22" s="337" t="str">
        <f>IF($AE22&lt;1," ",IF(AA22&lt;1," ",(AA22)/$AE22))</f>
        <v xml:space="preserve"> </v>
      </c>
      <c r="AC22" s="1534">
        <f t="shared" si="0"/>
        <v>0</v>
      </c>
      <c r="AD22" s="377">
        <f>+E22+G22+I22+K22+M22+O22+Q22+S22+U22+W22+Y22+AA22+AC22</f>
        <v>0</v>
      </c>
      <c r="AE22" s="377">
        <f>'2nd Interim-Summary MYP'!H25</f>
        <v>0</v>
      </c>
      <c r="AF22" s="377">
        <f t="shared" si="1"/>
        <v>0</v>
      </c>
      <c r="AG22" s="1177"/>
    </row>
    <row r="23" spans="1:33" ht="15.4" thickBot="1">
      <c r="A23" s="402" t="s">
        <v>312</v>
      </c>
      <c r="B23" s="380"/>
      <c r="C23" s="381"/>
      <c r="D23" s="1049"/>
      <c r="E23" s="762">
        <f>SUM(E10:E22)</f>
        <v>0</v>
      </c>
      <c r="F23" s="526" t="e">
        <f>IF($AE23&lt;1," ",IF(E23&lt;1," ",(E23)/$AE23))</f>
        <v>#VALUE!</v>
      </c>
      <c r="G23" s="761">
        <f>SUM(G10:G22)</f>
        <v>0</v>
      </c>
      <c r="H23" s="526" t="e">
        <f>IF($AE23&lt;1," ",IF(G23&lt;1," ",(G23)/$AE23))</f>
        <v>#VALUE!</v>
      </c>
      <c r="I23" s="761">
        <f>SUM(I10:I22)</f>
        <v>0</v>
      </c>
      <c r="J23" s="526" t="e">
        <f>IF($AE23&lt;1," ",IF(I23&lt;1," ",(I23)/$AE23))</f>
        <v>#VALUE!</v>
      </c>
      <c r="K23" s="761">
        <f>SUM(K10:K22)</f>
        <v>0</v>
      </c>
      <c r="L23" s="526" t="e">
        <f>IF($AE23&lt;1," ",IF(K23&lt;1," ",(K23)/$AE23))</f>
        <v>#VALUE!</v>
      </c>
      <c r="M23" s="761">
        <f>SUM(M10:M22)</f>
        <v>0</v>
      </c>
      <c r="N23" s="382" t="e">
        <f>IF($AE23&lt;1," ",IF(M23&lt;1," ",(M23)/$AE23))</f>
        <v>#VALUE!</v>
      </c>
      <c r="O23" s="761">
        <f>SUM(O10:O22)</f>
        <v>0</v>
      </c>
      <c r="P23" s="382" t="e">
        <f>IF($AE23&lt;1," ",IF(O23&lt;1," ",(O23)/$AE23))</f>
        <v>#VALUE!</v>
      </c>
      <c r="Q23" s="761">
        <f>SUM(Q10:Q22)</f>
        <v>0</v>
      </c>
      <c r="R23" s="510" t="e">
        <f>IF($AE23&lt;1," ",IF(Q23&lt;1," ",(Q23)/$AE23))</f>
        <v>#VALUE!</v>
      </c>
      <c r="S23" s="762">
        <f>SUM(S10:S22)</f>
        <v>0</v>
      </c>
      <c r="T23" s="382" t="e">
        <f>IF($AE23&lt;1," ",IF(S23&lt;1," ",(S23)/$AE23))</f>
        <v>#VALUE!</v>
      </c>
      <c r="U23" s="761">
        <f>SUM(U10:U22)</f>
        <v>0</v>
      </c>
      <c r="V23" s="382" t="e">
        <f>IF($AE23&lt;1," ",IF(U23&lt;1," ",(U23)/$AE23))</f>
        <v>#VALUE!</v>
      </c>
      <c r="W23" s="761">
        <f>SUM(W10:W22)</f>
        <v>0</v>
      </c>
      <c r="X23" s="382" t="e">
        <f>IF($AE23&lt;1," ",IF(W23&lt;1," ",(W23)/$AE23))</f>
        <v>#VALUE!</v>
      </c>
      <c r="Y23" s="761">
        <f>SUM(Y10:Y22)</f>
        <v>0</v>
      </c>
      <c r="Z23" s="382" t="e">
        <f>IF($AE23&lt;1," ",IF(Y23&lt;1," ",(Y23)/$AE23))</f>
        <v>#VALUE!</v>
      </c>
      <c r="AA23" s="761">
        <f>SUM(AA10:AA22)</f>
        <v>0</v>
      </c>
      <c r="AB23" s="382" t="e">
        <f>IF($AE23&lt;1," ",IF(AA23&lt;1," ",(AA23)/$AE23))</f>
        <v>#VALUE!</v>
      </c>
      <c r="AC23" s="1536" t="e">
        <f>SUM(AC10:AC22)</f>
        <v>#VALUE!</v>
      </c>
      <c r="AD23" s="763" t="e">
        <f>SUM(AD10:AD22)</f>
        <v>#VALUE!</v>
      </c>
      <c r="AE23" s="763" t="e">
        <f>SUM(AE10:AE22)</f>
        <v>#VALUE!</v>
      </c>
      <c r="AF23" s="763" t="e">
        <f>SUM(AF10:AF22)</f>
        <v>#VALUE!</v>
      </c>
      <c r="AG23" s="1177"/>
    </row>
    <row r="24" spans="1:33" ht="15">
      <c r="A24" s="404"/>
      <c r="B24" s="368"/>
      <c r="C24" s="71"/>
      <c r="D24" s="520"/>
      <c r="E24" s="73"/>
      <c r="F24" s="192"/>
      <c r="G24" s="73"/>
      <c r="H24" s="192"/>
      <c r="I24" s="73"/>
      <c r="J24" s="192"/>
      <c r="K24" s="73"/>
      <c r="L24" s="1035"/>
      <c r="M24" s="1036"/>
      <c r="N24" s="192"/>
      <c r="O24" s="73"/>
      <c r="P24" s="192"/>
      <c r="Q24" s="73"/>
      <c r="R24" s="511"/>
      <c r="S24" s="73"/>
      <c r="T24" s="192"/>
      <c r="U24" s="73"/>
      <c r="V24" s="192"/>
      <c r="W24" s="73"/>
      <c r="X24" s="192"/>
      <c r="Y24" s="73"/>
      <c r="Z24" s="192"/>
      <c r="AA24" s="73"/>
      <c r="AB24" s="192"/>
      <c r="AC24" s="1006"/>
      <c r="AD24" s="1006"/>
      <c r="AE24" s="1006"/>
      <c r="AF24" s="1022"/>
      <c r="AG24" s="1177"/>
    </row>
    <row r="25" spans="1:33" ht="15">
      <c r="A25" s="66" t="s">
        <v>3</v>
      </c>
      <c r="B25" s="179"/>
      <c r="C25" s="371"/>
      <c r="D25" s="1047"/>
      <c r="E25" s="518"/>
      <c r="F25" s="478"/>
      <c r="G25" s="518"/>
      <c r="H25" s="478"/>
      <c r="I25" s="518"/>
      <c r="J25" s="478"/>
      <c r="K25" s="518"/>
      <c r="L25" s="1037"/>
      <c r="M25" s="1038"/>
      <c r="N25" s="478"/>
      <c r="O25" s="518"/>
      <c r="P25" s="478"/>
      <c r="Q25" s="518"/>
      <c r="R25" s="539"/>
      <c r="S25" s="518"/>
      <c r="T25" s="478"/>
      <c r="U25" s="518"/>
      <c r="V25" s="478"/>
      <c r="W25" s="518"/>
      <c r="X25" s="478"/>
      <c r="Y25" s="518"/>
      <c r="Z25" s="478"/>
      <c r="AA25" s="518"/>
      <c r="AB25" s="478"/>
      <c r="AC25" s="1010"/>
      <c r="AD25" s="1010"/>
      <c r="AE25" s="1010"/>
      <c r="AF25" s="1018"/>
      <c r="AG25" s="1177"/>
    </row>
    <row r="26" spans="1:33" ht="15">
      <c r="A26" s="403" t="s">
        <v>4</v>
      </c>
      <c r="B26" s="139"/>
      <c r="C26" s="275" t="s">
        <v>102</v>
      </c>
      <c r="D26" s="1044"/>
      <c r="E26" s="376"/>
      <c r="F26" s="524" t="str">
        <f>IF($AE$26&lt;1," ",IF(E26&lt;1," ",(E26)/$AE$26))</f>
        <v xml:space="preserve"> </v>
      </c>
      <c r="G26" s="388"/>
      <c r="H26" s="524" t="str">
        <f>IF($AE$26&lt;1," ",IF(G26&lt;1," ",(G26)/$AE$26))</f>
        <v xml:space="preserve"> </v>
      </c>
      <c r="I26" s="388"/>
      <c r="J26" s="524" t="str">
        <f>IF($AE$26&lt;1," ",IF(I26&lt;1," ",(I26)/$AE$26))</f>
        <v xml:space="preserve"> </v>
      </c>
      <c r="K26" s="388"/>
      <c r="L26" s="524" t="str">
        <f>IF($AE$26&lt;1," ",IF(K26&lt;1," ",(K26)/$AE$26))</f>
        <v xml:space="preserve"> </v>
      </c>
      <c r="M26" s="388"/>
      <c r="N26" s="337" t="str">
        <f>IF($AE$26&lt;1," ",IF(M26&lt;1," ",(M26)/$AE$26))</f>
        <v xml:space="preserve"> </v>
      </c>
      <c r="O26" s="388"/>
      <c r="P26" s="524" t="str">
        <f>IF($AE$26&lt;1," ",IF(O26&lt;1," ",(O26)/$AE$26))</f>
        <v xml:space="preserve"> </v>
      </c>
      <c r="Q26" s="388"/>
      <c r="R26" s="338" t="str">
        <f>IF($AE$26&lt;1," ",IF(Q26&lt;1," ",(Q26)/$AE$26))</f>
        <v xml:space="preserve"> </v>
      </c>
      <c r="S26" s="376"/>
      <c r="T26" s="337" t="str">
        <f>IF($AE$26&lt;1," ",IF(S26&lt;1," ",(S26)/$AE$26))</f>
        <v xml:space="preserve"> </v>
      </c>
      <c r="U26" s="388"/>
      <c r="V26" s="337" t="str">
        <f>IF($AE$26&lt;1," ",IF(U26&lt;1," ",(U26)/$AE$26))</f>
        <v xml:space="preserve"> </v>
      </c>
      <c r="W26" s="388"/>
      <c r="X26" s="337" t="str">
        <f>IF($AE$26&lt;1," ",IF(W26&lt;1," ",(W26)/$AE$26))</f>
        <v xml:space="preserve"> </v>
      </c>
      <c r="Y26" s="388"/>
      <c r="Z26" s="337" t="str">
        <f>IF($AE$26&lt;1," ",IF(Y26&lt;1," ",(Y26)/$AE$26))</f>
        <v xml:space="preserve"> </v>
      </c>
      <c r="AA26" s="388"/>
      <c r="AB26" s="337" t="str">
        <f>IF($AE$26&lt;1," ",IF(AA26&lt;1," ",(AA26)/$AE$26))</f>
        <v xml:space="preserve"> </v>
      </c>
      <c r="AC26" s="1537">
        <f t="shared" ref="AC26:AC34" si="2">AE26-(E26+G26+I26+K26+M26+O26+Q26+S26+U26+W26+Y26+AA26)</f>
        <v>0</v>
      </c>
      <c r="AD26" s="385">
        <f t="shared" ref="AD26:AD34" si="3">+E26+G26+I26+K26+M26+O26+Q26+S26+U26+W26+Y26+AA26+AC26</f>
        <v>0</v>
      </c>
      <c r="AE26" s="385">
        <f>'2nd Interim-Summary MYP'!H29</f>
        <v>0</v>
      </c>
      <c r="AF26" s="385">
        <f t="shared" ref="AF26:AF34" si="4">+AE26-AD26</f>
        <v>0</v>
      </c>
      <c r="AG26" s="1177"/>
    </row>
    <row r="27" spans="1:33" ht="15">
      <c r="A27" s="403" t="s">
        <v>23</v>
      </c>
      <c r="B27" s="139"/>
      <c r="C27" s="275" t="s">
        <v>103</v>
      </c>
      <c r="D27" s="1044"/>
      <c r="E27" s="376"/>
      <c r="F27" s="524" t="str">
        <f>IF($AE$27&lt;1," ",IF(E27&lt;1," ",(E27)/$AE$27))</f>
        <v xml:space="preserve"> </v>
      </c>
      <c r="G27" s="388"/>
      <c r="H27" s="524" t="str">
        <f>IF($AE$27&lt;1," ",IF(G27&lt;1," ",(G27)/$AE$27))</f>
        <v xml:space="preserve"> </v>
      </c>
      <c r="I27" s="388"/>
      <c r="J27" s="524" t="str">
        <f>IF($AE$27&lt;1," ",IF(I27&lt;1," ",(I27)/$AE$27))</f>
        <v xml:space="preserve"> </v>
      </c>
      <c r="K27" s="388"/>
      <c r="L27" s="524" t="str">
        <f>IF($AE$27&lt;1," ",IF(K27&lt;1," ",(K27)/$AE$27))</f>
        <v xml:space="preserve"> </v>
      </c>
      <c r="M27" s="388"/>
      <c r="N27" s="337" t="str">
        <f>IF($AE$27&lt;1," ",IF(M27&lt;1," ",(M27)/$AE$27))</f>
        <v xml:space="preserve"> </v>
      </c>
      <c r="O27" s="388"/>
      <c r="P27" s="524" t="str">
        <f>IF($AE$27&lt;1," ",IF(O27&lt;1," ",(O27)/$AE$27))</f>
        <v xml:space="preserve"> </v>
      </c>
      <c r="Q27" s="388"/>
      <c r="R27" s="338" t="str">
        <f>IF($AE$27&lt;1," ",IF(Q27&lt;1," ",(Q27)/$AE$27))</f>
        <v xml:space="preserve"> </v>
      </c>
      <c r="S27" s="376"/>
      <c r="T27" s="337" t="str">
        <f>IF($AE$27&lt;1," ",IF(S27&lt;1," ",(S27)/$AE$27))</f>
        <v xml:space="preserve"> </v>
      </c>
      <c r="U27" s="388"/>
      <c r="V27" s="337" t="str">
        <f>IF($AE$27&lt;1," ",IF(U27&lt;1," ",(U27)/$AE$27))</f>
        <v xml:space="preserve"> </v>
      </c>
      <c r="W27" s="388"/>
      <c r="X27" s="337" t="str">
        <f>IF($AE$27&lt;1," ",IF(W27&lt;1," ",(W27)/$AE$27))</f>
        <v xml:space="preserve"> </v>
      </c>
      <c r="Y27" s="388"/>
      <c r="Z27" s="337" t="str">
        <f>IF($AE$27&lt;1," ",IF(Y27&lt;1," ",(Y27)/$AE$27))</f>
        <v xml:space="preserve"> </v>
      </c>
      <c r="AA27" s="388"/>
      <c r="AB27" s="337" t="str">
        <f>IF($AE$27&lt;1," ",IF(AA27&lt;1," ",(AA27)/$AE$27))</f>
        <v xml:space="preserve"> </v>
      </c>
      <c r="AC27" s="1537">
        <f t="shared" si="2"/>
        <v>0</v>
      </c>
      <c r="AD27" s="385">
        <f t="shared" si="3"/>
        <v>0</v>
      </c>
      <c r="AE27" s="385">
        <f>'2nd Interim-Summary MYP'!H30</f>
        <v>0</v>
      </c>
      <c r="AF27" s="385">
        <f t="shared" si="4"/>
        <v>0</v>
      </c>
      <c r="AG27" s="1177"/>
    </row>
    <row r="28" spans="1:33" ht="15">
      <c r="A28" s="403" t="s">
        <v>24</v>
      </c>
      <c r="B28" s="139"/>
      <c r="C28" s="275" t="s">
        <v>104</v>
      </c>
      <c r="D28" s="1044"/>
      <c r="E28" s="376"/>
      <c r="F28" s="524" t="str">
        <f>IF($AE$28&lt;1," ",IF(E28&lt;1," ",(E28)/$AE$28))</f>
        <v xml:space="preserve"> </v>
      </c>
      <c r="G28" s="388"/>
      <c r="H28" s="524" t="str">
        <f>IF($AE$28&lt;1," ",IF(G28&lt;1," ",(G28)/$AE$28))</f>
        <v xml:space="preserve"> </v>
      </c>
      <c r="I28" s="388"/>
      <c r="J28" s="524" t="str">
        <f>IF($AE$28&lt;1," ",IF(I28&lt;1," ",(I28)/$AE$28))</f>
        <v xml:space="preserve"> </v>
      </c>
      <c r="K28" s="388"/>
      <c r="L28" s="524" t="str">
        <f>IF($AE$28&lt;1," ",IF(K28&lt;1," ",(K28)/$AE$28))</f>
        <v xml:space="preserve"> </v>
      </c>
      <c r="M28" s="388"/>
      <c r="N28" s="337" t="str">
        <f>IF($AE$28&lt;1," ",IF(M28&lt;1," ",(M28)/$AE$28))</f>
        <v xml:space="preserve"> </v>
      </c>
      <c r="O28" s="388"/>
      <c r="P28" s="524" t="str">
        <f>IF($AE$28&lt;1," ",IF(O28&lt;1," ",(O28)/$AE$28))</f>
        <v xml:space="preserve"> </v>
      </c>
      <c r="Q28" s="388"/>
      <c r="R28" s="338" t="str">
        <f>IF($AE$28&lt;1," ",IF(Q28&lt;1," ",(Q28)/$AE$28))</f>
        <v xml:space="preserve"> </v>
      </c>
      <c r="S28" s="376"/>
      <c r="T28" s="337" t="str">
        <f>IF($AE$28&lt;1," ",IF(S28&lt;1," ",(S28)/$AE$28))</f>
        <v xml:space="preserve"> </v>
      </c>
      <c r="U28" s="388"/>
      <c r="V28" s="337" t="str">
        <f>IF($AE$28&lt;1," ",IF(U28&lt;1," ",(U28)/$AE$28))</f>
        <v xml:space="preserve"> </v>
      </c>
      <c r="W28" s="388"/>
      <c r="X28" s="337" t="str">
        <f>IF($AE$28&lt;1," ",IF(W28&lt;1," ",(W28)/$AE$28))</f>
        <v xml:space="preserve"> </v>
      </c>
      <c r="Y28" s="388"/>
      <c r="Z28" s="337" t="str">
        <f>IF($AE$28&lt;1," ",IF(Y28&lt;1," ",(Y28)/$AE$28))</f>
        <v xml:space="preserve"> </v>
      </c>
      <c r="AA28" s="388"/>
      <c r="AB28" s="337" t="str">
        <f>IF($AE$28&lt;1," ",IF(AA28&lt;1," ",(AA28)/$AE$28))</f>
        <v xml:space="preserve"> </v>
      </c>
      <c r="AC28" s="1537">
        <f t="shared" si="2"/>
        <v>0</v>
      </c>
      <c r="AD28" s="385">
        <f t="shared" si="3"/>
        <v>0</v>
      </c>
      <c r="AE28" s="385">
        <f>'2nd Interim-Summary MYP'!H31</f>
        <v>0</v>
      </c>
      <c r="AF28" s="385">
        <f t="shared" si="4"/>
        <v>0</v>
      </c>
      <c r="AG28" s="1177"/>
    </row>
    <row r="29" spans="1:33" ht="15">
      <c r="A29" s="403" t="s">
        <v>25</v>
      </c>
      <c r="B29" s="139"/>
      <c r="C29" s="275" t="s">
        <v>105</v>
      </c>
      <c r="D29" s="1044"/>
      <c r="E29" s="376"/>
      <c r="F29" s="524" t="str">
        <f>IF($AE$29&lt;1," ",IF(E29&lt;1," ",(E29)/$AE$29))</f>
        <v xml:space="preserve"> </v>
      </c>
      <c r="G29" s="388"/>
      <c r="H29" s="524" t="str">
        <f>IF($AE$29&lt;1," ",IF(G29&lt;1," ",(G29)/$AE$29))</f>
        <v xml:space="preserve"> </v>
      </c>
      <c r="I29" s="388"/>
      <c r="J29" s="524" t="str">
        <f>IF($AE$29&lt;1," ",IF(I29&lt;1," ",(I29)/$AE$29))</f>
        <v xml:space="preserve"> </v>
      </c>
      <c r="K29" s="388"/>
      <c r="L29" s="524" t="str">
        <f>IF($AE$29&lt;1," ",IF(K29&lt;1," ",(K29)/$AE$29))</f>
        <v xml:space="preserve"> </v>
      </c>
      <c r="M29" s="388"/>
      <c r="N29" s="337" t="str">
        <f>IF($AE$29&lt;1," ",IF(M29&lt;1," ",(M29)/$AE$29))</f>
        <v xml:space="preserve"> </v>
      </c>
      <c r="O29" s="388"/>
      <c r="P29" s="524" t="str">
        <f>IF($AE$29&lt;1," ",IF(O29&lt;1," ",(O29)/$AE$29))</f>
        <v xml:space="preserve"> </v>
      </c>
      <c r="Q29" s="388"/>
      <c r="R29" s="338" t="str">
        <f>IF($AE$29&lt;1," ",IF(Q29&lt;1," ",(Q29)/$AE$29))</f>
        <v xml:space="preserve"> </v>
      </c>
      <c r="S29" s="376"/>
      <c r="T29" s="337" t="str">
        <f>IF($AE$29&lt;1," ",IF(S29&lt;1," ",(S29)/$AE$29))</f>
        <v xml:space="preserve"> </v>
      </c>
      <c r="U29" s="388"/>
      <c r="V29" s="337" t="str">
        <f>IF($AE$29&lt;1," ",IF(U29&lt;1," ",(U29)/$AE$29))</f>
        <v xml:space="preserve"> </v>
      </c>
      <c r="W29" s="388"/>
      <c r="X29" s="337" t="str">
        <f>IF($AE$29&lt;1," ",IF(W29&lt;1," ",(W29)/$AE$29))</f>
        <v xml:space="preserve"> </v>
      </c>
      <c r="Y29" s="388"/>
      <c r="Z29" s="337" t="str">
        <f>IF($AE$29&lt;1," ",IF(Y29&lt;1," ",(Y29)/$AE$29))</f>
        <v xml:space="preserve"> </v>
      </c>
      <c r="AA29" s="388"/>
      <c r="AB29" s="337" t="str">
        <f>IF($AE$29&lt;1," ",IF(AA29&lt;1," ",(AA29)/$AE$29))</f>
        <v xml:space="preserve"> </v>
      </c>
      <c r="AC29" s="1537">
        <f t="shared" si="2"/>
        <v>0</v>
      </c>
      <c r="AD29" s="385">
        <f t="shared" si="3"/>
        <v>0</v>
      </c>
      <c r="AE29" s="385">
        <f>'2nd Interim-Summary MYP'!H32</f>
        <v>0</v>
      </c>
      <c r="AF29" s="385">
        <f t="shared" si="4"/>
        <v>0</v>
      </c>
      <c r="AG29" s="1177"/>
    </row>
    <row r="30" spans="1:33" ht="15">
      <c r="A30" s="403" t="s">
        <v>26</v>
      </c>
      <c r="B30" s="139"/>
      <c r="C30" s="275" t="s">
        <v>106</v>
      </c>
      <c r="D30" s="1044"/>
      <c r="E30" s="376"/>
      <c r="F30" s="524" t="str">
        <f>IF($AE$30&lt;1," ",IF(E30&lt;1," ",(E30)/$AE$30))</f>
        <v xml:space="preserve"> </v>
      </c>
      <c r="G30" s="388"/>
      <c r="H30" s="524" t="str">
        <f>IF($AE$30&lt;1," ",IF(G30&lt;1," ",(G30)/$AE$30))</f>
        <v xml:space="preserve"> </v>
      </c>
      <c r="I30" s="388"/>
      <c r="J30" s="524" t="str">
        <f>IF($AE$30&lt;1," ",IF(I30&lt;1," ",(I30)/$AE$30))</f>
        <v xml:space="preserve"> </v>
      </c>
      <c r="K30" s="388"/>
      <c r="L30" s="524" t="str">
        <f>IF($AE$30&lt;1," ",IF(K30&lt;1," ",(K30)/$AE$30))</f>
        <v xml:space="preserve"> </v>
      </c>
      <c r="M30" s="388"/>
      <c r="N30" s="337" t="str">
        <f>IF($AE$30&lt;1," ",IF(M30&lt;1," ",(M30)/$AE$30))</f>
        <v xml:space="preserve"> </v>
      </c>
      <c r="O30" s="388"/>
      <c r="P30" s="524" t="str">
        <f>IF($AE$30&lt;1," ",IF(O30&lt;1," ",(O30)/$AE$30))</f>
        <v xml:space="preserve"> </v>
      </c>
      <c r="Q30" s="388"/>
      <c r="R30" s="338" t="str">
        <f>IF($AE$30&lt;1," ",IF(Q30&lt;1," ",(Q30)/$AE$30))</f>
        <v xml:space="preserve"> </v>
      </c>
      <c r="S30" s="376"/>
      <c r="T30" s="337" t="str">
        <f>IF($AE$30&lt;1," ",IF(S30&lt;1," ",(S30)/$AE$30))</f>
        <v xml:space="preserve"> </v>
      </c>
      <c r="U30" s="388"/>
      <c r="V30" s="337" t="str">
        <f>IF($AE$30&lt;1," ",IF(U30&lt;1," ",(U30)/$AE$30))</f>
        <v xml:space="preserve"> </v>
      </c>
      <c r="W30" s="388"/>
      <c r="X30" s="337" t="str">
        <f>IF($AE$30&lt;1," ",IF(W30&lt;1," ",(W30)/$AE$30))</f>
        <v xml:space="preserve"> </v>
      </c>
      <c r="Y30" s="388"/>
      <c r="Z30" s="337" t="str">
        <f>IF($AE$30&lt;1," ",IF(Y30&lt;1," ",(Y30)/$AE$30))</f>
        <v xml:space="preserve"> </v>
      </c>
      <c r="AA30" s="388"/>
      <c r="AB30" s="337" t="str">
        <f>IF($AE$30&lt;1," ",IF(AA30&lt;1," ",(AA30)/$AE$30))</f>
        <v xml:space="preserve"> </v>
      </c>
      <c r="AC30" s="1537">
        <f t="shared" si="2"/>
        <v>0</v>
      </c>
      <c r="AD30" s="385">
        <f t="shared" si="3"/>
        <v>0</v>
      </c>
      <c r="AE30" s="385">
        <f>'2nd Interim-Summary MYP'!H33</f>
        <v>0</v>
      </c>
      <c r="AF30" s="385">
        <f t="shared" si="4"/>
        <v>0</v>
      </c>
      <c r="AG30" s="1177"/>
    </row>
    <row r="31" spans="1:33" ht="15">
      <c r="A31" s="403" t="s">
        <v>508</v>
      </c>
      <c r="B31" s="139"/>
      <c r="C31" s="275" t="s">
        <v>107</v>
      </c>
      <c r="D31" s="1044"/>
      <c r="E31" s="376"/>
      <c r="F31" s="524" t="str">
        <f>IF($AE$31&lt;1," ",IF(E31&lt;1," ",(E31)/$AE$31))</f>
        <v xml:space="preserve"> </v>
      </c>
      <c r="G31" s="388"/>
      <c r="H31" s="524" t="str">
        <f>IF($AE$31&lt;1," ",IF(G31&lt;1," ",(G31)/$AE$31))</f>
        <v xml:space="preserve"> </v>
      </c>
      <c r="I31" s="388"/>
      <c r="J31" s="524" t="str">
        <f>IF($AE$31&lt;1," ",IF(I31&lt;1," ",(I31)/$AE$31))</f>
        <v xml:space="preserve"> </v>
      </c>
      <c r="K31" s="388"/>
      <c r="L31" s="524" t="str">
        <f>IF($AE$31&lt;1," ",IF(K31&lt;1," ",(K31)/$AE$31))</f>
        <v xml:space="preserve"> </v>
      </c>
      <c r="M31" s="388"/>
      <c r="N31" s="337" t="str">
        <f>IF($AE$31&lt;1," ",IF(M31&lt;1," ",(M31)/$AE$31))</f>
        <v xml:space="preserve"> </v>
      </c>
      <c r="O31" s="388"/>
      <c r="P31" s="524" t="str">
        <f>IF($AE$31&lt;1," ",IF(O31&lt;1," ",(O31)/$AE$31))</f>
        <v xml:space="preserve"> </v>
      </c>
      <c r="Q31" s="388"/>
      <c r="R31" s="338" t="str">
        <f>IF($AE$31&lt;1," ",IF(Q31&lt;1," ",(Q31)/$AE$31))</f>
        <v xml:space="preserve"> </v>
      </c>
      <c r="S31" s="376"/>
      <c r="T31" s="337" t="str">
        <f>IF($AE$31&lt;1," ",IF(S31&lt;1," ",(S31)/$AE$31))</f>
        <v xml:space="preserve"> </v>
      </c>
      <c r="U31" s="388"/>
      <c r="V31" s="337" t="str">
        <f>IF($AE$31&lt;1," ",IF(U31&lt;1," ",(U31)/$AE$31))</f>
        <v xml:space="preserve"> </v>
      </c>
      <c r="W31" s="388"/>
      <c r="X31" s="337" t="str">
        <f>IF($AE$31&lt;1," ",IF(W31&lt;1," ",(W31)/$AE$31))</f>
        <v xml:space="preserve"> </v>
      </c>
      <c r="Y31" s="388"/>
      <c r="Z31" s="337" t="str">
        <f>IF($AE$31&lt;1," ",IF(Y31&lt;1," ",(Y31)/$AE$31))</f>
        <v xml:space="preserve"> </v>
      </c>
      <c r="AA31" s="388"/>
      <c r="AB31" s="337" t="str">
        <f>IF($AE$31&lt;1," ",IF(AA31&lt;1," ",(AA31)/$AE$31))</f>
        <v xml:space="preserve"> </v>
      </c>
      <c r="AC31" s="1537">
        <f t="shared" si="2"/>
        <v>0</v>
      </c>
      <c r="AD31" s="385">
        <f t="shared" si="3"/>
        <v>0</v>
      </c>
      <c r="AE31" s="385">
        <f>'2nd Interim-Summary MYP'!H34</f>
        <v>0</v>
      </c>
      <c r="AF31" s="385">
        <f t="shared" si="4"/>
        <v>0</v>
      </c>
      <c r="AG31" s="1177"/>
    </row>
    <row r="32" spans="1:33" ht="15">
      <c r="A32" s="274" t="s">
        <v>507</v>
      </c>
      <c r="B32" s="139"/>
      <c r="C32" s="275">
        <v>6900</v>
      </c>
      <c r="D32" s="1044"/>
      <c r="E32" s="376"/>
      <c r="F32" s="524" t="str">
        <f>IF($AE$31&lt;1," ",IF(E32&lt;1," ",(E32)/$AE$31))</f>
        <v xml:space="preserve"> </v>
      </c>
      <c r="G32" s="388"/>
      <c r="H32" s="524" t="str">
        <f>IF($AE$31&lt;1," ",IF(G32&lt;1," ",(G32)/$AE$31))</f>
        <v xml:space="preserve"> </v>
      </c>
      <c r="I32" s="388"/>
      <c r="J32" s="524" t="str">
        <f>IF($AE$31&lt;1," ",IF(I32&lt;1," ",(I32)/$AE$31))</f>
        <v xml:space="preserve"> </v>
      </c>
      <c r="K32" s="388"/>
      <c r="L32" s="524" t="str">
        <f>IF($AE$31&lt;1," ",IF(K32&lt;1," ",(K32)/$AE$31))</f>
        <v xml:space="preserve"> </v>
      </c>
      <c r="M32" s="388"/>
      <c r="N32" s="337" t="str">
        <f>IF($AE$31&lt;1," ",IF(M32&lt;1," ",(M32)/$AE$31))</f>
        <v xml:space="preserve"> </v>
      </c>
      <c r="O32" s="388"/>
      <c r="P32" s="524" t="str">
        <f>IF($AE$31&lt;1," ",IF(O32&lt;1," ",(O32)/$AE$31))</f>
        <v xml:space="preserve"> </v>
      </c>
      <c r="Q32" s="388"/>
      <c r="R32" s="338" t="str">
        <f>IF($AE$31&lt;1," ",IF(Q32&lt;1," ",(Q32)/$AE$31))</f>
        <v xml:space="preserve"> </v>
      </c>
      <c r="S32" s="376"/>
      <c r="T32" s="337" t="str">
        <f>IF($AE$31&lt;1," ",IF(S32&lt;1," ",(S32)/$AE$31))</f>
        <v xml:space="preserve"> </v>
      </c>
      <c r="U32" s="388"/>
      <c r="V32" s="337" t="str">
        <f>IF($AE$31&lt;1," ",IF(U32&lt;1," ",(U32)/$AE$31))</f>
        <v xml:space="preserve"> </v>
      </c>
      <c r="W32" s="388"/>
      <c r="X32" s="337" t="str">
        <f>IF($AE$31&lt;1," ",IF(W32&lt;1," ",(W32)/$AE$31))</f>
        <v xml:space="preserve"> </v>
      </c>
      <c r="Y32" s="388"/>
      <c r="Z32" s="337" t="str">
        <f>IF($AE$31&lt;1," ",IF(Y32&lt;1," ",(Y32)/$AE$31))</f>
        <v xml:space="preserve"> </v>
      </c>
      <c r="AA32" s="388"/>
      <c r="AB32" s="337" t="str">
        <f>IF($AE$31&lt;1," ",IF(AA32&lt;1," ",(AA32)/$AE$31))</f>
        <v xml:space="preserve"> </v>
      </c>
      <c r="AC32" s="1537">
        <f t="shared" ref="AC32" si="5">AE32-(E32+G32+I32+K32+M32+O32+Q32+S32+U32+W32+Y32+AA32)</f>
        <v>0</v>
      </c>
      <c r="AD32" s="385">
        <f t="shared" ref="AD32" si="6">+E32+G32+I32+K32+M32+O32+Q32+S32+U32+W32+Y32+AA32+AC32</f>
        <v>0</v>
      </c>
      <c r="AE32" s="385">
        <f>'2nd Interim-Summary MYP'!H35</f>
        <v>0</v>
      </c>
      <c r="AF32" s="385">
        <f t="shared" ref="AF32" si="7">+AE32-AD32</f>
        <v>0</v>
      </c>
      <c r="AG32" s="1177"/>
    </row>
    <row r="33" spans="1:34" ht="15">
      <c r="A33" s="403" t="s">
        <v>27</v>
      </c>
      <c r="B33" s="139"/>
      <c r="C33" s="275" t="s">
        <v>108</v>
      </c>
      <c r="D33" s="1044"/>
      <c r="E33" s="376"/>
      <c r="F33" s="524" t="str">
        <f>IF($AE$33&lt;1," ",IF(E33&lt;1," ",(E33)/$AE$33))</f>
        <v xml:space="preserve"> </v>
      </c>
      <c r="G33" s="388"/>
      <c r="H33" s="524" t="str">
        <f>IF($AE$33&lt;1," ",IF(G33&lt;1," ",(G33)/$AE$33))</f>
        <v xml:space="preserve"> </v>
      </c>
      <c r="I33" s="388"/>
      <c r="J33" s="524" t="str">
        <f>IF($AE$33&lt;1," ",IF(I33&lt;1," ",(I33)/$AE$33))</f>
        <v xml:space="preserve"> </v>
      </c>
      <c r="K33" s="388"/>
      <c r="L33" s="524" t="str">
        <f>IF($AE$33&lt;1," ",IF(K33&lt;1," ",(K33)/$AE$33))</f>
        <v xml:space="preserve"> </v>
      </c>
      <c r="M33" s="388"/>
      <c r="N33" s="337" t="str">
        <f>IF($AE$33&lt;1," ",IF(M33&lt;1," ",(M33)/$AE$33))</f>
        <v xml:space="preserve"> </v>
      </c>
      <c r="O33" s="388"/>
      <c r="P33" s="524" t="str">
        <f>IF($AE$33&lt;1," ",IF(O33&lt;1," ",(O33)/$AE$33))</f>
        <v xml:space="preserve"> </v>
      </c>
      <c r="Q33" s="388"/>
      <c r="R33" s="338" t="str">
        <f>IF($AE$33&lt;1," ",IF(Q33&lt;1," ",(Q33)/$AE$33))</f>
        <v xml:space="preserve"> </v>
      </c>
      <c r="S33" s="376"/>
      <c r="T33" s="337" t="str">
        <f>IF($AE$33&lt;1," ",IF(S33&lt;1," ",(S33)/$AE$33))</f>
        <v xml:space="preserve"> </v>
      </c>
      <c r="U33" s="388"/>
      <c r="V33" s="337" t="str">
        <f>IF($AE$33&lt;1," ",IF(U33&lt;1," ",(U33)/$AE$33))</f>
        <v xml:space="preserve"> </v>
      </c>
      <c r="W33" s="388"/>
      <c r="X33" s="337" t="str">
        <f>IF($AE$33&lt;1," ",IF(W33&lt;1," ",(W33)/$AE$33))</f>
        <v xml:space="preserve"> </v>
      </c>
      <c r="Y33" s="388"/>
      <c r="Z33" s="337" t="str">
        <f>IF($AE$33&lt;1," ",IF(Y33&lt;1," ",(Y33)/$AE$33))</f>
        <v xml:space="preserve"> </v>
      </c>
      <c r="AA33" s="388"/>
      <c r="AB33" s="337" t="str">
        <f>IF($AE$33&lt;1," ",IF(AA33&lt;1," ",(AA33)/$AE$33))</f>
        <v xml:space="preserve"> </v>
      </c>
      <c r="AC33" s="1537">
        <f t="shared" si="2"/>
        <v>0</v>
      </c>
      <c r="AD33" s="385">
        <f t="shared" si="3"/>
        <v>0</v>
      </c>
      <c r="AE33" s="385">
        <f>'2nd Interim-Summary MYP'!H36</f>
        <v>0</v>
      </c>
      <c r="AF33" s="385">
        <f t="shared" si="4"/>
        <v>0</v>
      </c>
      <c r="AG33" s="1177"/>
    </row>
    <row r="34" spans="1:34" ht="15">
      <c r="A34" s="403" t="s">
        <v>146</v>
      </c>
      <c r="B34" s="139"/>
      <c r="C34" s="275" t="s">
        <v>111</v>
      </c>
      <c r="D34" s="1044"/>
      <c r="E34" s="376">
        <v>0</v>
      </c>
      <c r="F34" s="524" t="str">
        <f>IF($AE34&lt;1," ",IF(E34&lt;1," ",(E34)/$AE34))</f>
        <v xml:space="preserve"> </v>
      </c>
      <c r="G34" s="388"/>
      <c r="H34" s="524" t="str">
        <f>IF($AE34&lt;1," ",IF(G34&lt;1," ",(G34)/$AE34))</f>
        <v xml:space="preserve"> </v>
      </c>
      <c r="I34" s="388"/>
      <c r="J34" s="524" t="str">
        <f>IF($AE34&lt;1," ",IF(I34&lt;1," ",(I34)/$AE34))</f>
        <v xml:space="preserve"> </v>
      </c>
      <c r="K34" s="388"/>
      <c r="L34" s="524" t="str">
        <f>IF($AE34&lt;1," ",IF(K34&lt;1," ",(K34)/$AE34))</f>
        <v xml:space="preserve"> </v>
      </c>
      <c r="M34" s="388"/>
      <c r="N34" s="337" t="str">
        <f>IF($AE34&lt;1," ",IF(M34&lt;1," ",(M34)/$AE34))</f>
        <v xml:space="preserve"> </v>
      </c>
      <c r="O34" s="388"/>
      <c r="P34" s="524" t="str">
        <f>IF($AE34&lt;1," ",IF(O34&lt;1," ",(O34)/$AE34))</f>
        <v xml:space="preserve"> </v>
      </c>
      <c r="Q34" s="388"/>
      <c r="R34" s="338" t="str">
        <f>IF($AE34&lt;1," ",IF(Q34&lt;1," ",(Q34)/$AE34))</f>
        <v xml:space="preserve"> </v>
      </c>
      <c r="S34" s="376"/>
      <c r="T34" s="337" t="str">
        <f>IF($AE34&lt;1," ",IF(S34&lt;1," ",(S34)/$AE34))</f>
        <v xml:space="preserve"> </v>
      </c>
      <c r="U34" s="388"/>
      <c r="V34" s="337" t="str">
        <f>IF($AE34&lt;1," ",IF(U34&lt;1," ",(U34)/$AE34))</f>
        <v xml:space="preserve"> </v>
      </c>
      <c r="W34" s="388"/>
      <c r="X34" s="337" t="str">
        <f>IF($AE34&lt;1," ",IF(W34&lt;1," ",(W34)/$AE34))</f>
        <v xml:space="preserve"> </v>
      </c>
      <c r="Y34" s="388"/>
      <c r="Z34" s="337" t="str">
        <f>IF($AE34&lt;1," ",IF(Y34&lt;1," ",(Y34)/$AE34))</f>
        <v xml:space="preserve"> </v>
      </c>
      <c r="AA34" s="388"/>
      <c r="AB34" s="337" t="str">
        <f>IF($AE34&lt;1," ",IF(AA34&lt;1," ",(AA34)/$AE34))</f>
        <v xml:space="preserve"> </v>
      </c>
      <c r="AC34" s="1537">
        <f t="shared" si="2"/>
        <v>0</v>
      </c>
      <c r="AD34" s="385">
        <f t="shared" si="3"/>
        <v>0</v>
      </c>
      <c r="AE34" s="385">
        <f>'2nd Interim-Summary MYP'!H37</f>
        <v>0</v>
      </c>
      <c r="AF34" s="385">
        <f t="shared" si="4"/>
        <v>0</v>
      </c>
      <c r="AG34" s="1177"/>
    </row>
    <row r="35" spans="1:34" ht="15.4" thickBot="1">
      <c r="A35" s="405" t="s">
        <v>28</v>
      </c>
      <c r="B35" s="380"/>
      <c r="C35" s="381"/>
      <c r="D35" s="1049"/>
      <c r="E35" s="762">
        <f>+SUM(E26:E34)</f>
        <v>0</v>
      </c>
      <c r="F35" s="525" t="str">
        <f>IF($AE35&lt;1," ",IF(E35&lt;1," ",(E35)/$AE35))</f>
        <v xml:space="preserve"> </v>
      </c>
      <c r="G35" s="761">
        <f>+SUM(G26:G34)</f>
        <v>0</v>
      </c>
      <c r="H35" s="525" t="str">
        <f>IF($AE35&lt;1," ",IF(G35&lt;1," ",(G35)/$AE35))</f>
        <v xml:space="preserve"> </v>
      </c>
      <c r="I35" s="761">
        <f>+SUM(I26:I34)</f>
        <v>0</v>
      </c>
      <c r="J35" s="525" t="str">
        <f>IF($AE35&lt;1," ",IF(I35&lt;1," ",(I35)/$AE35))</f>
        <v xml:space="preserve"> </v>
      </c>
      <c r="K35" s="761">
        <f>+SUM(K26:K34)</f>
        <v>0</v>
      </c>
      <c r="L35" s="525" t="str">
        <f>IF($AE35&lt;1," ",IF(K35&lt;1," ",(K35)/$AE35))</f>
        <v xml:space="preserve"> </v>
      </c>
      <c r="M35" s="761">
        <f>+SUM(M26:M34)</f>
        <v>0</v>
      </c>
      <c r="N35" s="386" t="str">
        <f>IF($AE35&lt;1," ",IF(M35&lt;1," ",(M35)/$AE35))</f>
        <v xml:space="preserve"> </v>
      </c>
      <c r="O35" s="761">
        <f>+SUM(O26:O34)</f>
        <v>0</v>
      </c>
      <c r="P35" s="525" t="str">
        <f>IF($AE35&lt;1," ",IF(O35&lt;1," ",(O35)/$AE35))</f>
        <v xml:space="preserve"> </v>
      </c>
      <c r="Q35" s="761">
        <f>+SUM(Q26:Q34)</f>
        <v>0</v>
      </c>
      <c r="R35" s="512" t="str">
        <f>IF($AE35&lt;1," ",IF(Q35&lt;1," ",(Q35)/$AE35))</f>
        <v xml:space="preserve"> </v>
      </c>
      <c r="S35" s="762">
        <f>+SUM(S26:S34)</f>
        <v>0</v>
      </c>
      <c r="T35" s="386" t="str">
        <f>IF($AE35&lt;1," ",IF(S35&lt;1," ",(S35)/$AE35))</f>
        <v xml:space="preserve"> </v>
      </c>
      <c r="U35" s="761">
        <f>+SUM(U26:U34)</f>
        <v>0</v>
      </c>
      <c r="V35" s="386" t="str">
        <f>IF($AE35&lt;1," ",IF(U35&lt;1," ",(U35)/$AE35))</f>
        <v xml:space="preserve"> </v>
      </c>
      <c r="W35" s="761">
        <f>+SUM(W26:W34)</f>
        <v>0</v>
      </c>
      <c r="X35" s="386" t="str">
        <f>IF($AE35&lt;1," ",IF(W35&lt;1," ",(W35)/$AE35))</f>
        <v xml:space="preserve"> </v>
      </c>
      <c r="Y35" s="761">
        <f>+SUM(Y26:Y34)</f>
        <v>0</v>
      </c>
      <c r="Z35" s="386" t="str">
        <f>IF($AE35&lt;1," ",IF(Y35&lt;1," ",(Y35)/$AE35))</f>
        <v xml:space="preserve"> </v>
      </c>
      <c r="AA35" s="761">
        <f>+SUM(AA26:AA34)</f>
        <v>0</v>
      </c>
      <c r="AB35" s="386" t="str">
        <f>IF($AE35&lt;1," ",IF(AA35&lt;1," ",(AA35)/$AE35))</f>
        <v xml:space="preserve"> </v>
      </c>
      <c r="AC35" s="1536">
        <f>+SUM(AC26:AC34)</f>
        <v>0</v>
      </c>
      <c r="AD35" s="763">
        <f>+SUM(AD26:AD34)</f>
        <v>0</v>
      </c>
      <c r="AE35" s="763">
        <f>+SUM(AE26:AE34)</f>
        <v>0</v>
      </c>
      <c r="AF35" s="763">
        <f>+SUM(AF26:AF34)</f>
        <v>0</v>
      </c>
      <c r="AG35" s="1177"/>
    </row>
    <row r="36" spans="1:34" ht="15">
      <c r="A36" s="406"/>
      <c r="B36" s="369"/>
      <c r="C36" s="71"/>
      <c r="D36" s="520"/>
      <c r="E36" s="75"/>
      <c r="F36" s="193"/>
      <c r="G36" s="75"/>
      <c r="H36" s="193"/>
      <c r="I36" s="75"/>
      <c r="J36" s="193"/>
      <c r="K36" s="75"/>
      <c r="L36" s="1039"/>
      <c r="M36" s="1040"/>
      <c r="N36" s="193"/>
      <c r="O36" s="75"/>
      <c r="P36" s="193"/>
      <c r="Q36" s="75"/>
      <c r="R36" s="513"/>
      <c r="S36" s="75"/>
      <c r="T36" s="193"/>
      <c r="U36" s="75"/>
      <c r="V36" s="193"/>
      <c r="W36" s="75"/>
      <c r="X36" s="193"/>
      <c r="Y36" s="75"/>
      <c r="Z36" s="193"/>
      <c r="AA36" s="75"/>
      <c r="AB36" s="193"/>
      <c r="AC36" s="1006"/>
      <c r="AD36" s="1006"/>
      <c r="AE36" s="1006"/>
      <c r="AF36" s="1022"/>
      <c r="AG36" s="1177"/>
    </row>
    <row r="37" spans="1:34" ht="15">
      <c r="A37" s="66" t="s">
        <v>109</v>
      </c>
      <c r="B37" s="179"/>
      <c r="C37" s="371"/>
      <c r="D37" s="1047"/>
      <c r="E37" s="516"/>
      <c r="F37" s="478"/>
      <c r="G37" s="516"/>
      <c r="H37" s="478"/>
      <c r="I37" s="516"/>
      <c r="J37" s="478"/>
      <c r="K37" s="516"/>
      <c r="L37" s="1037"/>
      <c r="M37" s="1041"/>
      <c r="N37" s="478"/>
      <c r="O37" s="516"/>
      <c r="P37" s="478"/>
      <c r="Q37" s="516"/>
      <c r="R37" s="539"/>
      <c r="S37" s="516"/>
      <c r="T37" s="478"/>
      <c r="U37" s="516"/>
      <c r="V37" s="478"/>
      <c r="W37" s="516"/>
      <c r="X37" s="478"/>
      <c r="Y37" s="516"/>
      <c r="Z37" s="478"/>
      <c r="AA37" s="516"/>
      <c r="AB37" s="478"/>
      <c r="AC37" s="1010"/>
      <c r="AD37" s="1010"/>
      <c r="AE37" s="1010"/>
      <c r="AF37" s="1018"/>
      <c r="AG37" s="1177"/>
    </row>
    <row r="38" spans="1:34" ht="15">
      <c r="A38" s="403" t="s">
        <v>124</v>
      </c>
      <c r="B38" s="139"/>
      <c r="C38" s="275">
        <v>8900</v>
      </c>
      <c r="D38" s="1050"/>
      <c r="E38" s="376"/>
      <c r="F38" s="524" t="str">
        <f>IF($AE38&lt;1," ",IF(E38&lt;1," ",(E38)/$AE38))</f>
        <v xml:space="preserve"> </v>
      </c>
      <c r="G38" s="388"/>
      <c r="H38" s="524" t="str">
        <f>IF($AE38&lt;1," ",IF(G38&lt;1," ",(G38)/$AE38))</f>
        <v xml:space="preserve"> </v>
      </c>
      <c r="I38" s="388"/>
      <c r="J38" s="524" t="str">
        <f>IF($AE38&lt;1," ",IF(I38&lt;1," ",(I38)/$AE38))</f>
        <v xml:space="preserve"> </v>
      </c>
      <c r="K38" s="388"/>
      <c r="L38" s="524" t="str">
        <f>IF($AE38&lt;1," ",IF(K38&lt;1," ",(K38)/$AE38))</f>
        <v xml:space="preserve"> </v>
      </c>
      <c r="M38" s="388"/>
      <c r="N38" s="337" t="str">
        <f>IF($AE38&lt;1," ",IF(M38&lt;1," ",(M38)/$AE38))</f>
        <v xml:space="preserve"> </v>
      </c>
      <c r="O38" s="388"/>
      <c r="P38" s="337" t="str">
        <f>IF($AE38&lt;1," ",IF(O38&lt;1," ",(O38)/$AE38))</f>
        <v xml:space="preserve"> </v>
      </c>
      <c r="Q38" s="388"/>
      <c r="R38" s="338" t="str">
        <f>IF($AE38&lt;1," ",IF(Q38&lt;1," ",(Q38)/$AE38))</f>
        <v xml:space="preserve"> </v>
      </c>
      <c r="S38" s="376"/>
      <c r="T38" s="337" t="str">
        <f>IF($AE38&lt;1," ",IF(S38&lt;1," ",(S38)/$AE38))</f>
        <v xml:space="preserve"> </v>
      </c>
      <c r="U38" s="388"/>
      <c r="V38" s="337" t="str">
        <f>IF($AE38&lt;1," ",IF(U38&lt;1," ",(U38)/$AE38))</f>
        <v xml:space="preserve"> </v>
      </c>
      <c r="W38" s="388"/>
      <c r="X38" s="337" t="str">
        <f>IF($AE38&lt;1," ",IF(W38&lt;1," ",(W38)/$AE38))</f>
        <v xml:space="preserve"> </v>
      </c>
      <c r="Y38" s="388"/>
      <c r="Z38" s="337" t="str">
        <f>IF($AE38&lt;1," ",IF(Y38&lt;1," ",(Y38)/$AE38))</f>
        <v xml:space="preserve"> </v>
      </c>
      <c r="AA38" s="388"/>
      <c r="AB38" s="337" t="str">
        <f>IF($AE38&lt;1," ",IF(AA38&lt;1," ",(AA38)/$AE38))</f>
        <v xml:space="preserve"> </v>
      </c>
      <c r="AC38" s="1537">
        <f>AE38-(E38+G38+I38+K38+M38+O38+Q38+S38+U38+W38+Y38+AA38)</f>
        <v>0</v>
      </c>
      <c r="AD38" s="385">
        <f>+E38+G38+I38+K38+M38+O38+Q38+S38+U38+W38+Y38+AA38+AC38</f>
        <v>0</v>
      </c>
      <c r="AE38" s="385">
        <f>'2nd Interim-Summary MYP'!H43</f>
        <v>0</v>
      </c>
      <c r="AF38" s="385">
        <f>+AE38-AD38</f>
        <v>0</v>
      </c>
      <c r="AG38" s="1177"/>
    </row>
    <row r="39" spans="1:34" ht="15">
      <c r="A39" s="403" t="s">
        <v>30</v>
      </c>
      <c r="B39" s="139"/>
      <c r="C39" s="275">
        <v>7600</v>
      </c>
      <c r="D39" s="1050"/>
      <c r="E39" s="376"/>
      <c r="F39" s="524" t="str">
        <f>IF($AE39&lt;1," ",IF(E39&lt;1," ",(E39)/$AE39))</f>
        <v xml:space="preserve"> </v>
      </c>
      <c r="G39" s="388"/>
      <c r="H39" s="524" t="str">
        <f>IF($AE39&lt;1," ",IF(G39&lt;1," ",(G39)/$AE39))</f>
        <v xml:space="preserve"> </v>
      </c>
      <c r="I39" s="388"/>
      <c r="J39" s="524" t="str">
        <f>IF($AE39&lt;1," ",IF(I39&lt;1," ",(I39)/$AE39))</f>
        <v xml:space="preserve"> </v>
      </c>
      <c r="K39" s="388"/>
      <c r="L39" s="524" t="str">
        <f>IF($AE39&lt;1," ",IF(K39&lt;1," ",(K39)/$AE39))</f>
        <v xml:space="preserve"> </v>
      </c>
      <c r="M39" s="388"/>
      <c r="N39" s="337" t="str">
        <f>IF($AE39&lt;1," ",IF(M39&lt;1," ",(M39)/$AE39))</f>
        <v xml:space="preserve"> </v>
      </c>
      <c r="O39" s="388"/>
      <c r="P39" s="337" t="str">
        <f>IF($AE39&lt;1," ",IF(O39&lt;1," ",(O39)/$AE39))</f>
        <v xml:space="preserve"> </v>
      </c>
      <c r="Q39" s="388"/>
      <c r="R39" s="338" t="str">
        <f>IF($AE39&lt;1," ",IF(Q39&lt;1," ",(Q39)/$AE39))</f>
        <v xml:space="preserve"> </v>
      </c>
      <c r="S39" s="376"/>
      <c r="T39" s="337" t="str">
        <f>IF($AE39&lt;1," ",IF(S39&lt;1," ",(S39)/$AE39))</f>
        <v xml:space="preserve"> </v>
      </c>
      <c r="U39" s="388"/>
      <c r="V39" s="337" t="str">
        <f>IF($AE39&lt;1," ",IF(U39&lt;1," ",(U39)/$AE39))</f>
        <v xml:space="preserve"> </v>
      </c>
      <c r="W39" s="388"/>
      <c r="X39" s="337" t="str">
        <f>IF($AE39&lt;1," ",IF(W39&lt;1," ",(W39)/$AE39))</f>
        <v xml:space="preserve"> </v>
      </c>
      <c r="Y39" s="388"/>
      <c r="Z39" s="337" t="str">
        <f>IF($AE39&lt;1," ",IF(Y39&lt;1," ",(Y39)/$AE39))</f>
        <v xml:space="preserve"> </v>
      </c>
      <c r="AA39" s="388"/>
      <c r="AB39" s="337" t="str">
        <f>IF($AE39&lt;1," ",IF(AA39&lt;1," ",(AA39)/$AE39))</f>
        <v xml:space="preserve"> </v>
      </c>
      <c r="AC39" s="1537">
        <f>AE39-(E39+G39+I39+K39+M39+O39+Q39+S39+U39+W39+Y39+AA39)</f>
        <v>0</v>
      </c>
      <c r="AD39" s="385">
        <f>+E39+G39+I39+K39+M39+O39+Q39+S39+U39+W39+Y39+AA39+AC39</f>
        <v>0</v>
      </c>
      <c r="AE39" s="385">
        <f>'2nd Interim-Summary MYP'!H44</f>
        <v>0</v>
      </c>
      <c r="AF39" s="385">
        <f>+AE39-AD39</f>
        <v>0</v>
      </c>
      <c r="AG39" s="1177"/>
    </row>
    <row r="40" spans="1:34" ht="15.4" thickBot="1">
      <c r="A40" s="407" t="s">
        <v>31</v>
      </c>
      <c r="B40" s="380"/>
      <c r="C40" s="381"/>
      <c r="D40" s="1049"/>
      <c r="E40" s="762">
        <f>+E38-E39</f>
        <v>0</v>
      </c>
      <c r="F40" s="525" t="str">
        <f>IF($AE40&lt;1," ",IF(E40&lt;1," ",(E40)/$AE40))</f>
        <v xml:space="preserve"> </v>
      </c>
      <c r="G40" s="761">
        <f>+G38-G39</f>
        <v>0</v>
      </c>
      <c r="H40" s="525" t="str">
        <f>IF($AE40&lt;1," ",IF(G40&lt;1," ",(G40)/$AE40))</f>
        <v xml:space="preserve"> </v>
      </c>
      <c r="I40" s="761">
        <f>+I38-I39</f>
        <v>0</v>
      </c>
      <c r="J40" s="525" t="str">
        <f>IF($AE40&lt;1," ",IF(I40&lt;1," ",(I40)/$AE40))</f>
        <v xml:space="preserve"> </v>
      </c>
      <c r="K40" s="761">
        <f>+K38-K39</f>
        <v>0</v>
      </c>
      <c r="L40" s="525" t="str">
        <f>IF($AE40&lt;1," ",IF(K40&lt;1," ",(K40)/$AE40))</f>
        <v xml:space="preserve"> </v>
      </c>
      <c r="M40" s="761">
        <f>+M38-M39</f>
        <v>0</v>
      </c>
      <c r="N40" s="386" t="str">
        <f>IF($AE40&lt;1," ",IF(M40&lt;1," ",(M40)/$AE40))</f>
        <v xml:space="preserve"> </v>
      </c>
      <c r="O40" s="761">
        <f>+O38-O39</f>
        <v>0</v>
      </c>
      <c r="P40" s="386" t="str">
        <f>IF($AE40&lt;1," ",IF(O40&lt;1," ",(O40)/$AE40))</f>
        <v xml:space="preserve"> </v>
      </c>
      <c r="Q40" s="761">
        <f>+Q38-Q39</f>
        <v>0</v>
      </c>
      <c r="R40" s="512" t="str">
        <f>IF($AE40&lt;1," ",IF(Q40&lt;1," ",(Q40)/$AE40))</f>
        <v xml:space="preserve"> </v>
      </c>
      <c r="S40" s="762">
        <f>+S38-S39</f>
        <v>0</v>
      </c>
      <c r="T40" s="386" t="str">
        <f>IF($AE40&lt;1," ",IF(S40&lt;1," ",(S40)/$AE40))</f>
        <v xml:space="preserve"> </v>
      </c>
      <c r="U40" s="761">
        <f>+U38-U39</f>
        <v>0</v>
      </c>
      <c r="V40" s="386" t="str">
        <f>IF($AE40&lt;1," ",IF(U40&lt;1," ",(U40)/$AE40))</f>
        <v xml:space="preserve"> </v>
      </c>
      <c r="W40" s="761">
        <f>+W38-W39</f>
        <v>0</v>
      </c>
      <c r="X40" s="386" t="str">
        <f>IF($AE40&lt;1," ",IF(W40&lt;1," ",(W40)/$AE40))</f>
        <v xml:space="preserve"> </v>
      </c>
      <c r="Y40" s="761">
        <f>+Y38-Y39</f>
        <v>0</v>
      </c>
      <c r="Z40" s="386" t="str">
        <f>IF($AE40&lt;1," ",IF(Y40&lt;1," ",(Y40)/$AE40))</f>
        <v xml:space="preserve"> </v>
      </c>
      <c r="AA40" s="761">
        <f>+AA38-AA39</f>
        <v>0</v>
      </c>
      <c r="AB40" s="386" t="str">
        <f>IF($AE40&lt;1," ",IF(AA40&lt;1," ",(AA40)/$AE40))</f>
        <v xml:space="preserve"> </v>
      </c>
      <c r="AC40" s="1536">
        <f>+AC38-AC39</f>
        <v>0</v>
      </c>
      <c r="AD40" s="763">
        <f>+AD38-AD39</f>
        <v>0</v>
      </c>
      <c r="AE40" s="763">
        <f>+AE38-AE39</f>
        <v>0</v>
      </c>
      <c r="AF40" s="763">
        <f>+AF38-AF39</f>
        <v>0</v>
      </c>
      <c r="AG40" s="1177"/>
    </row>
    <row r="41" spans="1:34" ht="15.75"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570"/>
      <c r="E44" s="506"/>
      <c r="F44" s="337" t="str">
        <f t="shared" ref="F44:T51" si="8">IF($D44&lt;1," ",IF(E44&lt;1," ",(E44)/$D44))</f>
        <v xml:space="preserve"> </v>
      </c>
      <c r="G44" s="395"/>
      <c r="H44" s="337" t="str">
        <f t="shared" ref="H44:H50" si="9">IF($D44&lt;1," ",IF(G44&lt;1," ",(G44)/$D44))</f>
        <v xml:space="preserve"> </v>
      </c>
      <c r="I44" s="395"/>
      <c r="J44" s="337" t="str">
        <f t="shared" ref="J44:J50" si="10">IF($D44&lt;1," ",IF(I44&lt;1," ",(I44)/$D44))</f>
        <v xml:space="preserve"> </v>
      </c>
      <c r="K44" s="395"/>
      <c r="L44" s="337" t="str">
        <f t="shared" ref="L44:L50" si="11">IF($D44&lt;1," ",IF(K44&lt;1," ",(K44)/$D44))</f>
        <v xml:space="preserve"> </v>
      </c>
      <c r="M44" s="395"/>
      <c r="N44" s="524" t="str">
        <f t="shared" ref="N44:N50" si="12">IF($D44&lt;1," ",IF(M44&lt;1," ",(M44)/$D44))</f>
        <v xml:space="preserve"> </v>
      </c>
      <c r="O44" s="395"/>
      <c r="P44" s="337" t="str">
        <f t="shared" ref="P44:P50" si="13">IF($D44&lt;1," ",IF(O44&lt;1," ",(O44)/$D44))</f>
        <v xml:space="preserve"> </v>
      </c>
      <c r="Q44" s="395"/>
      <c r="R44" s="524" t="str">
        <f t="shared" ref="R44:R50" si="14">IF($D44&lt;1," ",IF(Q44&lt;1," ",(Q44)/$D44))</f>
        <v xml:space="preserve"> </v>
      </c>
      <c r="S44" s="506"/>
      <c r="T44" s="337" t="str">
        <f t="shared" ref="T44:T50" si="15">IF($D44&lt;1," ",IF(S44&lt;1," ",(S44)/$D44))</f>
        <v xml:space="preserve"> </v>
      </c>
      <c r="U44" s="395"/>
      <c r="V44" s="337" t="str">
        <f t="shared" ref="V44:AB51" si="16">IF($D44&lt;1," ",IF(U44&lt;1," ",(U44)/$D44))</f>
        <v xml:space="preserve"> </v>
      </c>
      <c r="W44" s="395"/>
      <c r="X44" s="337" t="str">
        <f t="shared" ref="X44:X50" si="17">IF($D44&lt;1," ",IF(W44&lt;1," ",(W44)/$D44))</f>
        <v xml:space="preserve"> </v>
      </c>
      <c r="Y44" s="395"/>
      <c r="Z44" s="337" t="str">
        <f t="shared" ref="Z44:Z50" si="18">IF($D44&lt;1," ",IF(Y44&lt;1," ",(Y44)/$D44))</f>
        <v xml:space="preserve"> </v>
      </c>
      <c r="AA44" s="1608"/>
      <c r="AB44" s="337" t="str">
        <f t="shared" ref="AB44:AB50" si="19">IF($D44&lt;1," ",IF(AA44&lt;1," ",(AA44)/$D44))</f>
        <v xml:space="preserve"> </v>
      </c>
      <c r="AC44" s="821"/>
      <c r="AD44" s="1542">
        <f t="shared" ref="AD44:AD50" si="20">+E44+G44+I44+K44+M44+O44+Q44+S44+U44+W44+Y44+AA44</f>
        <v>0</v>
      </c>
      <c r="AE44" s="396">
        <f>D44-AD44</f>
        <v>0</v>
      </c>
      <c r="AF44" s="764"/>
      <c r="AG44" s="1543"/>
    </row>
    <row r="45" spans="1:34" ht="15.75" customHeight="1">
      <c r="A45" s="408" t="s">
        <v>327</v>
      </c>
      <c r="B45" s="393"/>
      <c r="C45" s="614">
        <v>9210</v>
      </c>
      <c r="D45" s="1001"/>
      <c r="E45" s="394"/>
      <c r="F45" s="337" t="str">
        <f t="shared" si="8"/>
        <v xml:space="preserve"> </v>
      </c>
      <c r="G45" s="395"/>
      <c r="H45" s="337" t="str">
        <f t="shared" si="9"/>
        <v xml:space="preserve"> </v>
      </c>
      <c r="I45" s="395"/>
      <c r="J45" s="337" t="str">
        <f t="shared" si="10"/>
        <v xml:space="preserve"> </v>
      </c>
      <c r="K45" s="395"/>
      <c r="L45" s="337" t="str">
        <f t="shared" si="11"/>
        <v xml:space="preserve"> </v>
      </c>
      <c r="M45" s="395"/>
      <c r="N45" s="524" t="str">
        <f t="shared" si="12"/>
        <v xml:space="preserve"> </v>
      </c>
      <c r="O45" s="395"/>
      <c r="P45" s="337" t="str">
        <f t="shared" si="13"/>
        <v xml:space="preserve"> </v>
      </c>
      <c r="Q45" s="395"/>
      <c r="R45" s="524" t="str">
        <f t="shared" si="14"/>
        <v xml:space="preserve"> </v>
      </c>
      <c r="S45" s="506"/>
      <c r="T45" s="337" t="str">
        <f t="shared" si="15"/>
        <v xml:space="preserve"> </v>
      </c>
      <c r="U45" s="395"/>
      <c r="V45" s="337" t="str">
        <f t="shared" si="16"/>
        <v xml:space="preserve"> </v>
      </c>
      <c r="W45" s="395"/>
      <c r="X45" s="337" t="str">
        <f t="shared" si="17"/>
        <v xml:space="preserve"> </v>
      </c>
      <c r="Y45" s="395"/>
      <c r="Z45" s="337" t="str">
        <f t="shared" si="18"/>
        <v xml:space="preserve"> </v>
      </c>
      <c r="AA45" s="395"/>
      <c r="AB45" s="337" t="str">
        <f t="shared" si="19"/>
        <v xml:space="preserve"> </v>
      </c>
      <c r="AC45" s="1539"/>
      <c r="AD45" s="1542">
        <f t="shared" si="20"/>
        <v>0</v>
      </c>
      <c r="AE45" s="396">
        <f t="shared" ref="AE45:AE51" si="21">D45-AD45</f>
        <v>0</v>
      </c>
      <c r="AF45" s="764"/>
      <c r="AG45" s="1543" t="str">
        <f t="shared" ref="AG45:AG50" si="22">IF(AD45=D45,"","Prior Year Transactions should be zero'd out by Year End")</f>
        <v/>
      </c>
      <c r="AH45" s="1635" t="str">
        <f>IF(AD45=D45,"","Warning - Prior Year Transactions should be zero'd out by Year End")</f>
        <v/>
      </c>
    </row>
    <row r="46" spans="1:34" ht="15">
      <c r="A46" s="408" t="s">
        <v>11</v>
      </c>
      <c r="B46" s="393"/>
      <c r="C46" s="614">
        <v>9330</v>
      </c>
      <c r="D46" s="1001"/>
      <c r="E46" s="394"/>
      <c r="F46" s="337" t="str">
        <f t="shared" si="8"/>
        <v xml:space="preserve"> </v>
      </c>
      <c r="G46" s="395"/>
      <c r="H46" s="337" t="str">
        <f t="shared" si="9"/>
        <v xml:space="preserve"> </v>
      </c>
      <c r="I46" s="395"/>
      <c r="J46" s="337" t="str">
        <f t="shared" si="10"/>
        <v xml:space="preserve"> </v>
      </c>
      <c r="K46" s="395"/>
      <c r="L46" s="337" t="str">
        <f t="shared" si="11"/>
        <v xml:space="preserve"> </v>
      </c>
      <c r="M46" s="395"/>
      <c r="N46" s="524" t="str">
        <f t="shared" si="12"/>
        <v xml:space="preserve"> </v>
      </c>
      <c r="O46" s="395"/>
      <c r="P46" s="337" t="str">
        <f t="shared" si="13"/>
        <v xml:space="preserve"> </v>
      </c>
      <c r="Q46" s="395"/>
      <c r="R46" s="524" t="str">
        <f t="shared" si="14"/>
        <v xml:space="preserve"> </v>
      </c>
      <c r="S46" s="506"/>
      <c r="T46" s="337" t="str">
        <f t="shared" si="15"/>
        <v xml:space="preserve"> </v>
      </c>
      <c r="U46" s="395"/>
      <c r="V46" s="337" t="str">
        <f t="shared" si="16"/>
        <v xml:space="preserve"> </v>
      </c>
      <c r="W46" s="395"/>
      <c r="X46" s="337" t="str">
        <f t="shared" si="17"/>
        <v xml:space="preserve"> </v>
      </c>
      <c r="Y46" s="395"/>
      <c r="Z46" s="337" t="str">
        <f t="shared" si="18"/>
        <v xml:space="preserve"> </v>
      </c>
      <c r="AA46" s="395"/>
      <c r="AB46" s="337" t="str">
        <f t="shared" si="19"/>
        <v xml:space="preserve"> </v>
      </c>
      <c r="AC46" s="1539"/>
      <c r="AD46" s="1542">
        <f>+E46+G46+I46+K46+M46+O46+Q46+S46+U46+W46+Y46+AA46</f>
        <v>0</v>
      </c>
      <c r="AE46" s="396">
        <f t="shared" si="21"/>
        <v>0</v>
      </c>
      <c r="AF46" s="764"/>
      <c r="AG46" s="1543" t="str">
        <f t="shared" si="22"/>
        <v/>
      </c>
      <c r="AH46" s="1635" t="str">
        <f>IF(AD46=D46,"","Warning - Balances should only remain if Beg Bal included Pre-Paids for multiple years.")</f>
        <v/>
      </c>
    </row>
    <row r="47" spans="1:34" ht="15">
      <c r="A47" s="408" t="s">
        <v>513</v>
      </c>
      <c r="B47" s="393"/>
      <c r="C47" s="614"/>
      <c r="D47" s="1001"/>
      <c r="E47" s="394"/>
      <c r="F47" s="337" t="str">
        <f t="shared" si="8"/>
        <v xml:space="preserve"> </v>
      </c>
      <c r="G47" s="395"/>
      <c r="H47" s="337" t="str">
        <f t="shared" si="8"/>
        <v xml:space="preserve"> </v>
      </c>
      <c r="I47" s="395"/>
      <c r="J47" s="337" t="str">
        <f t="shared" si="8"/>
        <v xml:space="preserve"> </v>
      </c>
      <c r="K47" s="395"/>
      <c r="L47" s="337" t="str">
        <f t="shared" si="8"/>
        <v xml:space="preserve"> </v>
      </c>
      <c r="M47" s="395"/>
      <c r="N47" s="524" t="str">
        <f t="shared" si="8"/>
        <v xml:space="preserve"> </v>
      </c>
      <c r="O47" s="395"/>
      <c r="P47" s="337" t="str">
        <f t="shared" si="8"/>
        <v xml:space="preserve"> </v>
      </c>
      <c r="Q47" s="395"/>
      <c r="R47" s="524" t="str">
        <f t="shared" si="8"/>
        <v xml:space="preserve"> </v>
      </c>
      <c r="S47" s="506"/>
      <c r="T47" s="337" t="str">
        <f t="shared" si="8"/>
        <v xml:space="preserve"> </v>
      </c>
      <c r="U47" s="395"/>
      <c r="V47" s="337" t="str">
        <f t="shared" si="16"/>
        <v xml:space="preserve"> </v>
      </c>
      <c r="W47" s="395"/>
      <c r="X47" s="337" t="str">
        <f t="shared" si="16"/>
        <v xml:space="preserve"> </v>
      </c>
      <c r="Y47" s="395"/>
      <c r="Z47" s="337" t="str">
        <f t="shared" si="16"/>
        <v xml:space="preserve"> </v>
      </c>
      <c r="AA47" s="395"/>
      <c r="AB47" s="337" t="str">
        <f t="shared" si="16"/>
        <v xml:space="preserve"> </v>
      </c>
      <c r="AC47" s="1539"/>
      <c r="AD47" s="1542">
        <f>+E47+G47+I47+K47+M47+O47+Q47+S47+U47+W47+Y47+AA47</f>
        <v>0</v>
      </c>
      <c r="AE47" s="396">
        <f t="shared" si="21"/>
        <v>0</v>
      </c>
      <c r="AF47" s="764"/>
      <c r="AG47" s="1543"/>
      <c r="AH47" s="1635"/>
    </row>
    <row r="48" spans="1:34" ht="15">
      <c r="A48" s="408" t="s">
        <v>328</v>
      </c>
      <c r="B48" s="393"/>
      <c r="C48" s="614">
        <v>9510</v>
      </c>
      <c r="D48" s="1001"/>
      <c r="E48" s="394"/>
      <c r="F48" s="337" t="str">
        <f t="shared" si="8"/>
        <v xml:space="preserve"> </v>
      </c>
      <c r="G48" s="395"/>
      <c r="H48" s="337" t="str">
        <f t="shared" si="9"/>
        <v xml:space="preserve"> </v>
      </c>
      <c r="I48" s="395"/>
      <c r="J48" s="337" t="str">
        <f t="shared" si="10"/>
        <v xml:space="preserve"> </v>
      </c>
      <c r="K48" s="395"/>
      <c r="L48" s="337" t="str">
        <f t="shared" si="11"/>
        <v xml:space="preserve"> </v>
      </c>
      <c r="M48" s="395"/>
      <c r="N48" s="524" t="str">
        <f t="shared" si="12"/>
        <v xml:space="preserve"> </v>
      </c>
      <c r="O48" s="395"/>
      <c r="P48" s="337" t="str">
        <f t="shared" si="13"/>
        <v xml:space="preserve"> </v>
      </c>
      <c r="Q48" s="395"/>
      <c r="R48" s="524" t="str">
        <f t="shared" si="14"/>
        <v xml:space="preserve"> </v>
      </c>
      <c r="S48" s="506"/>
      <c r="T48" s="337" t="str">
        <f t="shared" si="15"/>
        <v xml:space="preserve"> </v>
      </c>
      <c r="U48" s="395"/>
      <c r="V48" s="337" t="str">
        <f t="shared" si="16"/>
        <v xml:space="preserve"> </v>
      </c>
      <c r="W48" s="395"/>
      <c r="X48" s="337" t="str">
        <f t="shared" si="17"/>
        <v xml:space="preserve"> </v>
      </c>
      <c r="Y48" s="395"/>
      <c r="Z48" s="337" t="str">
        <f t="shared" si="18"/>
        <v xml:space="preserve"> </v>
      </c>
      <c r="AA48" s="395"/>
      <c r="AB48" s="337" t="str">
        <f t="shared" si="19"/>
        <v xml:space="preserve"> </v>
      </c>
      <c r="AC48" s="1539"/>
      <c r="AD48" s="1542">
        <f t="shared" si="20"/>
        <v>0</v>
      </c>
      <c r="AE48" s="396">
        <f t="shared" si="21"/>
        <v>0</v>
      </c>
      <c r="AF48" s="764"/>
      <c r="AG48" s="1543" t="str">
        <f t="shared" si="22"/>
        <v/>
      </c>
      <c r="AH48" s="1635" t="str">
        <f>IF(AD48=D48,"","Warning - Prior Year Transactions should be zero'd out by Year End")</f>
        <v/>
      </c>
    </row>
    <row r="49" spans="1:34" ht="15">
      <c r="A49" s="408" t="s">
        <v>329</v>
      </c>
      <c r="B49" s="393"/>
      <c r="C49" s="615">
        <v>9640</v>
      </c>
      <c r="D49" s="1002"/>
      <c r="E49" s="394"/>
      <c r="F49" s="337" t="str">
        <f t="shared" si="8"/>
        <v xml:space="preserve"> </v>
      </c>
      <c r="G49" s="395"/>
      <c r="H49" s="337" t="str">
        <f t="shared" si="9"/>
        <v xml:space="preserve"> </v>
      </c>
      <c r="I49" s="395"/>
      <c r="J49" s="337" t="str">
        <f t="shared" si="10"/>
        <v xml:space="preserve"> </v>
      </c>
      <c r="K49" s="395"/>
      <c r="L49" s="337" t="str">
        <f t="shared" si="11"/>
        <v xml:space="preserve"> </v>
      </c>
      <c r="M49" s="395"/>
      <c r="N49" s="524" t="str">
        <f t="shared" si="12"/>
        <v xml:space="preserve"> </v>
      </c>
      <c r="O49" s="395"/>
      <c r="P49" s="337" t="str">
        <f t="shared" si="13"/>
        <v xml:space="preserve"> </v>
      </c>
      <c r="Q49" s="395"/>
      <c r="R49" s="524" t="str">
        <f t="shared" si="14"/>
        <v xml:space="preserve"> </v>
      </c>
      <c r="S49" s="506"/>
      <c r="T49" s="337" t="str">
        <f t="shared" si="15"/>
        <v xml:space="preserve"> </v>
      </c>
      <c r="U49" s="395"/>
      <c r="V49" s="337" t="str">
        <f t="shared" si="16"/>
        <v xml:space="preserve"> </v>
      </c>
      <c r="W49" s="395"/>
      <c r="X49" s="337" t="str">
        <f t="shared" si="17"/>
        <v xml:space="preserve"> </v>
      </c>
      <c r="Y49" s="395"/>
      <c r="Z49" s="337" t="str">
        <f t="shared" si="18"/>
        <v xml:space="preserve"> </v>
      </c>
      <c r="AA49" s="395"/>
      <c r="AB49" s="337" t="str">
        <f t="shared" si="19"/>
        <v xml:space="preserve"> </v>
      </c>
      <c r="AC49" s="1539"/>
      <c r="AD49" s="1542">
        <f t="shared" si="20"/>
        <v>0</v>
      </c>
      <c r="AE49" s="396">
        <f t="shared" si="21"/>
        <v>0</v>
      </c>
      <c r="AF49" s="764"/>
      <c r="AG49" s="1543" t="str">
        <f t="shared" si="22"/>
        <v/>
      </c>
      <c r="AH49" s="1635" t="str">
        <f>IF(AD49=D49,"","Warning - Review ending balance to ensure it is payable in the subsequent year.")</f>
        <v/>
      </c>
    </row>
    <row r="50" spans="1:34" ht="15">
      <c r="A50" s="408" t="s">
        <v>330</v>
      </c>
      <c r="B50" s="393"/>
      <c r="C50" s="614">
        <v>9650</v>
      </c>
      <c r="D50" s="1001"/>
      <c r="E50" s="394"/>
      <c r="F50" s="337" t="str">
        <f t="shared" si="8"/>
        <v xml:space="preserve"> </v>
      </c>
      <c r="G50" s="395"/>
      <c r="H50" s="337" t="str">
        <f t="shared" si="9"/>
        <v xml:space="preserve"> </v>
      </c>
      <c r="I50" s="395"/>
      <c r="J50" s="337" t="str">
        <f t="shared" si="10"/>
        <v xml:space="preserve"> </v>
      </c>
      <c r="K50" s="395"/>
      <c r="L50" s="337" t="str">
        <f t="shared" si="11"/>
        <v xml:space="preserve"> </v>
      </c>
      <c r="M50" s="395"/>
      <c r="N50" s="524" t="str">
        <f t="shared" si="12"/>
        <v xml:space="preserve"> </v>
      </c>
      <c r="O50" s="395"/>
      <c r="P50" s="337" t="str">
        <f t="shared" si="13"/>
        <v xml:space="preserve"> </v>
      </c>
      <c r="Q50" s="395"/>
      <c r="R50" s="524" t="str">
        <f t="shared" si="14"/>
        <v xml:space="preserve"> </v>
      </c>
      <c r="S50" s="506"/>
      <c r="T50" s="337" t="str">
        <f t="shared" si="15"/>
        <v xml:space="preserve"> </v>
      </c>
      <c r="U50" s="395"/>
      <c r="V50" s="337" t="str">
        <f t="shared" si="16"/>
        <v xml:space="preserve"> </v>
      </c>
      <c r="W50" s="395"/>
      <c r="X50" s="337" t="str">
        <f t="shared" si="17"/>
        <v xml:space="preserve"> </v>
      </c>
      <c r="Y50" s="395"/>
      <c r="Z50" s="337" t="str">
        <f t="shared" si="18"/>
        <v xml:space="preserve"> </v>
      </c>
      <c r="AA50" s="395"/>
      <c r="AB50" s="337" t="str">
        <f t="shared" si="19"/>
        <v xml:space="preserve"> </v>
      </c>
      <c r="AC50" s="1539"/>
      <c r="AD50" s="1542">
        <f t="shared" si="20"/>
        <v>0</v>
      </c>
      <c r="AE50" s="396">
        <f t="shared" si="21"/>
        <v>0</v>
      </c>
      <c r="AF50" s="764"/>
      <c r="AG50" s="1543" t="str">
        <f t="shared" si="22"/>
        <v/>
      </c>
      <c r="AH50" s="1635" t="str">
        <f>IF(AD50=D50,"","Warning - Balances should only remain if Beg Bal included Deferrals for multiple years.")</f>
        <v/>
      </c>
    </row>
    <row r="51" spans="1:34" ht="15">
      <c r="A51" s="408" t="s">
        <v>514</v>
      </c>
      <c r="B51" s="393"/>
      <c r="C51" s="614"/>
      <c r="D51" s="1001"/>
      <c r="E51" s="394"/>
      <c r="F51" s="337" t="str">
        <f t="shared" si="8"/>
        <v xml:space="preserve"> </v>
      </c>
      <c r="G51" s="395"/>
      <c r="H51" s="337" t="str">
        <f t="shared" si="8"/>
        <v xml:space="preserve"> </v>
      </c>
      <c r="I51" s="395"/>
      <c r="J51" s="337" t="str">
        <f t="shared" si="8"/>
        <v xml:space="preserve"> </v>
      </c>
      <c r="K51" s="395"/>
      <c r="L51" s="337" t="str">
        <f t="shared" si="8"/>
        <v xml:space="preserve"> </v>
      </c>
      <c r="M51" s="395"/>
      <c r="N51" s="524" t="str">
        <f t="shared" si="8"/>
        <v xml:space="preserve"> </v>
      </c>
      <c r="O51" s="395"/>
      <c r="P51" s="337" t="str">
        <f t="shared" si="8"/>
        <v xml:space="preserve"> </v>
      </c>
      <c r="Q51" s="395"/>
      <c r="R51" s="524" t="str">
        <f t="shared" si="8"/>
        <v xml:space="preserve"> </v>
      </c>
      <c r="S51" s="506"/>
      <c r="T51" s="337" t="str">
        <f t="shared" si="8"/>
        <v xml:space="preserve"> </v>
      </c>
      <c r="U51" s="395"/>
      <c r="V51" s="337" t="str">
        <f t="shared" si="16"/>
        <v xml:space="preserve"> </v>
      </c>
      <c r="W51" s="395"/>
      <c r="X51" s="337" t="str">
        <f t="shared" si="16"/>
        <v xml:space="preserve"> </v>
      </c>
      <c r="Y51" s="395"/>
      <c r="Z51" s="337" t="str">
        <f t="shared" si="16"/>
        <v xml:space="preserve"> </v>
      </c>
      <c r="AA51" s="395"/>
      <c r="AB51" s="337" t="str">
        <f t="shared" si="16"/>
        <v xml:space="preserve"> </v>
      </c>
      <c r="AC51" s="1539"/>
      <c r="AD51" s="1542">
        <f>+E51+G51+I51+K51+M51+O51+Q51+S51+U51+W51+Y51+AA51</f>
        <v>0</v>
      </c>
      <c r="AE51" s="396">
        <f t="shared" si="21"/>
        <v>0</v>
      </c>
      <c r="AF51" s="764"/>
      <c r="AG51" s="1543"/>
      <c r="AH51" s="1635"/>
    </row>
    <row r="52" spans="1:34" ht="15.4" thickBot="1">
      <c r="A52" s="69" t="s">
        <v>511</v>
      </c>
      <c r="B52" s="367"/>
      <c r="C52" s="70"/>
      <c r="D52" s="1051">
        <f>D44+D45+D46+D47-D48-D49-D50-D51</f>
        <v>0</v>
      </c>
      <c r="E52" s="762">
        <f>E44+E45+E46+E47-E48-E49-E50-E51</f>
        <v>0</v>
      </c>
      <c r="F52" s="530"/>
      <c r="G52" s="762">
        <f>G44+G45+G46+G47-G48-G49-G50-G51</f>
        <v>0</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1542">
        <f>+E52+G52+I52+K52+M52+O52+Q52+S52+U52+W52+Y52+AA52</f>
        <v>0</v>
      </c>
      <c r="AE52" s="396">
        <f t="shared" ref="AE52" si="23">D52-AD52</f>
        <v>0</v>
      </c>
      <c r="AF52" s="764"/>
      <c r="AG52" s="1543"/>
      <c r="AH52" s="1635" t="str">
        <f>IF(AD52=D52,"","Prior Year Transactions should be zero'd out by Year End.  Long Term Balances may remain.")</f>
        <v/>
      </c>
    </row>
    <row r="53" spans="1:34" ht="15.6" customHeight="1">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F61" si="24">IF($AE55&lt;1," ",IF(E55&lt;1," ",(E55)/$AE55))</f>
        <v xml:space="preserve"> </v>
      </c>
      <c r="G55" s="395"/>
      <c r="H55" s="337" t="str">
        <f t="shared" ref="H55:H61" si="25">IF($AE55&lt;1," ",IF(G55&lt;1," ",(G55)/$AE55))</f>
        <v xml:space="preserve"> </v>
      </c>
      <c r="I55" s="395"/>
      <c r="J55" s="337" t="str">
        <f t="shared" ref="J55:J61" si="26">IF($AE55&lt;1," ",IF(I55&lt;1," ",(I55)/$AE55))</f>
        <v xml:space="preserve"> </v>
      </c>
      <c r="K55" s="395"/>
      <c r="L55" s="337" t="str">
        <f t="shared" ref="L55:L61" si="27">IF($AE55&lt;1," ",IF(K55&lt;1," ",(K55)/$AE55))</f>
        <v xml:space="preserve"> </v>
      </c>
      <c r="M55" s="395"/>
      <c r="N55" s="524" t="str">
        <f t="shared" ref="N55:N61" si="28">IF($AE55&lt;1," ",IF(M55&lt;1," ",(M55)/$AE55))</f>
        <v xml:space="preserve"> </v>
      </c>
      <c r="O55" s="395"/>
      <c r="P55" s="337" t="str">
        <f t="shared" ref="P55:P61" si="29">IF($AE55&lt;1," ",IF(O55&lt;1," ",(O55)/$AE55))</f>
        <v xml:space="preserve"> </v>
      </c>
      <c r="Q55" s="395"/>
      <c r="R55" s="524" t="str">
        <f t="shared" ref="R55:R61" si="30">IF($AE55&lt;1," ",IF(Q55&lt;1," ",(Q55)/$AE55))</f>
        <v xml:space="preserve"> </v>
      </c>
      <c r="S55" s="506"/>
      <c r="T55" s="337" t="str">
        <f t="shared" ref="T55:T61" si="31">IF($AE55&lt;1," ",IF(S55&lt;1," ",(S55)/$AE55))</f>
        <v xml:space="preserve"> </v>
      </c>
      <c r="U55" s="395"/>
      <c r="V55" s="337" t="str">
        <f t="shared" ref="V55:V61" si="32">IF($AE55&lt;1," ",IF(U55&lt;1," ",(U55)/$AE55))</f>
        <v xml:space="preserve"> </v>
      </c>
      <c r="W55" s="395"/>
      <c r="X55" s="337" t="str">
        <f t="shared" ref="X55:X61" si="33">IF($AE55&lt;1," ",IF(W55&lt;1," ",(W55)/$AE55))</f>
        <v xml:space="preserve"> </v>
      </c>
      <c r="Y55" s="395"/>
      <c r="Z55" s="337" t="str">
        <f t="shared" ref="Z55:Z61" si="34">IF($AE55&lt;1," ",IF(Y55&lt;1," ",(Y55)/$AE55))</f>
        <v xml:space="preserve"> </v>
      </c>
      <c r="AA55" s="395"/>
      <c r="AB55" s="337" t="str">
        <f t="shared" ref="AB55:AB61" si="35">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si="24"/>
        <v xml:space="preserve"> </v>
      </c>
      <c r="G56" s="395"/>
      <c r="H56" s="337" t="str">
        <f t="shared" si="25"/>
        <v xml:space="preserve"> </v>
      </c>
      <c r="I56" s="395"/>
      <c r="J56" s="337" t="str">
        <f t="shared" si="26"/>
        <v xml:space="preserve"> </v>
      </c>
      <c r="K56" s="395"/>
      <c r="L56" s="337" t="str">
        <f t="shared" si="27"/>
        <v xml:space="preserve"> </v>
      </c>
      <c r="M56" s="395"/>
      <c r="N56" s="524" t="str">
        <f t="shared" si="28"/>
        <v xml:space="preserve"> </v>
      </c>
      <c r="O56" s="395"/>
      <c r="P56" s="337" t="str">
        <f t="shared" si="29"/>
        <v xml:space="preserve"> </v>
      </c>
      <c r="Q56" s="395"/>
      <c r="R56" s="524" t="str">
        <f t="shared" si="30"/>
        <v xml:space="preserve"> </v>
      </c>
      <c r="S56" s="506"/>
      <c r="T56" s="337" t="str">
        <f t="shared" si="31"/>
        <v xml:space="preserve"> </v>
      </c>
      <c r="U56" s="395"/>
      <c r="V56" s="337" t="str">
        <f t="shared" si="32"/>
        <v xml:space="preserve"> </v>
      </c>
      <c r="W56" s="395"/>
      <c r="X56" s="337" t="str">
        <f t="shared" si="33"/>
        <v xml:space="preserve"> </v>
      </c>
      <c r="Y56" s="395"/>
      <c r="Z56" s="337" t="str">
        <f t="shared" si="34"/>
        <v xml:space="preserve"> </v>
      </c>
      <c r="AA56" s="395"/>
      <c r="AB56" s="337" t="str">
        <f t="shared" si="35"/>
        <v xml:space="preserve"> </v>
      </c>
      <c r="AC56" s="1539"/>
      <c r="AD56" s="1630">
        <f t="shared" ref="AD56:AD61" si="36">E56+G56+I56+K56+M56+O56+Q56+S56+U56+W56+Y56+AA56+AC56</f>
        <v>0</v>
      </c>
      <c r="AE56" s="1631">
        <f t="shared" ref="AE56:AE61" si="37">D56-AD56</f>
        <v>0</v>
      </c>
      <c r="AF56" s="764"/>
      <c r="AG56" s="1177"/>
    </row>
    <row r="57" spans="1:34" ht="15">
      <c r="A57" s="1832"/>
      <c r="B57" s="1833"/>
      <c r="C57" s="374"/>
      <c r="D57" s="1570"/>
      <c r="E57" s="394"/>
      <c r="F57" s="337" t="str">
        <f t="shared" si="24"/>
        <v xml:space="preserve"> </v>
      </c>
      <c r="G57" s="395"/>
      <c r="H57" s="337" t="str">
        <f t="shared" si="25"/>
        <v xml:space="preserve"> </v>
      </c>
      <c r="I57" s="395"/>
      <c r="J57" s="337" t="str">
        <f t="shared" si="26"/>
        <v xml:space="preserve"> </v>
      </c>
      <c r="K57" s="395"/>
      <c r="L57" s="337" t="str">
        <f t="shared" si="27"/>
        <v xml:space="preserve"> </v>
      </c>
      <c r="M57" s="395"/>
      <c r="N57" s="524" t="str">
        <f t="shared" si="28"/>
        <v xml:space="preserve"> </v>
      </c>
      <c r="O57" s="395"/>
      <c r="P57" s="337" t="str">
        <f t="shared" si="29"/>
        <v xml:space="preserve"> </v>
      </c>
      <c r="Q57" s="395"/>
      <c r="R57" s="524" t="str">
        <f t="shared" si="30"/>
        <v xml:space="preserve"> </v>
      </c>
      <c r="S57" s="506"/>
      <c r="T57" s="337" t="str">
        <f t="shared" si="31"/>
        <v xml:space="preserve"> </v>
      </c>
      <c r="U57" s="395"/>
      <c r="V57" s="337" t="str">
        <f t="shared" si="32"/>
        <v xml:space="preserve"> </v>
      </c>
      <c r="W57" s="395"/>
      <c r="X57" s="337" t="str">
        <f t="shared" si="33"/>
        <v xml:space="preserve"> </v>
      </c>
      <c r="Y57" s="395"/>
      <c r="Z57" s="337" t="str">
        <f t="shared" si="34"/>
        <v xml:space="preserve"> </v>
      </c>
      <c r="AA57" s="395"/>
      <c r="AB57" s="337" t="str">
        <f t="shared" si="35"/>
        <v xml:space="preserve"> </v>
      </c>
      <c r="AC57" s="1539"/>
      <c r="AD57" s="1630">
        <f t="shared" si="36"/>
        <v>0</v>
      </c>
      <c r="AE57" s="1631">
        <f t="shared" si="37"/>
        <v>0</v>
      </c>
      <c r="AF57" s="765"/>
      <c r="AG57" s="1177"/>
    </row>
    <row r="58" spans="1:34" ht="15">
      <c r="A58" s="1832"/>
      <c r="B58" s="1833"/>
      <c r="C58" s="374"/>
      <c r="D58" s="1570"/>
      <c r="E58" s="394"/>
      <c r="F58" s="337" t="str">
        <f t="shared" si="24"/>
        <v xml:space="preserve"> </v>
      </c>
      <c r="G58" s="395"/>
      <c r="H58" s="337" t="str">
        <f t="shared" si="25"/>
        <v xml:space="preserve"> </v>
      </c>
      <c r="I58" s="395"/>
      <c r="J58" s="337" t="str">
        <f t="shared" si="26"/>
        <v xml:space="preserve"> </v>
      </c>
      <c r="K58" s="395"/>
      <c r="L58" s="337" t="str">
        <f t="shared" si="27"/>
        <v xml:space="preserve"> </v>
      </c>
      <c r="M58" s="395"/>
      <c r="N58" s="524" t="str">
        <f t="shared" si="28"/>
        <v xml:space="preserve"> </v>
      </c>
      <c r="O58" s="395"/>
      <c r="P58" s="337" t="str">
        <f t="shared" si="29"/>
        <v xml:space="preserve"> </v>
      </c>
      <c r="Q58" s="395"/>
      <c r="R58" s="524" t="str">
        <f t="shared" si="30"/>
        <v xml:space="preserve"> </v>
      </c>
      <c r="S58" s="506"/>
      <c r="T58" s="337" t="str">
        <f t="shared" si="31"/>
        <v xml:space="preserve"> </v>
      </c>
      <c r="U58" s="395"/>
      <c r="V58" s="337" t="str">
        <f t="shared" si="32"/>
        <v xml:space="preserve"> </v>
      </c>
      <c r="W58" s="395"/>
      <c r="X58" s="337" t="str">
        <f t="shared" si="33"/>
        <v xml:space="preserve"> </v>
      </c>
      <c r="Y58" s="395"/>
      <c r="Z58" s="337" t="str">
        <f t="shared" si="34"/>
        <v xml:space="preserve"> </v>
      </c>
      <c r="AA58" s="395"/>
      <c r="AB58" s="337" t="str">
        <f t="shared" si="35"/>
        <v xml:space="preserve"> </v>
      </c>
      <c r="AC58" s="1539"/>
      <c r="AD58" s="1630">
        <f t="shared" si="36"/>
        <v>0</v>
      </c>
      <c r="AE58" s="1631">
        <f t="shared" si="37"/>
        <v>0</v>
      </c>
      <c r="AF58" s="765"/>
      <c r="AG58" s="1177"/>
    </row>
    <row r="59" spans="1:34" ht="15">
      <c r="A59" s="1832"/>
      <c r="B59" s="1833"/>
      <c r="C59" s="374"/>
      <c r="D59" s="1570"/>
      <c r="E59" s="394"/>
      <c r="F59" s="337" t="str">
        <f t="shared" si="24"/>
        <v xml:space="preserve"> </v>
      </c>
      <c r="G59" s="395"/>
      <c r="H59" s="337" t="str">
        <f t="shared" si="25"/>
        <v xml:space="preserve"> </v>
      </c>
      <c r="I59" s="395"/>
      <c r="J59" s="337" t="str">
        <f t="shared" si="26"/>
        <v xml:space="preserve"> </v>
      </c>
      <c r="K59" s="395"/>
      <c r="L59" s="337" t="str">
        <f t="shared" si="27"/>
        <v xml:space="preserve"> </v>
      </c>
      <c r="M59" s="395"/>
      <c r="N59" s="524" t="str">
        <f t="shared" si="28"/>
        <v xml:space="preserve"> </v>
      </c>
      <c r="O59" s="395"/>
      <c r="P59" s="337" t="str">
        <f t="shared" si="29"/>
        <v xml:space="preserve"> </v>
      </c>
      <c r="Q59" s="395"/>
      <c r="R59" s="524" t="str">
        <f t="shared" si="30"/>
        <v xml:space="preserve"> </v>
      </c>
      <c r="S59" s="506"/>
      <c r="T59" s="337" t="str">
        <f t="shared" si="31"/>
        <v xml:space="preserve"> </v>
      </c>
      <c r="U59" s="395"/>
      <c r="V59" s="337" t="str">
        <f t="shared" si="32"/>
        <v xml:space="preserve"> </v>
      </c>
      <c r="W59" s="395"/>
      <c r="X59" s="337" t="str">
        <f t="shared" si="33"/>
        <v xml:space="preserve"> </v>
      </c>
      <c r="Y59" s="395"/>
      <c r="Z59" s="337" t="str">
        <f t="shared" si="34"/>
        <v xml:space="preserve"> </v>
      </c>
      <c r="AA59" s="395"/>
      <c r="AB59" s="337" t="str">
        <f t="shared" si="35"/>
        <v xml:space="preserve"> </v>
      </c>
      <c r="AC59" s="1539"/>
      <c r="AD59" s="1630">
        <f t="shared" si="36"/>
        <v>0</v>
      </c>
      <c r="AE59" s="1631">
        <f t="shared" si="37"/>
        <v>0</v>
      </c>
      <c r="AF59" s="765"/>
      <c r="AG59" s="1177"/>
    </row>
    <row r="60" spans="1:34" ht="15">
      <c r="A60" s="1832"/>
      <c r="B60" s="1833"/>
      <c r="C60" s="374"/>
      <c r="D60" s="1570"/>
      <c r="E60" s="394"/>
      <c r="F60" s="337" t="str">
        <f t="shared" si="24"/>
        <v xml:space="preserve"> </v>
      </c>
      <c r="G60" s="395"/>
      <c r="H60" s="337" t="str">
        <f t="shared" si="25"/>
        <v xml:space="preserve"> </v>
      </c>
      <c r="I60" s="395"/>
      <c r="J60" s="337" t="str">
        <f t="shared" si="26"/>
        <v xml:space="preserve"> </v>
      </c>
      <c r="K60" s="395"/>
      <c r="L60" s="337" t="str">
        <f t="shared" si="27"/>
        <v xml:space="preserve"> </v>
      </c>
      <c r="M60" s="395"/>
      <c r="N60" s="524" t="str">
        <f t="shared" si="28"/>
        <v xml:space="preserve"> </v>
      </c>
      <c r="O60" s="395"/>
      <c r="P60" s="337" t="str">
        <f t="shared" si="29"/>
        <v xml:space="preserve"> </v>
      </c>
      <c r="Q60" s="395"/>
      <c r="R60" s="524" t="str">
        <f t="shared" si="30"/>
        <v xml:space="preserve"> </v>
      </c>
      <c r="S60" s="506"/>
      <c r="T60" s="337" t="str">
        <f t="shared" si="31"/>
        <v xml:space="preserve"> </v>
      </c>
      <c r="U60" s="395"/>
      <c r="V60" s="337" t="str">
        <f t="shared" si="32"/>
        <v xml:space="preserve"> </v>
      </c>
      <c r="W60" s="395"/>
      <c r="X60" s="337" t="str">
        <f t="shared" si="33"/>
        <v xml:space="preserve"> </v>
      </c>
      <c r="Y60" s="395"/>
      <c r="Z60" s="337" t="str">
        <f t="shared" si="34"/>
        <v xml:space="preserve"> </v>
      </c>
      <c r="AA60" s="395"/>
      <c r="AB60" s="337" t="str">
        <f t="shared" si="35"/>
        <v xml:space="preserve"> </v>
      </c>
      <c r="AC60" s="1539"/>
      <c r="AD60" s="1630">
        <f t="shared" si="36"/>
        <v>0</v>
      </c>
      <c r="AE60" s="1631">
        <f t="shared" si="37"/>
        <v>0</v>
      </c>
      <c r="AF60" s="765"/>
      <c r="AG60" s="1177"/>
    </row>
    <row r="61" spans="1:34" ht="15">
      <c r="A61" s="1832"/>
      <c r="B61" s="1833"/>
      <c r="C61" s="374"/>
      <c r="D61" s="1570"/>
      <c r="E61" s="394"/>
      <c r="F61" s="337" t="str">
        <f t="shared" si="24"/>
        <v xml:space="preserve"> </v>
      </c>
      <c r="G61" s="395"/>
      <c r="H61" s="337" t="str">
        <f t="shared" si="25"/>
        <v xml:space="preserve"> </v>
      </c>
      <c r="I61" s="395"/>
      <c r="J61" s="337" t="str">
        <f t="shared" si="26"/>
        <v xml:space="preserve"> </v>
      </c>
      <c r="K61" s="395"/>
      <c r="L61" s="337" t="str">
        <f t="shared" si="27"/>
        <v xml:space="preserve"> </v>
      </c>
      <c r="M61" s="395"/>
      <c r="N61" s="524" t="str">
        <f t="shared" si="28"/>
        <v xml:space="preserve"> </v>
      </c>
      <c r="O61" s="395"/>
      <c r="P61" s="337" t="str">
        <f t="shared" si="29"/>
        <v xml:space="preserve"> </v>
      </c>
      <c r="Q61" s="395"/>
      <c r="R61" s="524" t="str">
        <f t="shared" si="30"/>
        <v xml:space="preserve"> </v>
      </c>
      <c r="S61" s="506"/>
      <c r="T61" s="337" t="str">
        <f t="shared" si="31"/>
        <v xml:space="preserve"> </v>
      </c>
      <c r="U61" s="395"/>
      <c r="V61" s="337" t="str">
        <f t="shared" si="32"/>
        <v xml:space="preserve"> </v>
      </c>
      <c r="W61" s="395"/>
      <c r="X61" s="337" t="str">
        <f t="shared" si="33"/>
        <v xml:space="preserve"> </v>
      </c>
      <c r="Y61" s="395"/>
      <c r="Z61" s="337" t="str">
        <f t="shared" si="34"/>
        <v xml:space="preserve"> </v>
      </c>
      <c r="AA61" s="395"/>
      <c r="AB61" s="337" t="str">
        <f t="shared" si="35"/>
        <v xml:space="preserve"> </v>
      </c>
      <c r="AC61" s="1539"/>
      <c r="AD61" s="1630">
        <f t="shared" si="36"/>
        <v>0</v>
      </c>
      <c r="AE61" s="1631">
        <f t="shared" si="37"/>
        <v>0</v>
      </c>
      <c r="AF61" s="765"/>
      <c r="AG61" s="1177"/>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row>
    <row r="63" spans="1:34" ht="15">
      <c r="A63" s="68"/>
      <c r="B63" s="181"/>
      <c r="C63" s="23"/>
      <c r="D63" s="521"/>
      <c r="E63" s="1029"/>
      <c r="F63" s="531"/>
      <c r="G63" s="390"/>
      <c r="H63" s="531"/>
      <c r="I63" s="390"/>
      <c r="J63" s="531"/>
      <c r="K63" s="390"/>
      <c r="L63" s="531"/>
      <c r="M63" s="390"/>
      <c r="N63" s="1031"/>
      <c r="O63" s="390"/>
      <c r="P63" s="51"/>
      <c r="Q63" s="390"/>
      <c r="R63" s="531"/>
      <c r="S63" s="390"/>
      <c r="T63" s="51"/>
      <c r="U63" s="390"/>
      <c r="V63" s="51"/>
      <c r="W63" s="390"/>
      <c r="X63" s="51"/>
      <c r="Y63" s="390"/>
      <c r="Z63" s="51"/>
      <c r="AA63" s="390"/>
      <c r="AB63" s="51"/>
      <c r="AC63" s="1540"/>
      <c r="AD63" s="1018"/>
      <c r="AE63" s="1019"/>
      <c r="AF63" s="1024"/>
      <c r="AG63" s="1177"/>
    </row>
    <row r="64" spans="1:34" ht="15.4" thickBot="1">
      <c r="A64" s="397" t="s">
        <v>112</v>
      </c>
      <c r="B64" s="398"/>
      <c r="C64" s="374"/>
      <c r="D64" s="1044"/>
      <c r="E64" s="762">
        <f>+E23-E35+E40+E52+E62</f>
        <v>0</v>
      </c>
      <c r="F64" s="526"/>
      <c r="G64" s="761">
        <f>+G23-G35+G40+G52+G62</f>
        <v>0</v>
      </c>
      <c r="H64" s="526"/>
      <c r="I64" s="761">
        <f>+I23-I35+I40+I52+I62</f>
        <v>0</v>
      </c>
      <c r="J64" s="526"/>
      <c r="K64" s="761">
        <f>+K23-K35+K40+K52+K62</f>
        <v>0</v>
      </c>
      <c r="L64" s="526"/>
      <c r="M64" s="761">
        <f>+M23-M35+M40+M52+M62</f>
        <v>0</v>
      </c>
      <c r="N64" s="382"/>
      <c r="O64" s="761">
        <f>+O23-O35+O40+O52+O62</f>
        <v>0</v>
      </c>
      <c r="P64" s="382"/>
      <c r="Q64" s="761">
        <f>+Q23-Q35+Q40+Q52+Q62</f>
        <v>0</v>
      </c>
      <c r="R64" s="526"/>
      <c r="S64" s="761">
        <f>+S23-S35+S40+S52+S62</f>
        <v>0</v>
      </c>
      <c r="T64" s="382"/>
      <c r="U64" s="761">
        <f>+U23-U35+U40+U52+U62</f>
        <v>0</v>
      </c>
      <c r="V64" s="382"/>
      <c r="W64" s="761">
        <f>+W23-W35+W40+W52+W62</f>
        <v>0</v>
      </c>
      <c r="X64" s="382"/>
      <c r="Y64" s="761">
        <f>+Y23-Y35+Y40+Y52+Y62</f>
        <v>0</v>
      </c>
      <c r="Z64" s="382"/>
      <c r="AA64" s="761">
        <f>+AA23-AA35+AA40+AA52+AA62</f>
        <v>0</v>
      </c>
      <c r="AB64" s="382"/>
      <c r="AC64" s="1536" t="e">
        <f>+AC23-AC35+AC40+AC52+AC62</f>
        <v>#VALUE!</v>
      </c>
      <c r="AD64" s="1629" t="e">
        <f>+AD23-AD35+AD40+AD52+AD62</f>
        <v>#VALUE!</v>
      </c>
      <c r="AE64" s="766"/>
      <c r="AF64" s="767"/>
      <c r="AG64" s="1177"/>
    </row>
    <row r="65" spans="1:33" ht="15.4" thickBot="1">
      <c r="A65" s="69"/>
      <c r="B65" s="367"/>
      <c r="C65" s="70"/>
      <c r="D65" s="1052"/>
      <c r="E65" s="22"/>
      <c r="F65" s="530"/>
      <c r="G65" s="391"/>
      <c r="H65" s="530"/>
      <c r="I65" s="391"/>
      <c r="J65" s="530"/>
      <c r="K65" s="391"/>
      <c r="L65" s="530"/>
      <c r="M65" s="391"/>
      <c r="N65" s="194"/>
      <c r="O65" s="391"/>
      <c r="P65" s="194"/>
      <c r="Q65" s="391"/>
      <c r="R65" s="514"/>
      <c r="S65" s="22"/>
      <c r="T65" s="194"/>
      <c r="U65" s="391"/>
      <c r="V65" s="194"/>
      <c r="W65" s="391"/>
      <c r="X65" s="194"/>
      <c r="Y65" s="391"/>
      <c r="Z65" s="194"/>
      <c r="AA65" s="391"/>
      <c r="AB65" s="194"/>
      <c r="AC65" s="1541"/>
      <c r="AD65" s="1634"/>
      <c r="AE65" s="1633"/>
      <c r="AF65" s="767"/>
      <c r="AG65" s="1177"/>
    </row>
    <row r="66" spans="1:33" ht="15.4" thickBot="1">
      <c r="A66" s="69" t="s">
        <v>110</v>
      </c>
      <c r="B66" s="367"/>
      <c r="C66" s="70"/>
      <c r="D66" s="1052"/>
      <c r="E66" s="1026">
        <f>+E6+E64</f>
        <v>0</v>
      </c>
      <c r="F66" s="530"/>
      <c r="G66" s="1032">
        <f>+G6+G64</f>
        <v>0</v>
      </c>
      <c r="H66" s="530"/>
      <c r="I66" s="1032">
        <f>+I6+I64</f>
        <v>0</v>
      </c>
      <c r="J66" s="530"/>
      <c r="K66" s="1032">
        <f>+K6+K64</f>
        <v>0</v>
      </c>
      <c r="L66" s="530"/>
      <c r="M66" s="1032">
        <f>+M6+M64</f>
        <v>0</v>
      </c>
      <c r="N66" s="194"/>
      <c r="O66" s="1032">
        <f>+O6+O64</f>
        <v>0</v>
      </c>
      <c r="P66" s="194"/>
      <c r="Q66" s="1032">
        <f>+Q6+Q64</f>
        <v>0</v>
      </c>
      <c r="R66" s="514"/>
      <c r="S66" s="1026">
        <f>+S6+S64</f>
        <v>0</v>
      </c>
      <c r="T66" s="194"/>
      <c r="U66" s="1032">
        <f>+U6+U64</f>
        <v>0</v>
      </c>
      <c r="V66" s="194"/>
      <c r="W66" s="1032">
        <f>+W6+W64</f>
        <v>0</v>
      </c>
      <c r="X66" s="194"/>
      <c r="Y66" s="1032">
        <f>+Y6+Y64</f>
        <v>0</v>
      </c>
      <c r="Z66" s="194"/>
      <c r="AA66" s="1032">
        <f>+AA6+AA64</f>
        <v>0</v>
      </c>
      <c r="AB66" s="194"/>
      <c r="AC66" s="1648" t="e">
        <f>+AC6+AC64+AE52</f>
        <v>#VALUE!</v>
      </c>
      <c r="AD66" s="1020"/>
      <c r="AE66" s="1628"/>
      <c r="AF66" s="1025"/>
      <c r="AG66" s="1177"/>
    </row>
    <row r="67" spans="1:33">
      <c r="R67" s="467"/>
    </row>
    <row r="68" spans="1:33" ht="13.5">
      <c r="R68" s="467"/>
      <c r="AB68" s="1545" t="s">
        <v>490</v>
      </c>
      <c r="AC68" s="1546" t="e">
        <f>'2nd Interim-Summary MYP'!H56</f>
        <v>#VALUE!</v>
      </c>
    </row>
    <row r="69" spans="1:33" ht="14.25" thickBot="1">
      <c r="R69" s="467"/>
      <c r="AB69" s="1650" t="s">
        <v>517</v>
      </c>
      <c r="AC69" s="1548" t="e">
        <f>AC66-AC68</f>
        <v>#VALUE!</v>
      </c>
      <c r="AD69" s="1612" t="str">
        <f>IF(ROUND(D52+E6,0)=ROUND('2nd Interim-Summary MYP'!H55,0),"","If not balancing, check to ensure Beg Cash (E6) + Total Beg Balance Sheet (D52) Must equal Beg Fund Balance (1st Interim-Summary MYP H55)")</f>
        <v>If not balancing, check to ensure Beg Cash (E6) + Total Beg Balance Sheet (D52) Must equal Beg Fund Balance (1st Interim-Summary MYP H55)</v>
      </c>
    </row>
    <row r="70" spans="1:33" ht="13.15" thickTop="1"/>
    <row r="72" spans="1:33">
      <c r="AB72" s="1639" t="s">
        <v>515</v>
      </c>
      <c r="AC72" s="173">
        <f>D52+E6</f>
        <v>0</v>
      </c>
    </row>
    <row r="73" spans="1:33">
      <c r="AB73" s="1639" t="s">
        <v>516</v>
      </c>
      <c r="AC73" s="173">
        <f>'2nd Interim-Summary MYP'!H55</f>
        <v>4559746.05</v>
      </c>
    </row>
    <row r="74" spans="1:33" ht="13.15" thickBot="1">
      <c r="AB74" s="134" t="s">
        <v>96</v>
      </c>
      <c r="AC74" s="1640">
        <f>AC72-AC73</f>
        <v>-4559746.05</v>
      </c>
    </row>
    <row r="75" spans="1:33" ht="13.15" thickTop="1"/>
    <row r="76" spans="1:33">
      <c r="AC76" s="173" t="e">
        <f>AC74-AC69</f>
        <v>#VALUE!</v>
      </c>
    </row>
  </sheetData>
  <sheetProtection algorithmName="SHA-512" hashValue="QBg7V5fasdzXp2HyMdt2XH8yjBzLS8+g1kPyx332wzQJnRlXieVJOsTVZshpb1M+oPFDLNmB3twvW/DxMqL6hw==" saltValue="g9afI1MNyWdf0Wiz8QrW7Q==" spinCount="100000" sheet="1" objects="1" scenarios="1"/>
  <mergeCells count="15">
    <mergeCell ref="A61:B61"/>
    <mergeCell ref="A58:B58"/>
    <mergeCell ref="A59:B59"/>
    <mergeCell ref="G2:K2"/>
    <mergeCell ref="E7:R7"/>
    <mergeCell ref="D41:D43"/>
    <mergeCell ref="A57:B57"/>
    <mergeCell ref="A55:B55"/>
    <mergeCell ref="A56:B56"/>
    <mergeCell ref="U2:AA2"/>
    <mergeCell ref="F1:L1"/>
    <mergeCell ref="U1:AA1"/>
    <mergeCell ref="AE41:AE43"/>
    <mergeCell ref="A60:B60"/>
    <mergeCell ref="AE53:AE54"/>
  </mergeCells>
  <conditionalFormatting sqref="F1">
    <cfRule type="containsText" dxfId="16" priority="26" stopIfTrue="1" operator="containsText" text="Enter">
      <formula>NOT(ISERROR(SEARCH("Enter",F1)))</formula>
    </cfRule>
  </conditionalFormatting>
  <conditionalFormatting sqref="U1">
    <cfRule type="containsText" dxfId="15" priority="25" stopIfTrue="1" operator="containsText" text="Enter">
      <formula>NOT(ISERROR(SEARCH("Enter",U1)))</formula>
    </cfRule>
  </conditionalFormatting>
  <conditionalFormatting sqref="AD45">
    <cfRule type="cellIs" dxfId="14" priority="5" stopIfTrue="1" operator="notEqual">
      <formula>$D$45</formula>
    </cfRule>
  </conditionalFormatting>
  <conditionalFormatting sqref="AD46">
    <cfRule type="cellIs" dxfId="13" priority="1" stopIfTrue="1" operator="notEqual">
      <formula>$D$46</formula>
    </cfRule>
  </conditionalFormatting>
  <conditionalFormatting sqref="AD48">
    <cfRule type="cellIs" dxfId="12" priority="4" stopIfTrue="1" operator="notEqual">
      <formula>$D$48</formula>
    </cfRule>
  </conditionalFormatting>
  <conditionalFormatting sqref="AD49">
    <cfRule type="cellIs" dxfId="11" priority="3" stopIfTrue="1" operator="notEqual">
      <formula>$D$49</formula>
    </cfRule>
  </conditionalFormatting>
  <conditionalFormatting sqref="AD50">
    <cfRule type="cellIs" dxfId="10" priority="2" stopIfTrue="1" operator="notEqual">
      <formula>$D$50</formula>
    </cfRule>
  </conditionalFormatting>
  <conditionalFormatting sqref="AD52">
    <cfRule type="cellIs" dxfId="9" priority="6" stopIfTrue="1" operator="notEqual">
      <formula>$D$51</formula>
    </cfRule>
  </conditionalFormatting>
  <pageMargins left="0.7" right="0.7" top="0.75" bottom="0.75" header="0.3" footer="0.3"/>
  <pageSetup scale="49" fitToWidth="0" orientation="landscape" r:id="rId1"/>
  <headerFooter>
    <oddHeader>&amp;RPage &amp;P of &amp;N</oddHeader>
  </headerFooter>
  <colBreaks count="1" manualBreakCount="1">
    <brk id="18"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theme="5"/>
    <pageSetUpPr fitToPage="1"/>
  </sheetPr>
  <dimension ref="A1:AH76"/>
  <sheetViews>
    <sheetView showGridLines="0" view="pageBreakPreview" zoomScale="85" zoomScaleNormal="70" zoomScaleSheetLayoutView="85" workbookViewId="0">
      <pane xSplit="4" ySplit="7" topLeftCell="Q54" activePane="bottomRight" state="frozen"/>
      <selection pane="topRight" activeCell="E1" sqref="E1"/>
      <selection pane="bottomLeft" activeCell="A8" sqref="A8"/>
      <selection pane="bottomRight" activeCell="E44" sqref="E44:E51"/>
    </sheetView>
  </sheetViews>
  <sheetFormatPr defaultRowHeight="12.75"/>
  <cols>
    <col min="1" max="1" width="2.53125" customWidth="1"/>
    <col min="2" max="2" width="45.86328125" customWidth="1"/>
    <col min="3" max="3" width="14.6640625" customWidth="1"/>
    <col min="4" max="4" width="12.86328125" customWidth="1"/>
    <col min="5" max="5" width="13.46484375" customWidth="1"/>
    <col min="6" max="6" width="9" bestFit="1" customWidth="1"/>
    <col min="7" max="7" width="13.46484375" customWidth="1"/>
    <col min="8" max="8" width="8.6640625" customWidth="1"/>
    <col min="9" max="9" width="13.46484375" customWidth="1"/>
    <col min="10" max="10" width="8.6640625" customWidth="1"/>
    <col min="11" max="11" width="13.33203125" customWidth="1"/>
    <col min="12" max="12" width="8.6640625" customWidth="1"/>
    <col min="13" max="13" width="13.46484375" customWidth="1"/>
    <col min="14" max="14" width="8.6640625" customWidth="1"/>
    <col min="15" max="15" width="13.6640625" customWidth="1"/>
    <col min="16" max="16" width="8.6640625" customWidth="1"/>
    <col min="17" max="17" width="13.6640625" customWidth="1"/>
    <col min="18" max="18" width="8.6640625" customWidth="1"/>
    <col min="19" max="19" width="13.46484375" customWidth="1"/>
    <col min="20" max="20" width="9.1328125" customWidth="1"/>
    <col min="21" max="21" width="13.46484375" customWidth="1"/>
    <col min="22" max="22" width="9.1328125" customWidth="1"/>
    <col min="23" max="23" width="13.46484375" customWidth="1"/>
    <col min="24" max="24" width="9.1328125" customWidth="1"/>
    <col min="25" max="25" width="13.46484375" customWidth="1"/>
    <col min="26" max="26" width="9.1328125" customWidth="1"/>
    <col min="27" max="27" width="13.6640625" customWidth="1"/>
    <col min="28" max="28" width="9.1328125" customWidth="1"/>
    <col min="29" max="29" width="16.33203125" style="173" customWidth="1"/>
    <col min="30" max="30" width="17.1328125" style="173" customWidth="1"/>
    <col min="31" max="32" width="13.6640625" customWidth="1"/>
    <col min="33" max="33" width="70.53125" hidden="1" customWidth="1"/>
    <col min="34" max="34" width="52.33203125" customWidth="1"/>
  </cols>
  <sheetData>
    <row r="1" spans="1:33" ht="15.4" thickBot="1">
      <c r="A1" s="175"/>
      <c r="B1" s="175"/>
      <c r="C1" s="175"/>
      <c r="D1" s="175"/>
      <c r="E1" s="176"/>
      <c r="F1" s="1841" t="str">
        <f>IF('INTERIM-CERTIFICATION'!$M$1="","CHARTER NAME: Enter Charter Name on INTERIM-CERTIFICATION Worksheet",(CONCATENATE("CHARTER NAME: ",'INTERIM-CERTIFICATION'!$M$1)))</f>
        <v>CHARTER NAME: Encor Jr./Sr. High School for the Performing and Visual Arts</v>
      </c>
      <c r="G1" s="1841" t="str">
        <f>IF('INTERIM-CERTIFICATION'!$H$1="","CHARTER NAME: Enter Charter Name on INTERIM-CERTIFICATION Worksheet",(CONCATENATE("CHARTER NAME: ",'INTERIM-CERTIFICATION'!$H$1)))</f>
        <v>CHARTER NAME: Enter Charter Name on INTERIM-CERTIFICATION Worksheet</v>
      </c>
      <c r="H1" s="1841" t="str">
        <f>IF('INTERIM-CERTIFICATION'!$H$1="","CHARTER NAME: Enter Charter Name on INTERIM-CERTIFICATION Worksheet",(CONCATENATE("CHARTER NAME: ",'INTERIM-CERTIFICATION'!$H$1)))</f>
        <v>CHARTER NAME: Enter Charter Name on INTERIM-CERTIFICATION Worksheet</v>
      </c>
      <c r="I1" s="1841"/>
      <c r="J1" s="1841"/>
      <c r="K1" s="1841"/>
      <c r="L1" s="1841"/>
      <c r="M1" s="178"/>
      <c r="N1" s="177"/>
      <c r="O1" s="175"/>
      <c r="P1" s="177"/>
      <c r="Q1" s="177"/>
      <c r="R1" s="177"/>
      <c r="S1" s="180"/>
      <c r="T1" s="1841" t="str">
        <f>F1</f>
        <v>CHARTER NAME: Encor Jr./Sr. High School for the Performing and Visual Arts</v>
      </c>
      <c r="U1" s="1841" t="str">
        <f>IF('INTERIM-CERTIFICATION'!$H$1="","CHARTER NAME: Enter Charter Name on INTERIM-CERTIFICATION Worksheet",(CONCATENATE("CHARTER NAME: ",'INTERIM-CERTIFICATION'!$H$1)))</f>
        <v>CHARTER NAME: Enter Charter Name on INTERIM-CERTIFICATION Worksheet</v>
      </c>
      <c r="V1" s="1841" t="str">
        <f>IF('INTERIM-CERTIFICATION'!$H$1="","CHARTER NAME: Enter Charter Name on INTERIM-CERTIFICATION Worksheet",(CONCATENATE("CHARTER NAME: ",'INTERIM-CERTIFICATION'!$H$1)))</f>
        <v>CHARTER NAME: Enter Charter Name on INTERIM-CERTIFICATION Worksheet</v>
      </c>
      <c r="W1" s="1841"/>
      <c r="X1" s="1841"/>
      <c r="Y1" s="1841"/>
      <c r="Z1" s="1841"/>
      <c r="AA1" s="178"/>
      <c r="AB1" s="177"/>
      <c r="AD1" s="1006"/>
      <c r="AE1" s="27"/>
      <c r="AF1" s="27"/>
      <c r="AG1" s="1177"/>
    </row>
    <row r="2" spans="1:33" ht="15">
      <c r="A2" t="s">
        <v>114</v>
      </c>
      <c r="B2" s="182"/>
      <c r="C2" s="95"/>
      <c r="D2" s="183"/>
      <c r="G2" s="1876" t="str">
        <f>""&amp;'Budget-ADA'!N7&amp;"  Second Interim Cash Flow"</f>
        <v>2025-26  Second Interim Cash Flow</v>
      </c>
      <c r="H2" s="1876" t="str">
        <f>""&amp;'Budget-ADA'!N7&amp;"  First Interim Cash Flow"</f>
        <v>2025-26  First Interim Cash Flow</v>
      </c>
      <c r="I2" s="1876"/>
      <c r="J2" s="1876"/>
      <c r="K2" s="1876"/>
      <c r="M2" s="178"/>
      <c r="O2" s="177"/>
      <c r="Q2" s="27"/>
      <c r="T2" s="1876" t="str">
        <f>G2</f>
        <v>2025-26  Second Interim Cash Flow</v>
      </c>
      <c r="U2" s="1876"/>
      <c r="V2" s="1876"/>
      <c r="W2" s="1876"/>
      <c r="X2" s="1876"/>
      <c r="Y2" s="1876"/>
      <c r="Z2" s="1876"/>
      <c r="AA2" s="178"/>
      <c r="AC2" s="1006"/>
      <c r="AD2" s="1006"/>
      <c r="AE2" s="27"/>
      <c r="AF2" s="27"/>
      <c r="AG2" s="1177"/>
    </row>
    <row r="3" spans="1:33" ht="15.4" thickBot="1">
      <c r="A3" s="1557" t="str">
        <f>Instructions!H1</f>
        <v>Form Revised (revision date here if revised)</v>
      </c>
      <c r="B3" s="181"/>
      <c r="C3" s="23"/>
      <c r="D3" s="23"/>
      <c r="E3" s="26"/>
      <c r="F3" s="25"/>
      <c r="G3" s="27"/>
      <c r="H3" s="25"/>
      <c r="I3" s="27"/>
      <c r="J3" s="25"/>
      <c r="K3" s="27"/>
      <c r="L3" s="25"/>
      <c r="M3" s="27"/>
      <c r="N3" s="25"/>
      <c r="O3" s="27"/>
      <c r="P3" s="25"/>
      <c r="Q3" s="27"/>
      <c r="R3" s="25"/>
      <c r="S3" s="27"/>
      <c r="T3" s="25"/>
      <c r="U3" s="27"/>
      <c r="V3" s="25"/>
      <c r="W3" s="27"/>
      <c r="X3" s="25"/>
      <c r="Y3" s="27"/>
      <c r="Z3" s="25"/>
      <c r="AA3" s="27"/>
      <c r="AB3" s="25"/>
      <c r="AC3" s="1006"/>
      <c r="AD3" s="1006"/>
      <c r="AE3" s="27"/>
      <c r="AF3" s="27"/>
      <c r="AG3" s="1177"/>
    </row>
    <row r="4" spans="1:33" ht="15">
      <c r="A4" s="399"/>
      <c r="B4" s="71"/>
      <c r="C4" s="71"/>
      <c r="D4" s="71"/>
      <c r="E4" s="616" t="s">
        <v>79</v>
      </c>
      <c r="F4" s="400" t="s">
        <v>80</v>
      </c>
      <c r="G4" s="533" t="s">
        <v>81</v>
      </c>
      <c r="H4" s="400" t="s">
        <v>82</v>
      </c>
      <c r="I4" s="533" t="s">
        <v>83</v>
      </c>
      <c r="J4" s="400" t="s">
        <v>82</v>
      </c>
      <c r="K4" s="533" t="s">
        <v>84</v>
      </c>
      <c r="L4" s="400" t="s">
        <v>82</v>
      </c>
      <c r="M4" s="533" t="s">
        <v>85</v>
      </c>
      <c r="N4" s="400" t="s">
        <v>82</v>
      </c>
      <c r="O4" s="533" t="s">
        <v>86</v>
      </c>
      <c r="P4" s="400" t="s">
        <v>82</v>
      </c>
      <c r="Q4" s="533" t="s">
        <v>87</v>
      </c>
      <c r="R4" s="400" t="s">
        <v>82</v>
      </c>
      <c r="S4" s="533" t="s">
        <v>88</v>
      </c>
      <c r="T4" s="400" t="s">
        <v>82</v>
      </c>
      <c r="U4" s="533" t="s">
        <v>89</v>
      </c>
      <c r="V4" s="400" t="s">
        <v>82</v>
      </c>
      <c r="W4" s="533" t="s">
        <v>90</v>
      </c>
      <c r="X4" s="400" t="s">
        <v>82</v>
      </c>
      <c r="Y4" s="533" t="s">
        <v>91</v>
      </c>
      <c r="Z4" s="400" t="s">
        <v>82</v>
      </c>
      <c r="AA4" s="533" t="s">
        <v>92</v>
      </c>
      <c r="AB4" s="400" t="s">
        <v>82</v>
      </c>
      <c r="AC4" s="1007" t="s">
        <v>93</v>
      </c>
      <c r="AD4" s="1015"/>
      <c r="AE4" s="1015" t="s">
        <v>19</v>
      </c>
      <c r="AF4" s="1015"/>
      <c r="AG4" s="1177"/>
    </row>
    <row r="5" spans="1:33" ht="15.4" thickBot="1">
      <c r="A5" s="185"/>
      <c r="B5" s="23"/>
      <c r="C5" s="23"/>
      <c r="D5" s="23"/>
      <c r="E5" s="216" t="s">
        <v>93</v>
      </c>
      <c r="F5" s="1027" t="s">
        <v>94</v>
      </c>
      <c r="G5" s="186" t="s">
        <v>93</v>
      </c>
      <c r="H5" s="1027" t="s">
        <v>94</v>
      </c>
      <c r="I5" s="186" t="s">
        <v>93</v>
      </c>
      <c r="J5" s="1027" t="s">
        <v>94</v>
      </c>
      <c r="K5" s="186" t="s">
        <v>93</v>
      </c>
      <c r="L5" s="1027" t="s">
        <v>94</v>
      </c>
      <c r="M5" s="186" t="s">
        <v>93</v>
      </c>
      <c r="N5" s="1027" t="s">
        <v>94</v>
      </c>
      <c r="O5" s="186" t="s">
        <v>93</v>
      </c>
      <c r="P5" s="60" t="s">
        <v>94</v>
      </c>
      <c r="Q5" s="186" t="s">
        <v>93</v>
      </c>
      <c r="R5" s="1027" t="s">
        <v>94</v>
      </c>
      <c r="S5" s="186" t="s">
        <v>93</v>
      </c>
      <c r="T5" s="60" t="s">
        <v>94</v>
      </c>
      <c r="U5" s="186" t="s">
        <v>93</v>
      </c>
      <c r="V5" s="60" t="s">
        <v>94</v>
      </c>
      <c r="W5" s="186" t="s">
        <v>93</v>
      </c>
      <c r="X5" s="60" t="s">
        <v>94</v>
      </c>
      <c r="Y5" s="186" t="s">
        <v>93</v>
      </c>
      <c r="Z5" s="60" t="s">
        <v>94</v>
      </c>
      <c r="AA5" s="186" t="s">
        <v>93</v>
      </c>
      <c r="AB5" s="60" t="s">
        <v>94</v>
      </c>
      <c r="AC5" s="1008" t="s">
        <v>95</v>
      </c>
      <c r="AD5" s="1016" t="s">
        <v>0</v>
      </c>
      <c r="AE5" s="1016" t="s">
        <v>16</v>
      </c>
      <c r="AF5" s="1016" t="s">
        <v>96</v>
      </c>
      <c r="AG5" s="1177"/>
    </row>
    <row r="6" spans="1:33" ht="15.75" thickTop="1" thickBot="1">
      <c r="A6" s="188" t="s">
        <v>97</v>
      </c>
      <c r="B6" s="179"/>
      <c r="D6" s="409" t="s">
        <v>115</v>
      </c>
      <c r="E6" s="1377">
        <f>'2nd Interim-Cash Flow Year 1'!AA66</f>
        <v>0</v>
      </c>
      <c r="F6" s="61"/>
      <c r="G6" s="189">
        <f>E66</f>
        <v>0</v>
      </c>
      <c r="H6" s="61"/>
      <c r="I6" s="189">
        <f>G66</f>
        <v>0</v>
      </c>
      <c r="J6" s="61"/>
      <c r="K6" s="189">
        <f>I66</f>
        <v>0</v>
      </c>
      <c r="L6" s="61"/>
      <c r="M6" s="189">
        <f>K66</f>
        <v>0</v>
      </c>
      <c r="N6" s="61"/>
      <c r="O6" s="508">
        <f>M66</f>
        <v>0</v>
      </c>
      <c r="P6" s="61"/>
      <c r="Q6" s="508">
        <f>O66</f>
        <v>0</v>
      </c>
      <c r="R6" s="61"/>
      <c r="S6" s="508">
        <f>Q66</f>
        <v>0</v>
      </c>
      <c r="T6" s="61"/>
      <c r="U6" s="189">
        <f>S66</f>
        <v>0</v>
      </c>
      <c r="V6" s="61"/>
      <c r="W6" s="189">
        <f>U66</f>
        <v>0</v>
      </c>
      <c r="X6" s="61"/>
      <c r="Y6" s="189">
        <f>W66</f>
        <v>0</v>
      </c>
      <c r="Z6" s="61"/>
      <c r="AA6" s="189">
        <f>Y66</f>
        <v>0</v>
      </c>
      <c r="AB6" s="61"/>
      <c r="AC6" s="387">
        <f>+AA66</f>
        <v>0</v>
      </c>
      <c r="AD6" s="57"/>
      <c r="AE6" s="57"/>
      <c r="AF6" s="57"/>
      <c r="AG6" s="1177"/>
    </row>
    <row r="7" spans="1:33" ht="15.4" thickTop="1">
      <c r="A7" s="401"/>
      <c r="B7" s="366"/>
      <c r="C7" s="64"/>
      <c r="D7" s="64"/>
      <c r="E7" s="1894"/>
      <c r="F7" s="1895"/>
      <c r="G7" s="1895"/>
      <c r="H7" s="1895"/>
      <c r="I7" s="1895"/>
      <c r="J7" s="1895"/>
      <c r="K7" s="1895"/>
      <c r="L7" s="1895"/>
      <c r="M7" s="1895"/>
      <c r="N7" s="1895"/>
      <c r="O7" s="65"/>
      <c r="P7" s="62"/>
      <c r="Q7" s="65"/>
      <c r="R7" s="62"/>
      <c r="S7" s="65"/>
      <c r="T7" s="62"/>
      <c r="U7" s="65"/>
      <c r="V7" s="62"/>
      <c r="W7" s="65"/>
      <c r="X7" s="62"/>
      <c r="Y7" s="65"/>
      <c r="Z7" s="62"/>
      <c r="AA7" s="65"/>
      <c r="AB7" s="62"/>
      <c r="AC7" s="1009"/>
      <c r="AD7" s="1009"/>
      <c r="AE7" s="65"/>
      <c r="AF7" s="543"/>
      <c r="AG7" s="1177"/>
    </row>
    <row r="8" spans="1:33" ht="15">
      <c r="A8" s="66" t="s">
        <v>98</v>
      </c>
      <c r="B8" s="515"/>
      <c r="C8" s="371"/>
      <c r="D8" s="371"/>
      <c r="E8" s="372"/>
      <c r="F8" s="164"/>
      <c r="G8" s="373"/>
      <c r="H8" s="164"/>
      <c r="I8" s="373"/>
      <c r="J8" s="164"/>
      <c r="K8" s="373"/>
      <c r="L8" s="164"/>
      <c r="M8" s="373"/>
      <c r="N8" s="164"/>
      <c r="O8" s="373"/>
      <c r="P8" s="164"/>
      <c r="Q8" s="373"/>
      <c r="R8" s="164"/>
      <c r="S8" s="373"/>
      <c r="T8" s="164"/>
      <c r="U8" s="373"/>
      <c r="V8" s="164"/>
      <c r="W8" s="373"/>
      <c r="X8" s="164"/>
      <c r="Y8" s="373"/>
      <c r="Z8" s="164"/>
      <c r="AA8" s="373"/>
      <c r="AB8" s="164"/>
      <c r="AC8" s="1010"/>
      <c r="AD8" s="1010"/>
      <c r="AE8" s="373"/>
      <c r="AF8" s="517"/>
      <c r="AG8" s="1177"/>
    </row>
    <row r="9" spans="1:33" ht="15">
      <c r="A9" s="402" t="s">
        <v>303</v>
      </c>
      <c r="B9" s="145"/>
      <c r="C9" s="139"/>
      <c r="D9" s="1044"/>
      <c r="E9" s="768"/>
      <c r="F9" s="384"/>
      <c r="G9" s="504"/>
      <c r="H9" s="384"/>
      <c r="I9" s="504"/>
      <c r="J9" s="384"/>
      <c r="K9" s="504"/>
      <c r="L9" s="384"/>
      <c r="M9" s="504"/>
      <c r="N9" s="384"/>
      <c r="O9" s="504"/>
      <c r="P9" s="384"/>
      <c r="Q9" s="504"/>
      <c r="R9" s="384"/>
      <c r="S9" s="504"/>
      <c r="T9" s="384"/>
      <c r="U9" s="504"/>
      <c r="V9" s="384"/>
      <c r="W9" s="504"/>
      <c r="X9" s="384"/>
      <c r="Y9" s="504"/>
      <c r="Z9" s="384"/>
      <c r="AA9" s="504"/>
      <c r="AB9" s="384"/>
      <c r="AC9" s="1011"/>
      <c r="AD9" s="1014"/>
      <c r="AE9" s="1014"/>
      <c r="AF9" s="385"/>
      <c r="AG9" s="1177"/>
    </row>
    <row r="10" spans="1:33" ht="15">
      <c r="A10" s="403"/>
      <c r="B10" s="139" t="s">
        <v>152</v>
      </c>
      <c r="C10" s="275">
        <v>8011</v>
      </c>
      <c r="D10" s="1044"/>
      <c r="E10" s="376"/>
      <c r="F10" s="524" t="str">
        <f>IF($AE10&lt;1," ",IF(E10&lt;1," ",(E10)/$AE10))</f>
        <v xml:space="preserve"> </v>
      </c>
      <c r="G10" s="388"/>
      <c r="H10" s="524" t="str">
        <f>IF($AE10&lt;1," ",IF(G10&lt;1," ",(G10)/$AE10))</f>
        <v xml:space="preserve"> </v>
      </c>
      <c r="I10" s="388"/>
      <c r="J10" s="524" t="str">
        <f>IF($AE10&lt;1," ",IF(I10&lt;1," ",(I10)/$AE10))</f>
        <v xml:space="preserve"> </v>
      </c>
      <c r="K10" s="388"/>
      <c r="L10" s="524" t="str">
        <f>IF($AE10&lt;1," ",IF(K10&lt;1," ",(K10)/$AE10))</f>
        <v xml:space="preserve"> </v>
      </c>
      <c r="M10" s="388"/>
      <c r="N10" s="337" t="str">
        <f>IF($AE10&lt;1," ",IF(M10&lt;1," ",(M10)/$AE10))</f>
        <v xml:space="preserve"> </v>
      </c>
      <c r="O10" s="388"/>
      <c r="P10" s="337" t="str">
        <f>IF($AE10&lt;1," ",IF(O10&lt;1," ",(O10)/$AE10))</f>
        <v xml:space="preserve"> </v>
      </c>
      <c r="Q10" s="388"/>
      <c r="R10" s="524" t="str">
        <f>IF($AE10&lt;1," ",IF(Q10&lt;1," ",(Q10)/$AE10))</f>
        <v xml:space="preserve"> </v>
      </c>
      <c r="S10" s="388"/>
      <c r="T10" s="337" t="str">
        <f>IF($AE10&lt;1," ",IF(S10&lt;1," ",(S10)/$AE10))</f>
        <v xml:space="preserve"> </v>
      </c>
      <c r="U10" s="388"/>
      <c r="V10" s="337" t="str">
        <f>IF($AE10&lt;1," ",IF(U10&lt;1," ",(U10)/$AE10))</f>
        <v xml:space="preserve"> </v>
      </c>
      <c r="W10" s="388"/>
      <c r="X10" s="337" t="str">
        <f>IF($AE10&lt;1," ",IF(W10&lt;1," ",(W10)/$AE10))</f>
        <v xml:space="preserve"> </v>
      </c>
      <c r="Y10" s="388"/>
      <c r="Z10" s="337" t="str">
        <f>IF($AE10&lt;1," ",IF(Y10&lt;1," ",(Y10)/$AE10))</f>
        <v xml:space="preserve"> </v>
      </c>
      <c r="AA10" s="388"/>
      <c r="AB10" s="337" t="str">
        <f>IF($AE10&lt;1," ",IF(AA10&lt;1," ",(AA10)/$AE10))</f>
        <v xml:space="preserve"> </v>
      </c>
      <c r="AC10" s="1534">
        <f>AE10-(E10+G10+I10+K10+M10+O10+Q10+S10+U10+W10+Y10+AA10)</f>
        <v>0</v>
      </c>
      <c r="AD10" s="377">
        <f>+E10+G10+I10+K10+M10+O10+Q10+S10+U10+W10+Y10+AA10+AC10</f>
        <v>0</v>
      </c>
      <c r="AE10" s="377">
        <f>'2nd Interim-Summary MYP'!J13</f>
        <v>0</v>
      </c>
      <c r="AF10" s="377">
        <f>+AE10-AD10</f>
        <v>0</v>
      </c>
      <c r="AG10" s="1177"/>
    </row>
    <row r="11" spans="1:33" ht="15">
      <c r="A11" s="403"/>
      <c r="B11" s="139" t="s">
        <v>153</v>
      </c>
      <c r="C11" s="275">
        <v>8012</v>
      </c>
      <c r="D11" s="1044"/>
      <c r="E11" s="376"/>
      <c r="F11" s="524" t="str">
        <f>IF($AE11&lt;1," ",IF(E11&lt;1," ",(E11)/$AE11))</f>
        <v xml:space="preserve"> </v>
      </c>
      <c r="G11" s="388"/>
      <c r="H11" s="524" t="str">
        <f>IF($AE11&lt;1," ",IF(G11&lt;1," ",(G11)/$AE11))</f>
        <v xml:space="preserve"> </v>
      </c>
      <c r="I11" s="388"/>
      <c r="J11" s="524" t="str">
        <f>IF($AE11&lt;1," ",IF(I11&lt;1," ",(I11)/$AE11))</f>
        <v xml:space="preserve"> </v>
      </c>
      <c r="K11" s="388"/>
      <c r="L11" s="524" t="str">
        <f>IF($AE11&lt;1," ",IF(K11&lt;1," ",(K11)/$AE11))</f>
        <v xml:space="preserve"> </v>
      </c>
      <c r="M11" s="388"/>
      <c r="N11" s="337" t="str">
        <f>IF($AE11&lt;1," ",IF(M11&lt;1," ",(M11)/$AE11))</f>
        <v xml:space="preserve"> </v>
      </c>
      <c r="O11" s="388"/>
      <c r="P11" s="337" t="str">
        <f>IF($AE11&lt;1," ",IF(O11&lt;1," ",(O11)/$AE11))</f>
        <v xml:space="preserve"> </v>
      </c>
      <c r="Q11" s="388"/>
      <c r="R11" s="524" t="str">
        <f>IF($AE11&lt;1," ",IF(Q11&lt;1," ",(Q11)/$AE11))</f>
        <v xml:space="preserve"> </v>
      </c>
      <c r="S11" s="388"/>
      <c r="T11" s="337" t="str">
        <f>IF($AE11&lt;1," ",IF(S11&lt;1," ",(S11)/$AE11))</f>
        <v xml:space="preserve"> </v>
      </c>
      <c r="U11" s="388"/>
      <c r="V11" s="337" t="str">
        <f>IF($AE11&lt;1," ",IF(U11&lt;1," ",(U11)/$AE11))</f>
        <v xml:space="preserve"> </v>
      </c>
      <c r="W11" s="388"/>
      <c r="X11" s="337" t="str">
        <f>IF($AE11&lt;1," ",IF(W11&lt;1," ",(W11)/$AE11))</f>
        <v xml:space="preserve"> </v>
      </c>
      <c r="Y11" s="388"/>
      <c r="Z11" s="337" t="str">
        <f>IF($AE11&lt;1," ",IF(Y11&lt;1," ",(Y11)/$AE11))</f>
        <v xml:space="preserve"> </v>
      </c>
      <c r="AA11" s="388"/>
      <c r="AB11" s="337" t="str">
        <f>IF($AE11&lt;1," ",IF(AA11&lt;1," ",(AA11)/$AE11))</f>
        <v xml:space="preserve"> </v>
      </c>
      <c r="AC11" s="1534">
        <f t="shared" ref="AC11:AC22" si="0">AE11-(E11+G11+I11+K11+M11+O11+Q11+S11+U11+W11+Y11+AA11)</f>
        <v>0</v>
      </c>
      <c r="AD11" s="377">
        <f>+E11+G11+I11+K11+M11+O11+Q11+S11+U11+W11+Y11+AA11+AC11</f>
        <v>0</v>
      </c>
      <c r="AE11" s="377">
        <f>'2nd Interim-Summary MYP'!J14</f>
        <v>0</v>
      </c>
      <c r="AF11" s="377">
        <f>+AE11-AD11</f>
        <v>0</v>
      </c>
      <c r="AG11" s="1177"/>
    </row>
    <row r="12" spans="1:33" ht="15">
      <c r="A12" s="403"/>
      <c r="B12" s="139" t="s">
        <v>301</v>
      </c>
      <c r="C12" s="275">
        <v>8019</v>
      </c>
      <c r="D12" s="1048"/>
      <c r="E12" s="376"/>
      <c r="F12" s="524" t="str">
        <f>IF($AE12&lt;1," ",IF(E12&lt;1," ",(E12)/$AE12))</f>
        <v xml:space="preserve"> </v>
      </c>
      <c r="G12" s="388"/>
      <c r="H12" s="524" t="str">
        <f>IF($AE12&lt;1," ",IF(G12&lt;1," ",(G12)/$AE12))</f>
        <v xml:space="preserve"> </v>
      </c>
      <c r="I12" s="388"/>
      <c r="J12" s="524" t="str">
        <f>IF($AE12&lt;1," ",IF(I12&lt;1," ",(I12)/$AE12))</f>
        <v xml:space="preserve"> </v>
      </c>
      <c r="K12" s="388"/>
      <c r="L12" s="524" t="str">
        <f>IF($AE12&lt;1," ",IF(K12&lt;1," ",(K12)/$AE12))</f>
        <v xml:space="preserve"> </v>
      </c>
      <c r="M12" s="388"/>
      <c r="N12" s="337" t="str">
        <f>IF($AE12&lt;1," ",IF(M12&lt;1," ",(M12)/$AE12))</f>
        <v xml:space="preserve"> </v>
      </c>
      <c r="O12" s="388"/>
      <c r="P12" s="337" t="str">
        <f>IF($AE12&lt;1," ",IF(O12&lt;1," ",(O12)/$AE12))</f>
        <v xml:space="preserve"> </v>
      </c>
      <c r="Q12" s="388"/>
      <c r="R12" s="524" t="str">
        <f>IF($AE12&lt;1," ",IF(Q12&lt;1," ",(Q12)/$AE12))</f>
        <v xml:space="preserve"> </v>
      </c>
      <c r="S12" s="388"/>
      <c r="T12" s="337" t="str">
        <f>IF($AE12&lt;1," ",IF(S12&lt;1," ",(S12)/$AE12))</f>
        <v xml:space="preserve"> </v>
      </c>
      <c r="U12" s="388"/>
      <c r="V12" s="337" t="str">
        <f>IF($AE12&lt;1," ",IF(U12&lt;1," ",(U12)/$AE12))</f>
        <v xml:space="preserve"> </v>
      </c>
      <c r="W12" s="388"/>
      <c r="X12" s="337" t="str">
        <f>IF($AE12&lt;1," ",IF(W12&lt;1," ",(W12)/$AE12))</f>
        <v xml:space="preserve"> </v>
      </c>
      <c r="Y12" s="388"/>
      <c r="Z12" s="337" t="str">
        <f>IF($AE12&lt;1," ",IF(Y12&lt;1," ",(Y12)/$AE12))</f>
        <v xml:space="preserve"> </v>
      </c>
      <c r="AA12" s="388"/>
      <c r="AB12" s="337" t="str">
        <f>IF($AE12&lt;1," ",IF(AA12&lt;1," ",(AA12)/$AE12))</f>
        <v xml:space="preserve"> </v>
      </c>
      <c r="AC12" s="1534">
        <f t="shared" si="0"/>
        <v>0</v>
      </c>
      <c r="AD12" s="377">
        <f>+E12+G12+I12+K12+M12+O12+Q12+S12+U12+W12+Y12+AA12+AC12</f>
        <v>0</v>
      </c>
      <c r="AE12" s="378">
        <f>'2nd Interim-Summary MYP'!J15</f>
        <v>0</v>
      </c>
      <c r="AF12" s="377">
        <f>+AE12-AD12</f>
        <v>0</v>
      </c>
      <c r="AG12" s="1177"/>
    </row>
    <row r="13" spans="1:33" ht="15">
      <c r="A13" s="403"/>
      <c r="B13" s="139" t="s">
        <v>302</v>
      </c>
      <c r="C13" s="275">
        <v>8096</v>
      </c>
      <c r="D13" s="1048"/>
      <c r="E13" s="376"/>
      <c r="F13" s="524" t="str">
        <f>IF($AE13&lt;1," ",IF(E13&lt;1," ",(E13)/$AE13))</f>
        <v xml:space="preserve"> </v>
      </c>
      <c r="G13" s="388"/>
      <c r="H13" s="524" t="str">
        <f>IF($AE13&lt;1," ",IF(G13&lt;1," ",(G13)/$AE13))</f>
        <v xml:space="preserve"> </v>
      </c>
      <c r="I13" s="388"/>
      <c r="J13" s="524" t="str">
        <f>IF($AE13&lt;1," ",IF(I13&lt;1," ",(I13)/$AE13))</f>
        <v xml:space="preserve"> </v>
      </c>
      <c r="K13" s="388"/>
      <c r="L13" s="524" t="str">
        <f>IF($AE13&lt;1," ",IF(K13&lt;1," ",(K13)/$AE13))</f>
        <v xml:space="preserve"> </v>
      </c>
      <c r="M13" s="388"/>
      <c r="N13" s="337" t="str">
        <f>IF($AE13&lt;1," ",IF(M13&lt;1," ",(M13)/$AE13))</f>
        <v xml:space="preserve"> </v>
      </c>
      <c r="O13" s="388"/>
      <c r="P13" s="337" t="str">
        <f>IF($AE13&lt;1," ",IF(O13&lt;1," ",(O13)/$AE13))</f>
        <v xml:space="preserve"> </v>
      </c>
      <c r="Q13" s="388"/>
      <c r="R13" s="524" t="str">
        <f>IF($AE13&lt;1," ",IF(Q13&lt;1," ",(Q13)/$AE13))</f>
        <v xml:space="preserve"> </v>
      </c>
      <c r="S13" s="388"/>
      <c r="T13" s="337" t="str">
        <f>IF($AE13&lt;1," ",IF(S13&lt;1," ",(S13)/$AE13))</f>
        <v xml:space="preserve"> </v>
      </c>
      <c r="U13" s="388"/>
      <c r="V13" s="337" t="str">
        <f>IF($AE13&lt;1," ",IF(U13&lt;1," ",(U13)/$AE13))</f>
        <v xml:space="preserve"> </v>
      </c>
      <c r="W13" s="388"/>
      <c r="X13" s="337" t="str">
        <f>IF($AE13&lt;1," ",IF(W13&lt;1," ",(W13)/$AE13))</f>
        <v xml:space="preserve"> </v>
      </c>
      <c r="Y13" s="388"/>
      <c r="Z13" s="337" t="str">
        <f>IF($AE13&lt;1," ",IF(Y13&lt;1," ",(Y13)/$AE13))</f>
        <v xml:space="preserve"> </v>
      </c>
      <c r="AA13" s="388"/>
      <c r="AB13" s="337" t="str">
        <f>IF($AE13&lt;1," ",IF(AA13&lt;1," ",(AA13)/$AE13))</f>
        <v xml:space="preserve"> </v>
      </c>
      <c r="AC13" s="1534">
        <f t="shared" si="0"/>
        <v>0</v>
      </c>
      <c r="AD13" s="377">
        <f>+E13+G13+I13+K13+M13+O13+Q13+S13+U13+W13+Y13+AA13+AC13</f>
        <v>0</v>
      </c>
      <c r="AE13" s="377">
        <f>'2nd Interim-Summary MYP'!J16</f>
        <v>0</v>
      </c>
      <c r="AF13" s="377">
        <f>+AE13-AD13</f>
        <v>0</v>
      </c>
      <c r="AG13" s="1177"/>
    </row>
    <row r="14" spans="1:33" ht="15">
      <c r="A14" s="402" t="s">
        <v>304</v>
      </c>
      <c r="B14" s="145"/>
      <c r="C14" s="275" t="s">
        <v>99</v>
      </c>
      <c r="D14" s="1044"/>
      <c r="E14" s="376"/>
      <c r="F14" s="524" t="str">
        <f>IF($AE14&lt;1," ",IF(E14&lt;1," ",(E14)/$AE14))</f>
        <v xml:space="preserve"> </v>
      </c>
      <c r="G14" s="388"/>
      <c r="H14" s="524" t="str">
        <f>IF($AE14&lt;1," ",IF(G14&lt;1," ",(G14)/$AE14))</f>
        <v xml:space="preserve"> </v>
      </c>
      <c r="I14" s="388"/>
      <c r="J14" s="524" t="str">
        <f>IF($AE14&lt;1," ",IF(I14&lt;1," ",(I14)/$AE14))</f>
        <v xml:space="preserve"> </v>
      </c>
      <c r="K14" s="388"/>
      <c r="L14" s="524" t="str">
        <f>IF($AE14&lt;1," ",IF(K14&lt;1," ",(K14)/$AE14))</f>
        <v xml:space="preserve"> </v>
      </c>
      <c r="M14" s="388"/>
      <c r="N14" s="337" t="str">
        <f>IF($AE14&lt;1," ",IF(M14&lt;1," ",(M14)/$AE14))</f>
        <v xml:space="preserve"> </v>
      </c>
      <c r="O14" s="388"/>
      <c r="P14" s="337" t="str">
        <f>IF($AE14&lt;1," ",IF(O14&lt;1," ",(O14)/$AE14))</f>
        <v xml:space="preserve"> </v>
      </c>
      <c r="Q14" s="388"/>
      <c r="R14" s="524" t="str">
        <f>IF($AE14&lt;1," ",IF(Q14&lt;1," ",(Q14)/$AE14))</f>
        <v xml:space="preserve"> </v>
      </c>
      <c r="S14" s="388"/>
      <c r="T14" s="337" t="str">
        <f>IF($AE14&lt;1," ",IF(S14&lt;1," ",(S14)/$AE14))</f>
        <v xml:space="preserve"> </v>
      </c>
      <c r="U14" s="388"/>
      <c r="V14" s="337" t="str">
        <f>IF($AE14&lt;1," ",IF(U14&lt;1," ",(U14)/$AE14))</f>
        <v xml:space="preserve"> </v>
      </c>
      <c r="W14" s="388"/>
      <c r="X14" s="337" t="str">
        <f>IF($AE14&lt;1," ",IF(W14&lt;1," ",(W14)/$AE14))</f>
        <v xml:space="preserve"> </v>
      </c>
      <c r="Y14" s="388"/>
      <c r="Z14" s="337" t="str">
        <f>IF($AE14&lt;1," ",IF(Y14&lt;1," ",(Y14)/$AE14))</f>
        <v xml:space="preserve"> </v>
      </c>
      <c r="AA14" s="388"/>
      <c r="AB14" s="337" t="str">
        <f>IF($AE14&lt;1," ",IF(AA14&lt;1," ",(AA14)/$AE14))</f>
        <v xml:space="preserve"> </v>
      </c>
      <c r="AC14" s="1534">
        <f t="shared" si="0"/>
        <v>0</v>
      </c>
      <c r="AD14" s="377">
        <f>+E14+G14+I14+K14+M14+O14+Q14+S14+U14+W14+Y14+AA14+AC14</f>
        <v>0</v>
      </c>
      <c r="AE14" s="377">
        <f>'2nd Interim-Summary MYP'!J17</f>
        <v>0</v>
      </c>
      <c r="AF14" s="377">
        <f t="shared" ref="AF14:AF22" si="1">+AE14-AD14</f>
        <v>0</v>
      </c>
      <c r="AG14" s="1177"/>
    </row>
    <row r="15" spans="1:33" ht="15">
      <c r="A15" s="403" t="s">
        <v>305</v>
      </c>
      <c r="B15" s="139"/>
      <c r="C15" s="139"/>
      <c r="D15" s="1044"/>
      <c r="E15" s="505"/>
      <c r="F15" s="524"/>
      <c r="G15" s="389"/>
      <c r="H15" s="524"/>
      <c r="I15" s="389"/>
      <c r="J15" s="524"/>
      <c r="K15" s="389"/>
      <c r="L15" s="524"/>
      <c r="M15" s="389"/>
      <c r="N15" s="337"/>
      <c r="O15" s="389"/>
      <c r="P15" s="337"/>
      <c r="Q15" s="389"/>
      <c r="R15" s="524"/>
      <c r="S15" s="389"/>
      <c r="T15" s="337"/>
      <c r="U15" s="389"/>
      <c r="V15" s="337"/>
      <c r="W15" s="389"/>
      <c r="X15" s="337"/>
      <c r="Y15" s="389"/>
      <c r="Z15" s="337"/>
      <c r="AA15" s="389"/>
      <c r="AB15" s="337"/>
      <c r="AC15" s="1535"/>
      <c r="AD15" s="377"/>
      <c r="AE15" s="377"/>
      <c r="AF15" s="377"/>
      <c r="AG15" s="1177"/>
    </row>
    <row r="16" spans="1:33" ht="15">
      <c r="A16" s="403"/>
      <c r="B16" s="139" t="s">
        <v>306</v>
      </c>
      <c r="C16" s="275">
        <v>8560</v>
      </c>
      <c r="D16" s="1044"/>
      <c r="E16" s="376"/>
      <c r="F16" s="524" t="e">
        <f>IF($AE16&lt;1," ",IF(E16&lt;1," ",(E16)/$AE16))</f>
        <v>#VALUE!</v>
      </c>
      <c r="G16" s="388"/>
      <c r="H16" s="524" t="e">
        <f>IF($AE16&lt;1," ",IF(G16&lt;1," ",(G16)/$AE16))</f>
        <v>#VALUE!</v>
      </c>
      <c r="I16" s="388"/>
      <c r="J16" s="524" t="e">
        <f>IF($AE16&lt;1," ",IF(I16&lt;1," ",(I16)/$AE16))</f>
        <v>#VALUE!</v>
      </c>
      <c r="K16" s="388"/>
      <c r="L16" s="524" t="e">
        <f>IF($AE16&lt;1," ",IF(K16&lt;1," ",(K16)/$AE16))</f>
        <v>#VALUE!</v>
      </c>
      <c r="M16" s="388"/>
      <c r="N16" s="337" t="e">
        <f>IF($AE16&lt;1," ",IF(M16&lt;1," ",(M16)/$AE16))</f>
        <v>#VALUE!</v>
      </c>
      <c r="O16" s="388"/>
      <c r="P16" s="337" t="e">
        <f>IF($AE16&lt;1," ",IF(O16&lt;1," ",(O16)/$AE16))</f>
        <v>#VALUE!</v>
      </c>
      <c r="Q16" s="388"/>
      <c r="R16" s="524" t="e">
        <f>IF($AE16&lt;1," ",IF(Q16&lt;1," ",(Q16)/$AE16))</f>
        <v>#VALUE!</v>
      </c>
      <c r="S16" s="388"/>
      <c r="T16" s="337" t="e">
        <f>IF($AE16&lt;1," ",IF(S16&lt;1," ",(S16)/$AE16))</f>
        <v>#VALUE!</v>
      </c>
      <c r="U16" s="388"/>
      <c r="V16" s="337" t="e">
        <f>IF($AE16&lt;1," ",IF(U16&lt;1," ",(U16)/$AE16))</f>
        <v>#VALUE!</v>
      </c>
      <c r="W16" s="388"/>
      <c r="X16" s="337" t="e">
        <f>IF($AE16&lt;1," ",IF(W16&lt;1," ",(W16)/$AE16))</f>
        <v>#VALUE!</v>
      </c>
      <c r="Y16" s="388"/>
      <c r="Z16" s="337" t="e">
        <f>IF($AE16&lt;1," ",IF(Y16&lt;1," ",(Y16)/$AE16))</f>
        <v>#VALUE!</v>
      </c>
      <c r="AA16" s="388"/>
      <c r="AB16" s="337" t="e">
        <f>IF($AE16&lt;1," ",IF(AA16&lt;1," ",(AA16)/$AE16))</f>
        <v>#VALUE!</v>
      </c>
      <c r="AC16" s="1534" t="e">
        <f t="shared" si="0"/>
        <v>#VALUE!</v>
      </c>
      <c r="AD16" s="377" t="e">
        <f>+E16+G16+I16+K16+M16+O16+Q16+S16+U16+W16+Y16+AA16+AC16</f>
        <v>#VALUE!</v>
      </c>
      <c r="AE16" s="377" t="e">
        <f>'2nd Interim-Summary MYP'!J19</f>
        <v>#VALUE!</v>
      </c>
      <c r="AF16" s="377" t="e">
        <f t="shared" si="1"/>
        <v>#VALUE!</v>
      </c>
      <c r="AG16" s="1177"/>
    </row>
    <row r="17" spans="1:33" ht="15">
      <c r="A17" s="403"/>
      <c r="B17" s="139" t="s">
        <v>307</v>
      </c>
      <c r="C17" s="275">
        <v>8560</v>
      </c>
      <c r="D17" s="1044"/>
      <c r="E17" s="376"/>
      <c r="F17" s="524" t="e">
        <f>IF($AE17&lt;1," ",IF(E17&lt;1," ",(E17)/$AE17))</f>
        <v>#VALUE!</v>
      </c>
      <c r="G17" s="388"/>
      <c r="H17" s="524" t="e">
        <f>IF($AE17&lt;1," ",IF(G17&lt;1," ",(G17)/$AE17))</f>
        <v>#VALUE!</v>
      </c>
      <c r="I17" s="388"/>
      <c r="J17" s="524" t="e">
        <f>IF($AE17&lt;1," ",IF(I17&lt;1," ",(I17)/$AE17))</f>
        <v>#VALUE!</v>
      </c>
      <c r="K17" s="388"/>
      <c r="L17" s="524" t="e">
        <f>IF($AE17&lt;1," ",IF(K17&lt;1," ",(K17)/$AE17))</f>
        <v>#VALUE!</v>
      </c>
      <c r="M17" s="388"/>
      <c r="N17" s="337" t="e">
        <f>IF($AE17&lt;1," ",IF(M17&lt;1," ",(M17)/$AE17))</f>
        <v>#VALUE!</v>
      </c>
      <c r="O17" s="388"/>
      <c r="P17" s="337" t="e">
        <f>IF($AE17&lt;1," ",IF(O17&lt;1," ",(O17)/$AE17))</f>
        <v>#VALUE!</v>
      </c>
      <c r="Q17" s="388"/>
      <c r="R17" s="524" t="e">
        <f>IF($AE17&lt;1," ",IF(Q17&lt;1," ",(Q17)/$AE17))</f>
        <v>#VALUE!</v>
      </c>
      <c r="S17" s="388"/>
      <c r="T17" s="337" t="e">
        <f>IF($AE17&lt;1," ",IF(S17&lt;1," ",(S17)/$AE17))</f>
        <v>#VALUE!</v>
      </c>
      <c r="U17" s="388"/>
      <c r="V17" s="337" t="e">
        <f>IF($AE17&lt;1," ",IF(U17&lt;1," ",(U17)/$AE17))</f>
        <v>#VALUE!</v>
      </c>
      <c r="W17" s="388"/>
      <c r="X17" s="337" t="e">
        <f>IF($AE17&lt;1," ",IF(W17&lt;1," ",(W17)/$AE17))</f>
        <v>#VALUE!</v>
      </c>
      <c r="Y17" s="388"/>
      <c r="Z17" s="337" t="e">
        <f>IF($AE17&lt;1," ",IF(Y17&lt;1," ",(Y17)/$AE17))</f>
        <v>#VALUE!</v>
      </c>
      <c r="AA17" s="388"/>
      <c r="AB17" s="337" t="e">
        <f>IF($AE17&lt;1," ",IF(AA17&lt;1," ",(AA17)/$AE17))</f>
        <v>#VALUE!</v>
      </c>
      <c r="AC17" s="1534" t="e">
        <f t="shared" si="0"/>
        <v>#VALUE!</v>
      </c>
      <c r="AD17" s="377" t="e">
        <f>+E17+G17+I17+K17+M17+O17+Q17+S17+U17+W17+Y17+AA17+AC17</f>
        <v>#VALUE!</v>
      </c>
      <c r="AE17" s="377" t="e">
        <f>'2nd Interim-Summary MYP'!J20</f>
        <v>#VALUE!</v>
      </c>
      <c r="AF17" s="377" t="e">
        <f>+AE17-AD17</f>
        <v>#VALUE!</v>
      </c>
      <c r="AG17" s="1177"/>
    </row>
    <row r="18" spans="1:33" ht="15">
      <c r="A18" s="403"/>
      <c r="B18" s="139" t="s">
        <v>308</v>
      </c>
      <c r="C18" s="275" t="s">
        <v>100</v>
      </c>
      <c r="D18" s="1044"/>
      <c r="E18" s="376"/>
      <c r="F18" s="524" t="str">
        <f>IF($AE18&lt;1," ",IF(E18&lt;1," ",(E18)/$AE18))</f>
        <v xml:space="preserve"> </v>
      </c>
      <c r="G18" s="388"/>
      <c r="H18" s="524" t="str">
        <f>IF($AE18&lt;1," ",IF(G18&lt;1," ",(G18)/$AE18))</f>
        <v xml:space="preserve"> </v>
      </c>
      <c r="I18" s="388"/>
      <c r="J18" s="524" t="str">
        <f>IF($AE18&lt;1," ",IF(I18&lt;1," ",(I18)/$AE18))</f>
        <v xml:space="preserve"> </v>
      </c>
      <c r="K18" s="388"/>
      <c r="L18" s="524" t="str">
        <f>IF($AE18&lt;1," ",IF(K18&lt;1," ",(K18)/$AE18))</f>
        <v xml:space="preserve"> </v>
      </c>
      <c r="M18" s="388"/>
      <c r="N18" s="337" t="str">
        <f>IF($AE18&lt;1," ",IF(M18&lt;1," ",(M18)/$AE18))</f>
        <v xml:space="preserve"> </v>
      </c>
      <c r="O18" s="388"/>
      <c r="P18" s="337" t="str">
        <f>IF($AE18&lt;1," ",IF(O18&lt;1," ",(O18)/$AE18))</f>
        <v xml:space="preserve"> </v>
      </c>
      <c r="Q18" s="388"/>
      <c r="R18" s="524" t="str">
        <f>IF($AE18&lt;1," ",IF(Q18&lt;1," ",(Q18)/$AE18))</f>
        <v xml:space="preserve"> </v>
      </c>
      <c r="S18" s="388"/>
      <c r="T18" s="337" t="str">
        <f>IF($AE18&lt;1," ",IF(S18&lt;1," ",(S18)/$AE18))</f>
        <v xml:space="preserve"> </v>
      </c>
      <c r="U18" s="388"/>
      <c r="V18" s="337" t="str">
        <f>IF($AE18&lt;1," ",IF(U18&lt;1," ",(U18)/$AE18))</f>
        <v xml:space="preserve"> </v>
      </c>
      <c r="W18" s="388"/>
      <c r="X18" s="337" t="str">
        <f>IF($AE18&lt;1," ",IF(W18&lt;1," ",(W18)/$AE18))</f>
        <v xml:space="preserve"> </v>
      </c>
      <c r="Y18" s="388"/>
      <c r="Z18" s="337" t="str">
        <f>IF($AE18&lt;1," ",IF(Y18&lt;1," ",(Y18)/$AE18))</f>
        <v xml:space="preserve"> </v>
      </c>
      <c r="AA18" s="388"/>
      <c r="AB18" s="337" t="str">
        <f>IF($AE18&lt;1," ",IF(AA18&lt;1," ",(AA18)/$AE18))</f>
        <v xml:space="preserve"> </v>
      </c>
      <c r="AC18" s="1534">
        <f t="shared" si="0"/>
        <v>0</v>
      </c>
      <c r="AD18" s="377">
        <f>+E18+G18+I18+K18+M18+O18+Q18+S18+U18+W18+Y18+AA18+AC18</f>
        <v>0</v>
      </c>
      <c r="AE18" s="377">
        <f>'2nd Interim-Summary MYP'!J21</f>
        <v>0</v>
      </c>
      <c r="AF18" s="377">
        <f t="shared" si="1"/>
        <v>0</v>
      </c>
      <c r="AG18" s="1177"/>
    </row>
    <row r="19" spans="1:33" ht="15">
      <c r="A19" s="403" t="s">
        <v>309</v>
      </c>
      <c r="B19" s="139"/>
      <c r="C19" s="139"/>
      <c r="D19" s="1044"/>
      <c r="E19" s="505"/>
      <c r="F19" s="524"/>
      <c r="G19" s="389"/>
      <c r="H19" s="524"/>
      <c r="I19" s="389"/>
      <c r="J19" s="524"/>
      <c r="K19" s="389"/>
      <c r="L19" s="524"/>
      <c r="M19" s="389"/>
      <c r="N19" s="337"/>
      <c r="O19" s="389"/>
      <c r="P19" s="337"/>
      <c r="Q19" s="389"/>
      <c r="R19" s="524"/>
      <c r="S19" s="389"/>
      <c r="T19" s="337"/>
      <c r="U19" s="389"/>
      <c r="V19" s="337"/>
      <c r="W19" s="389"/>
      <c r="X19" s="337"/>
      <c r="Y19" s="389"/>
      <c r="Z19" s="337"/>
      <c r="AA19" s="389"/>
      <c r="AB19" s="337"/>
      <c r="AC19" s="1535"/>
      <c r="AD19" s="377"/>
      <c r="AE19" s="377"/>
      <c r="AF19" s="377"/>
      <c r="AG19" s="1177"/>
    </row>
    <row r="20" spans="1:33" ht="15">
      <c r="A20" s="403"/>
      <c r="B20" s="139" t="s">
        <v>236</v>
      </c>
      <c r="C20" s="275">
        <v>8660</v>
      </c>
      <c r="D20" s="1044"/>
      <c r="E20" s="376"/>
      <c r="F20" s="524" t="str">
        <f>IF($AE20&lt;1," ",IF(E20&lt;1," ",(E20)/$AE20))</f>
        <v xml:space="preserve"> </v>
      </c>
      <c r="G20" s="388"/>
      <c r="H20" s="524" t="str">
        <f>IF($AE20&lt;1," ",IF(G20&lt;1," ",(G20)/$AE20))</f>
        <v xml:space="preserve"> </v>
      </c>
      <c r="I20" s="388"/>
      <c r="J20" s="524" t="str">
        <f>IF($AE20&lt;1," ",IF(I20&lt;1," ",(I20)/$AE20))</f>
        <v xml:space="preserve"> </v>
      </c>
      <c r="K20" s="388"/>
      <c r="L20" s="524" t="str">
        <f>IF($AE20&lt;1," ",IF(K20&lt;1," ",(K20)/$AE20))</f>
        <v xml:space="preserve"> </v>
      </c>
      <c r="M20" s="388"/>
      <c r="N20" s="337" t="str">
        <f>IF($AE20&lt;1," ",IF(M20&lt;1," ",(M20)/$AE20))</f>
        <v xml:space="preserve"> </v>
      </c>
      <c r="O20" s="388"/>
      <c r="P20" s="337" t="str">
        <f>IF($AE20&lt;1," ",IF(O20&lt;1," ",(O20)/$AE20))</f>
        <v xml:space="preserve"> </v>
      </c>
      <c r="Q20" s="388"/>
      <c r="R20" s="524" t="str">
        <f>IF($AE20&lt;1," ",IF(Q20&lt;1," ",(Q20)/$AE20))</f>
        <v xml:space="preserve"> </v>
      </c>
      <c r="S20" s="388"/>
      <c r="T20" s="337" t="str">
        <f>IF($AE20&lt;1," ",IF(S20&lt;1," ",(S20)/$AE20))</f>
        <v xml:space="preserve"> </v>
      </c>
      <c r="U20" s="388"/>
      <c r="V20" s="337" t="str">
        <f>IF($AE20&lt;1," ",IF(U20&lt;1," ",(U20)/$AE20))</f>
        <v xml:space="preserve"> </v>
      </c>
      <c r="W20" s="388"/>
      <c r="X20" s="337" t="str">
        <f>IF($AE20&lt;1," ",IF(W20&lt;1," ",(W20)/$AE20))</f>
        <v xml:space="preserve"> </v>
      </c>
      <c r="Y20" s="388"/>
      <c r="Z20" s="337" t="str">
        <f>IF($AE20&lt;1," ",IF(Y20&lt;1," ",(Y20)/$AE20))</f>
        <v xml:space="preserve"> </v>
      </c>
      <c r="AA20" s="388"/>
      <c r="AB20" s="337" t="str">
        <f>IF($AE20&lt;1," ",IF(AA20&lt;1," ",(AA20)/$AE20))</f>
        <v xml:space="preserve"> </v>
      </c>
      <c r="AC20" s="1534">
        <f t="shared" si="0"/>
        <v>0</v>
      </c>
      <c r="AD20" s="377">
        <f>+E20+G20+I20+K20+M20+O20+Q20+S20+U20+W20+Y20+AA20+AC20</f>
        <v>0</v>
      </c>
      <c r="AE20" s="377">
        <f>'2nd Interim-Summary MYP'!J23</f>
        <v>0</v>
      </c>
      <c r="AF20" s="377">
        <f t="shared" si="1"/>
        <v>0</v>
      </c>
      <c r="AG20" s="1177"/>
    </row>
    <row r="21" spans="1:33" ht="15">
      <c r="A21" s="403"/>
      <c r="B21" s="139" t="s">
        <v>310</v>
      </c>
      <c r="C21" s="275">
        <v>8792</v>
      </c>
      <c r="D21" s="1044"/>
      <c r="E21" s="376"/>
      <c r="F21" s="524" t="str">
        <f>IF($AE21&lt;1," ",IF(E21&lt;1," ",(E21)/$AE21))</f>
        <v xml:space="preserve"> </v>
      </c>
      <c r="G21" s="388"/>
      <c r="H21" s="524" t="str">
        <f>IF($AE21&lt;1," ",IF(G21&lt;1," ",(G21)/$AE21))</f>
        <v xml:space="preserve"> </v>
      </c>
      <c r="I21" s="388"/>
      <c r="J21" s="524" t="str">
        <f>IF($AE21&lt;1," ",IF(I21&lt;1," ",(I21)/$AE21))</f>
        <v xml:space="preserve"> </v>
      </c>
      <c r="K21" s="388"/>
      <c r="L21" s="524" t="str">
        <f>IF($AE21&lt;1," ",IF(K21&lt;1," ",(K21)/$AE21))</f>
        <v xml:space="preserve"> </v>
      </c>
      <c r="M21" s="388"/>
      <c r="N21" s="337" t="str">
        <f>IF($AE21&lt;1," ",IF(M21&lt;1," ",(M21)/$AE21))</f>
        <v xml:space="preserve"> </v>
      </c>
      <c r="O21" s="388"/>
      <c r="P21" s="337" t="str">
        <f>IF($AE21&lt;1," ",IF(O21&lt;1," ",(O21)/$AE21))</f>
        <v xml:space="preserve"> </v>
      </c>
      <c r="Q21" s="388"/>
      <c r="R21" s="524" t="str">
        <f>IF($AE21&lt;1," ",IF(Q21&lt;1," ",(Q21)/$AE21))</f>
        <v xml:space="preserve"> </v>
      </c>
      <c r="S21" s="388"/>
      <c r="T21" s="337" t="str">
        <f>IF($AE21&lt;1," ",IF(S21&lt;1," ",(S21)/$AE21))</f>
        <v xml:space="preserve"> </v>
      </c>
      <c r="U21" s="388"/>
      <c r="V21" s="337" t="str">
        <f>IF($AE21&lt;1," ",IF(U21&lt;1," ",(U21)/$AE21))</f>
        <v xml:space="preserve"> </v>
      </c>
      <c r="W21" s="388"/>
      <c r="X21" s="337" t="str">
        <f>IF($AE21&lt;1," ",IF(W21&lt;1," ",(W21)/$AE21))</f>
        <v xml:space="preserve"> </v>
      </c>
      <c r="Y21" s="388"/>
      <c r="Z21" s="337" t="str">
        <f>IF($AE21&lt;1," ",IF(Y21&lt;1," ",(Y21)/$AE21))</f>
        <v xml:space="preserve"> </v>
      </c>
      <c r="AA21" s="388"/>
      <c r="AB21" s="337" t="str">
        <f>IF($AE21&lt;1," ",IF(AA21&lt;1," ",(AA21)/$AE21))</f>
        <v xml:space="preserve"> </v>
      </c>
      <c r="AC21" s="1534">
        <f t="shared" si="0"/>
        <v>0</v>
      </c>
      <c r="AD21" s="377">
        <f>+E21+G21+I21+K21+M21+O21+Q21+S21+U21+W21+Y21+AA21+AC21</f>
        <v>0</v>
      </c>
      <c r="AE21" s="377">
        <f>'2nd Interim-Summary MYP'!J24</f>
        <v>0</v>
      </c>
      <c r="AF21" s="377">
        <f t="shared" si="1"/>
        <v>0</v>
      </c>
      <c r="AG21" s="1177"/>
    </row>
    <row r="22" spans="1:33" ht="15">
      <c r="A22" s="403"/>
      <c r="B22" s="139" t="s">
        <v>311</v>
      </c>
      <c r="C22" s="275" t="s">
        <v>101</v>
      </c>
      <c r="D22" s="1044"/>
      <c r="E22" s="376"/>
      <c r="F22" s="524" t="str">
        <f>IF($AE22&lt;1," ",IF(E22&lt;1," ",(E22)/$AE22))</f>
        <v xml:space="preserve"> </v>
      </c>
      <c r="G22" s="388"/>
      <c r="H22" s="524" t="str">
        <f>IF($AE22&lt;1," ",IF(G22&lt;1," ",(G22)/$AE22))</f>
        <v xml:space="preserve"> </v>
      </c>
      <c r="I22" s="388"/>
      <c r="J22" s="524" t="str">
        <f>IF($AE22&lt;1," ",IF(I22&lt;1," ",(I22)/$AE22))</f>
        <v xml:space="preserve"> </v>
      </c>
      <c r="K22" s="388"/>
      <c r="L22" s="524" t="str">
        <f>IF($AE22&lt;1," ",IF(K22&lt;1," ",(K22)/$AE22))</f>
        <v xml:space="preserve"> </v>
      </c>
      <c r="M22" s="388"/>
      <c r="N22" s="337" t="str">
        <f>IF($AE22&lt;1," ",IF(M22&lt;1," ",(M22)/$AE22))</f>
        <v xml:space="preserve"> </v>
      </c>
      <c r="O22" s="388"/>
      <c r="P22" s="337" t="str">
        <f>IF($AE22&lt;1," ",IF(O22&lt;1," ",(O22)/$AE22))</f>
        <v xml:space="preserve"> </v>
      </c>
      <c r="Q22" s="388"/>
      <c r="R22" s="524" t="str">
        <f>IF($AE22&lt;1," ",IF(Q22&lt;1," ",(Q22)/$AE22))</f>
        <v xml:space="preserve"> </v>
      </c>
      <c r="S22" s="388"/>
      <c r="T22" s="337" t="str">
        <f>IF($AE22&lt;1," ",IF(S22&lt;1," ",(S22)/$AE22))</f>
        <v xml:space="preserve"> </v>
      </c>
      <c r="U22" s="388"/>
      <c r="V22" s="337" t="str">
        <f>IF($AE22&lt;1," ",IF(U22&lt;1," ",(U22)/$AE22))</f>
        <v xml:space="preserve"> </v>
      </c>
      <c r="W22" s="388"/>
      <c r="X22" s="337" t="str">
        <f>IF($AE22&lt;1," ",IF(W22&lt;1," ",(W22)/$AE22))</f>
        <v xml:space="preserve"> </v>
      </c>
      <c r="Y22" s="388"/>
      <c r="Z22" s="337" t="str">
        <f>IF($AE22&lt;1," ",IF(Y22&lt;1," ",(Y22)/$AE22))</f>
        <v xml:space="preserve"> </v>
      </c>
      <c r="AA22" s="388"/>
      <c r="AB22" s="337" t="str">
        <f>IF($AE22&lt;1," ",IF(AA22&lt;1," ",(AA22)/$AE22))</f>
        <v xml:space="preserve"> </v>
      </c>
      <c r="AC22" s="1534">
        <f t="shared" si="0"/>
        <v>0</v>
      </c>
      <c r="AD22" s="377">
        <f>+E22+G22+I22+K22+M22+O22+Q22+S22+U22+W22+Y22+AA22+AC22</f>
        <v>0</v>
      </c>
      <c r="AE22" s="377">
        <f>'2nd Interim-Summary MYP'!J25</f>
        <v>0</v>
      </c>
      <c r="AF22" s="377">
        <f t="shared" si="1"/>
        <v>0</v>
      </c>
      <c r="AG22" s="1177"/>
    </row>
    <row r="23" spans="1:33" ht="15.4" thickBot="1">
      <c r="A23" s="1043" t="s">
        <v>312</v>
      </c>
      <c r="B23" s="367"/>
      <c r="C23" s="70"/>
      <c r="D23" s="1049"/>
      <c r="E23" s="762">
        <f>SUM(E10:E22)</f>
        <v>0</v>
      </c>
      <c r="F23" s="526" t="e">
        <f>IF($AE23&lt;1," ",IF(E23&lt;1," ",(E23)/$AE23))</f>
        <v>#VALUE!</v>
      </c>
      <c r="G23" s="761">
        <f>SUM(G10:G22)</f>
        <v>0</v>
      </c>
      <c r="H23" s="526" t="e">
        <f>IF($AE23&lt;1," ",IF(G23&lt;1," ",(G23)/$AE23))</f>
        <v>#VALUE!</v>
      </c>
      <c r="I23" s="761">
        <f>SUM(I10:I22)</f>
        <v>0</v>
      </c>
      <c r="J23" s="526" t="e">
        <f>IF($AE23&lt;1," ",IF(I23&lt;1," ",(I23)/$AE23))</f>
        <v>#VALUE!</v>
      </c>
      <c r="K23" s="761">
        <f>SUM(K10:K22)</f>
        <v>0</v>
      </c>
      <c r="L23" s="526" t="e">
        <f>IF($AE23&lt;1," ",IF(K23&lt;1," ",(K23)/$AE23))</f>
        <v>#VALUE!</v>
      </c>
      <c r="M23" s="761">
        <f>SUM(M10:M22)</f>
        <v>0</v>
      </c>
      <c r="N23" s="382" t="e">
        <f>IF($AE23&lt;1," ",IF(M23&lt;1," ",(M23)/$AE23))</f>
        <v>#VALUE!</v>
      </c>
      <c r="O23" s="761">
        <f>SUM(O10:O22)</f>
        <v>0</v>
      </c>
      <c r="P23" s="382" t="e">
        <f>IF($AE23&lt;1," ",IF(O23&lt;1," ",(O23)/$AE23))</f>
        <v>#VALUE!</v>
      </c>
      <c r="Q23" s="761">
        <f>SUM(Q10:Q22)</f>
        <v>0</v>
      </c>
      <c r="R23" s="526" t="e">
        <f>IF($AE23&lt;1," ",IF(Q23&lt;1," ",(Q23)/$AE23))</f>
        <v>#VALUE!</v>
      </c>
      <c r="S23" s="761">
        <f>SUM(S10:S22)</f>
        <v>0</v>
      </c>
      <c r="T23" s="382" t="e">
        <f>IF($AE23&lt;1," ",IF(S23&lt;1," ",(S23)/$AE23))</f>
        <v>#VALUE!</v>
      </c>
      <c r="U23" s="761">
        <f>SUM(U10:U22)</f>
        <v>0</v>
      </c>
      <c r="V23" s="382" t="e">
        <f>IF($AE23&lt;1," ",IF(U23&lt;1," ",(U23)/$AE23))</f>
        <v>#VALUE!</v>
      </c>
      <c r="W23" s="761">
        <f>SUM(W10:W22)</f>
        <v>0</v>
      </c>
      <c r="X23" s="382" t="e">
        <f>IF($AE23&lt;1," ",IF(W23&lt;1," ",(W23)/$AE23))</f>
        <v>#VALUE!</v>
      </c>
      <c r="Y23" s="761">
        <f>SUM(Y10:Y22)</f>
        <v>0</v>
      </c>
      <c r="Z23" s="382" t="e">
        <f>IF($AE23&lt;1," ",IF(Y23&lt;1," ",(Y23)/$AE23))</f>
        <v>#VALUE!</v>
      </c>
      <c r="AA23" s="761">
        <f>SUM(AA10:AA22)</f>
        <v>0</v>
      </c>
      <c r="AB23" s="382" t="e">
        <f>IF($AE23&lt;1," ",IF(AA23&lt;1," ",(AA23)/$AE23))</f>
        <v>#VALUE!</v>
      </c>
      <c r="AC23" s="1536" t="e">
        <f>SUM(AC10:AC22)</f>
        <v>#VALUE!</v>
      </c>
      <c r="AD23" s="763" t="e">
        <f>SUM(AD10:AD22)</f>
        <v>#VALUE!</v>
      </c>
      <c r="AE23" s="763" t="e">
        <f>SUM(AE10:AE22)</f>
        <v>#VALUE!</v>
      </c>
      <c r="AF23" s="763" t="e">
        <f>SUM(AF10:AF22)</f>
        <v>#VALUE!</v>
      </c>
      <c r="AG23" s="1177"/>
    </row>
    <row r="24" spans="1:33" ht="15">
      <c r="A24" s="68"/>
      <c r="B24" s="181"/>
      <c r="C24" s="23"/>
      <c r="D24" s="520"/>
      <c r="E24" s="73"/>
      <c r="F24" s="192"/>
      <c r="G24" s="73"/>
      <c r="H24" s="192"/>
      <c r="I24" s="73"/>
      <c r="J24" s="192"/>
      <c r="K24" s="73"/>
      <c r="L24" s="1035"/>
      <c r="M24" s="1036"/>
      <c r="N24" s="192"/>
      <c r="O24" s="73"/>
      <c r="P24" s="192"/>
      <c r="Q24" s="73"/>
      <c r="R24" s="1035"/>
      <c r="S24" s="1036"/>
      <c r="T24" s="192"/>
      <c r="U24" s="73"/>
      <c r="V24" s="192"/>
      <c r="W24" s="73"/>
      <c r="X24" s="192"/>
      <c r="Y24" s="73"/>
      <c r="Z24" s="192"/>
      <c r="AA24" s="73"/>
      <c r="AB24" s="192"/>
      <c r="AC24" s="1006"/>
      <c r="AD24" s="1006"/>
      <c r="AE24" s="1006"/>
      <c r="AF24" s="1022"/>
      <c r="AG24" s="1177"/>
    </row>
    <row r="25" spans="1:33" ht="15">
      <c r="A25" s="66" t="s">
        <v>3</v>
      </c>
      <c r="B25" s="179"/>
      <c r="C25" s="371"/>
      <c r="D25" s="1047"/>
      <c r="E25" s="518"/>
      <c r="F25" s="478"/>
      <c r="G25" s="518"/>
      <c r="H25" s="478"/>
      <c r="I25" s="518"/>
      <c r="J25" s="478"/>
      <c r="K25" s="518"/>
      <c r="L25" s="1037"/>
      <c r="M25" s="1038"/>
      <c r="N25" s="478"/>
      <c r="O25" s="518"/>
      <c r="P25" s="478"/>
      <c r="Q25" s="518"/>
      <c r="R25" s="1037"/>
      <c r="S25" s="1038"/>
      <c r="T25" s="478"/>
      <c r="U25" s="518"/>
      <c r="V25" s="478"/>
      <c r="W25" s="518"/>
      <c r="X25" s="478"/>
      <c r="Y25" s="518"/>
      <c r="Z25" s="478"/>
      <c r="AA25" s="518"/>
      <c r="AB25" s="478"/>
      <c r="AC25" s="1010"/>
      <c r="AD25" s="1010"/>
      <c r="AE25" s="1010"/>
      <c r="AF25" s="1018"/>
      <c r="AG25" s="1177"/>
    </row>
    <row r="26" spans="1:33" ht="15">
      <c r="A26" s="403" t="s">
        <v>4</v>
      </c>
      <c r="B26" s="139"/>
      <c r="C26" s="275" t="s">
        <v>102</v>
      </c>
      <c r="D26" s="1044"/>
      <c r="E26" s="376"/>
      <c r="F26" s="524" t="str">
        <f>IF($AE$26&lt;1," ",IF(E26&lt;1," ",(E26)/$AE$26))</f>
        <v xml:space="preserve"> </v>
      </c>
      <c r="G26" s="388"/>
      <c r="H26" s="524" t="str">
        <f>IF($AE$26&lt;1," ",IF(G26&lt;1," ",(G26)/$AE$26))</f>
        <v xml:space="preserve"> </v>
      </c>
      <c r="I26" s="388"/>
      <c r="J26" s="524" t="str">
        <f>IF($AE$26&lt;1," ",IF(I26&lt;1," ",(I26)/$AE$26))</f>
        <v xml:space="preserve"> </v>
      </c>
      <c r="K26" s="388"/>
      <c r="L26" s="524" t="str">
        <f>IF($AE$26&lt;1," ",IF(K26&lt;1," ",(K26)/$AE$26))</f>
        <v xml:space="preserve"> </v>
      </c>
      <c r="M26" s="388"/>
      <c r="N26" s="337" t="str">
        <f>IF($AE$26&lt;1," ",IF(M26&lt;1," ",(M26)/$AE$26))</f>
        <v xml:space="preserve"> </v>
      </c>
      <c r="O26" s="388"/>
      <c r="P26" s="524" t="str">
        <f>IF($AE$26&lt;1," ",IF(O26&lt;1," ",(O26)/$AE$26))</f>
        <v xml:space="preserve"> </v>
      </c>
      <c r="Q26" s="388"/>
      <c r="R26" s="524" t="str">
        <f>IF($AE$26&lt;1," ",IF(Q26&lt;1," ",(Q26)/$AE$26))</f>
        <v xml:space="preserve"> </v>
      </c>
      <c r="S26" s="388"/>
      <c r="T26" s="337" t="str">
        <f>IF($AE$26&lt;1," ",IF(S26&lt;1," ",(S26)/$AE$26))</f>
        <v xml:space="preserve"> </v>
      </c>
      <c r="U26" s="388"/>
      <c r="V26" s="337" t="str">
        <f>IF($AE$26&lt;1," ",IF(U26&lt;1," ",(U26)/$AE$26))</f>
        <v xml:space="preserve"> </v>
      </c>
      <c r="W26" s="388"/>
      <c r="X26" s="337" t="str">
        <f>IF($AE$26&lt;1," ",IF(W26&lt;1," ",(W26)/$AE$26))</f>
        <v xml:space="preserve"> </v>
      </c>
      <c r="Y26" s="388"/>
      <c r="Z26" s="337" t="str">
        <f>IF($AE$26&lt;1," ",IF(Y26&lt;1," ",(Y26)/$AE$26))</f>
        <v xml:space="preserve"> </v>
      </c>
      <c r="AA26" s="388"/>
      <c r="AB26" s="337" t="str">
        <f>IF($AE$26&lt;1," ",IF(AA26&lt;1," ",(AA26)/$AE$26))</f>
        <v xml:space="preserve"> </v>
      </c>
      <c r="AC26" s="1537">
        <f t="shared" ref="AC26:AC34" si="2">AE26-(E26+G26+I26+K26+M26+O26+Q26+S26+U26+W26+Y26+AA26)</f>
        <v>0</v>
      </c>
      <c r="AD26" s="385">
        <f t="shared" ref="AD26:AD34" si="3">+E26+G26+I26+K26+M26+O26+Q26+S26+U26+W26+Y26+AA26+AC26</f>
        <v>0</v>
      </c>
      <c r="AE26" s="385">
        <f>'2nd Interim-Summary MYP'!J29</f>
        <v>0</v>
      </c>
      <c r="AF26" s="385">
        <f t="shared" ref="AF26:AF34" si="4">+AE26-AD26</f>
        <v>0</v>
      </c>
      <c r="AG26" s="1177"/>
    </row>
    <row r="27" spans="1:33" ht="15">
      <c r="A27" s="403" t="s">
        <v>23</v>
      </c>
      <c r="B27" s="139"/>
      <c r="C27" s="275" t="s">
        <v>103</v>
      </c>
      <c r="D27" s="1044"/>
      <c r="E27" s="376"/>
      <c r="F27" s="524" t="str">
        <f>IF($AE$27&lt;1," ",IF(E27&lt;1," ",(E27)/$AE$27))</f>
        <v xml:space="preserve"> </v>
      </c>
      <c r="G27" s="388"/>
      <c r="H27" s="524" t="str">
        <f>IF($AE$27&lt;1," ",IF(G27&lt;1," ",(G27)/$AE$27))</f>
        <v xml:space="preserve"> </v>
      </c>
      <c r="I27" s="388"/>
      <c r="J27" s="524" t="str">
        <f>IF($AE$27&lt;1," ",IF(I27&lt;1," ",(I27)/$AE$27))</f>
        <v xml:space="preserve"> </v>
      </c>
      <c r="K27" s="388"/>
      <c r="L27" s="524" t="str">
        <f>IF($AE$27&lt;1," ",IF(K27&lt;1," ",(K27)/$AE$27))</f>
        <v xml:space="preserve"> </v>
      </c>
      <c r="M27" s="388"/>
      <c r="N27" s="337" t="str">
        <f>IF($AE$27&lt;1," ",IF(M27&lt;1," ",(M27)/$AE$27))</f>
        <v xml:space="preserve"> </v>
      </c>
      <c r="O27" s="388"/>
      <c r="P27" s="524" t="str">
        <f>IF($AE$27&lt;1," ",IF(O27&lt;1," ",(O27)/$AE$27))</f>
        <v xml:space="preserve"> </v>
      </c>
      <c r="Q27" s="388"/>
      <c r="R27" s="524" t="str">
        <f>IF($AE$27&lt;1," ",IF(Q27&lt;1," ",(Q27)/$AE$27))</f>
        <v xml:space="preserve"> </v>
      </c>
      <c r="S27" s="388"/>
      <c r="T27" s="337" t="str">
        <f>IF($AE$27&lt;1," ",IF(S27&lt;1," ",(S27)/$AE$27))</f>
        <v xml:space="preserve"> </v>
      </c>
      <c r="U27" s="388"/>
      <c r="V27" s="337" t="str">
        <f>IF($AE$27&lt;1," ",IF(U27&lt;1," ",(U27)/$AE$27))</f>
        <v xml:space="preserve"> </v>
      </c>
      <c r="W27" s="388"/>
      <c r="X27" s="337" t="str">
        <f>IF($AE$27&lt;1," ",IF(W27&lt;1," ",(W27)/$AE$27))</f>
        <v xml:space="preserve"> </v>
      </c>
      <c r="Y27" s="388"/>
      <c r="Z27" s="337" t="str">
        <f>IF($AE$27&lt;1," ",IF(Y27&lt;1," ",(Y27)/$AE$27))</f>
        <v xml:space="preserve"> </v>
      </c>
      <c r="AA27" s="388"/>
      <c r="AB27" s="337" t="str">
        <f>IF($AE$27&lt;1," ",IF(AA27&lt;1," ",(AA27)/$AE$27))</f>
        <v xml:space="preserve"> </v>
      </c>
      <c r="AC27" s="1537">
        <f t="shared" si="2"/>
        <v>0</v>
      </c>
      <c r="AD27" s="385">
        <f t="shared" si="3"/>
        <v>0</v>
      </c>
      <c r="AE27" s="385">
        <f>'2nd Interim-Summary MYP'!J30</f>
        <v>0</v>
      </c>
      <c r="AF27" s="385">
        <f t="shared" si="4"/>
        <v>0</v>
      </c>
      <c r="AG27" s="1177"/>
    </row>
    <row r="28" spans="1:33" ht="15">
      <c r="A28" s="403" t="s">
        <v>24</v>
      </c>
      <c r="B28" s="139"/>
      <c r="C28" s="275" t="s">
        <v>104</v>
      </c>
      <c r="D28" s="1044"/>
      <c r="E28" s="376"/>
      <c r="F28" s="524" t="str">
        <f>IF($AE$28&lt;1," ",IF(E28&lt;1," ",(E28)/$AE$28))</f>
        <v xml:space="preserve"> </v>
      </c>
      <c r="G28" s="388"/>
      <c r="H28" s="524" t="str">
        <f>IF($AE$28&lt;1," ",IF(G28&lt;1," ",(G28)/$AE$28))</f>
        <v xml:space="preserve"> </v>
      </c>
      <c r="I28" s="388"/>
      <c r="J28" s="524" t="str">
        <f>IF($AE$28&lt;1," ",IF(I28&lt;1," ",(I28)/$AE$28))</f>
        <v xml:space="preserve"> </v>
      </c>
      <c r="K28" s="388"/>
      <c r="L28" s="524" t="str">
        <f>IF($AE$28&lt;1," ",IF(K28&lt;1," ",(K28)/$AE$28))</f>
        <v xml:space="preserve"> </v>
      </c>
      <c r="M28" s="388"/>
      <c r="N28" s="337" t="str">
        <f>IF($AE$28&lt;1," ",IF(M28&lt;1," ",(M28)/$AE$28))</f>
        <v xml:space="preserve"> </v>
      </c>
      <c r="O28" s="388"/>
      <c r="P28" s="524" t="str">
        <f>IF($AE$28&lt;1," ",IF(O28&lt;1," ",(O28)/$AE$28))</f>
        <v xml:space="preserve"> </v>
      </c>
      <c r="Q28" s="388"/>
      <c r="R28" s="524" t="str">
        <f>IF($AE$28&lt;1," ",IF(Q28&lt;1," ",(Q28)/$AE$28))</f>
        <v xml:space="preserve"> </v>
      </c>
      <c r="S28" s="388"/>
      <c r="T28" s="337" t="str">
        <f>IF($AE$28&lt;1," ",IF(S28&lt;1," ",(S28)/$AE$28))</f>
        <v xml:space="preserve"> </v>
      </c>
      <c r="U28" s="388"/>
      <c r="V28" s="337" t="str">
        <f>IF($AE$28&lt;1," ",IF(U28&lt;1," ",(U28)/$AE$28))</f>
        <v xml:space="preserve"> </v>
      </c>
      <c r="W28" s="388"/>
      <c r="X28" s="337" t="str">
        <f>IF($AE$28&lt;1," ",IF(W28&lt;1," ",(W28)/$AE$28))</f>
        <v xml:space="preserve"> </v>
      </c>
      <c r="Y28" s="388"/>
      <c r="Z28" s="337" t="str">
        <f>IF($AE$28&lt;1," ",IF(Y28&lt;1," ",(Y28)/$AE$28))</f>
        <v xml:space="preserve"> </v>
      </c>
      <c r="AA28" s="388"/>
      <c r="AB28" s="337" t="str">
        <f>IF($AE$28&lt;1," ",IF(AA28&lt;1," ",(AA28)/$AE$28))</f>
        <v xml:space="preserve"> </v>
      </c>
      <c r="AC28" s="1537">
        <f t="shared" si="2"/>
        <v>0</v>
      </c>
      <c r="AD28" s="385">
        <f t="shared" si="3"/>
        <v>0</v>
      </c>
      <c r="AE28" s="385">
        <f>'2nd Interim-Summary MYP'!J31</f>
        <v>0</v>
      </c>
      <c r="AF28" s="385">
        <f t="shared" si="4"/>
        <v>0</v>
      </c>
      <c r="AG28" s="1177"/>
    </row>
    <row r="29" spans="1:33" ht="15">
      <c r="A29" s="403" t="s">
        <v>25</v>
      </c>
      <c r="B29" s="139"/>
      <c r="C29" s="275" t="s">
        <v>105</v>
      </c>
      <c r="D29" s="1044"/>
      <c r="E29" s="376"/>
      <c r="F29" s="524" t="str">
        <f>IF($AE$29&lt;1," ",IF(E29&lt;1," ",(E29)/$AE$29))</f>
        <v xml:space="preserve"> </v>
      </c>
      <c r="G29" s="388"/>
      <c r="H29" s="524" t="str">
        <f>IF($AE$29&lt;1," ",IF(G29&lt;1," ",(G29)/$AE$29))</f>
        <v xml:space="preserve"> </v>
      </c>
      <c r="I29" s="388"/>
      <c r="J29" s="524" t="str">
        <f>IF($AE$29&lt;1," ",IF(I29&lt;1," ",(I29)/$AE$29))</f>
        <v xml:space="preserve"> </v>
      </c>
      <c r="K29" s="388"/>
      <c r="L29" s="524" t="str">
        <f>IF($AE$29&lt;1," ",IF(K29&lt;1," ",(K29)/$AE$29))</f>
        <v xml:space="preserve"> </v>
      </c>
      <c r="M29" s="388"/>
      <c r="N29" s="337" t="str">
        <f>IF($AE$29&lt;1," ",IF(M29&lt;1," ",(M29)/$AE$29))</f>
        <v xml:space="preserve"> </v>
      </c>
      <c r="O29" s="388"/>
      <c r="P29" s="524" t="str">
        <f>IF($AE$29&lt;1," ",IF(O29&lt;1," ",(O29)/$AE$29))</f>
        <v xml:space="preserve"> </v>
      </c>
      <c r="Q29" s="388"/>
      <c r="R29" s="524" t="str">
        <f>IF($AE$29&lt;1," ",IF(Q29&lt;1," ",(Q29)/$AE$29))</f>
        <v xml:space="preserve"> </v>
      </c>
      <c r="S29" s="388"/>
      <c r="T29" s="337" t="str">
        <f>IF($AE$29&lt;1," ",IF(S29&lt;1," ",(S29)/$AE$29))</f>
        <v xml:space="preserve"> </v>
      </c>
      <c r="U29" s="388"/>
      <c r="V29" s="337" t="str">
        <f>IF($AE$29&lt;1," ",IF(U29&lt;1," ",(U29)/$AE$29))</f>
        <v xml:space="preserve"> </v>
      </c>
      <c r="W29" s="388"/>
      <c r="X29" s="337" t="str">
        <f>IF($AE$29&lt;1," ",IF(W29&lt;1," ",(W29)/$AE$29))</f>
        <v xml:space="preserve"> </v>
      </c>
      <c r="Y29" s="388"/>
      <c r="Z29" s="337" t="str">
        <f>IF($AE$29&lt;1," ",IF(Y29&lt;1," ",(Y29)/$AE$29))</f>
        <v xml:space="preserve"> </v>
      </c>
      <c r="AA29" s="388"/>
      <c r="AB29" s="337" t="str">
        <f>IF($AE$29&lt;1," ",IF(AA29&lt;1," ",(AA29)/$AE$29))</f>
        <v xml:space="preserve"> </v>
      </c>
      <c r="AC29" s="1537">
        <f t="shared" si="2"/>
        <v>0</v>
      </c>
      <c r="AD29" s="385">
        <f t="shared" si="3"/>
        <v>0</v>
      </c>
      <c r="AE29" s="385">
        <f>'2nd Interim-Summary MYP'!J32</f>
        <v>0</v>
      </c>
      <c r="AF29" s="385">
        <f t="shared" si="4"/>
        <v>0</v>
      </c>
      <c r="AG29" s="1177"/>
    </row>
    <row r="30" spans="1:33" ht="15">
      <c r="A30" s="403" t="s">
        <v>26</v>
      </c>
      <c r="B30" s="139"/>
      <c r="C30" s="275" t="s">
        <v>106</v>
      </c>
      <c r="D30" s="1044"/>
      <c r="E30" s="376"/>
      <c r="F30" s="524" t="str">
        <f>IF($AE$30&lt;1," ",IF(E30&lt;1," ",(E30)/$AE$30))</f>
        <v xml:space="preserve"> </v>
      </c>
      <c r="G30" s="388"/>
      <c r="H30" s="524" t="str">
        <f>IF($AE$30&lt;1," ",IF(G30&lt;1," ",(G30)/$AE$30))</f>
        <v xml:space="preserve"> </v>
      </c>
      <c r="I30" s="388"/>
      <c r="J30" s="524" t="str">
        <f>IF($AE$30&lt;1," ",IF(I30&lt;1," ",(I30)/$AE$30))</f>
        <v xml:space="preserve"> </v>
      </c>
      <c r="K30" s="388"/>
      <c r="L30" s="524" t="str">
        <f>IF($AE$30&lt;1," ",IF(K30&lt;1," ",(K30)/$AE$30))</f>
        <v xml:space="preserve"> </v>
      </c>
      <c r="M30" s="388"/>
      <c r="N30" s="337" t="str">
        <f>IF($AE$30&lt;1," ",IF(M30&lt;1," ",(M30)/$AE$30))</f>
        <v xml:space="preserve"> </v>
      </c>
      <c r="O30" s="388"/>
      <c r="P30" s="524" t="str">
        <f>IF($AE$30&lt;1," ",IF(O30&lt;1," ",(O30)/$AE$30))</f>
        <v xml:space="preserve"> </v>
      </c>
      <c r="Q30" s="388"/>
      <c r="R30" s="524" t="str">
        <f>IF($AE$30&lt;1," ",IF(Q30&lt;1," ",(Q30)/$AE$30))</f>
        <v xml:space="preserve"> </v>
      </c>
      <c r="S30" s="388"/>
      <c r="T30" s="337" t="str">
        <f>IF($AE$30&lt;1," ",IF(S30&lt;1," ",(S30)/$AE$30))</f>
        <v xml:space="preserve"> </v>
      </c>
      <c r="U30" s="388"/>
      <c r="V30" s="337" t="str">
        <f>IF($AE$30&lt;1," ",IF(U30&lt;1," ",(U30)/$AE$30))</f>
        <v xml:space="preserve"> </v>
      </c>
      <c r="W30" s="388"/>
      <c r="X30" s="337" t="str">
        <f>IF($AE$30&lt;1," ",IF(W30&lt;1," ",(W30)/$AE$30))</f>
        <v xml:space="preserve"> </v>
      </c>
      <c r="Y30" s="388"/>
      <c r="Z30" s="337" t="str">
        <f>IF($AE$30&lt;1," ",IF(Y30&lt;1," ",(Y30)/$AE$30))</f>
        <v xml:space="preserve"> </v>
      </c>
      <c r="AA30" s="388"/>
      <c r="AB30" s="337" t="str">
        <f>IF($AE$30&lt;1," ",IF(AA30&lt;1," ",(AA30)/$AE$30))</f>
        <v xml:space="preserve"> </v>
      </c>
      <c r="AC30" s="1537">
        <f t="shared" si="2"/>
        <v>0</v>
      </c>
      <c r="AD30" s="385">
        <f t="shared" si="3"/>
        <v>0</v>
      </c>
      <c r="AE30" s="385">
        <f>'2nd Interim-Summary MYP'!J33</f>
        <v>0</v>
      </c>
      <c r="AF30" s="385">
        <f t="shared" si="4"/>
        <v>0</v>
      </c>
      <c r="AG30" s="1177"/>
    </row>
    <row r="31" spans="1:33" ht="15">
      <c r="A31" s="403" t="s">
        <v>508</v>
      </c>
      <c r="B31" s="139"/>
      <c r="C31" s="275" t="s">
        <v>107</v>
      </c>
      <c r="D31" s="1044"/>
      <c r="E31" s="376"/>
      <c r="F31" s="524" t="str">
        <f>IF($AE$31&lt;1," ",IF(E31&lt;1," ",(E31)/$AE$31))</f>
        <v xml:space="preserve"> </v>
      </c>
      <c r="G31" s="388"/>
      <c r="H31" s="524" t="str">
        <f>IF($AE$31&lt;1," ",IF(G31&lt;1," ",(G31)/$AE$31))</f>
        <v xml:space="preserve"> </v>
      </c>
      <c r="I31" s="388"/>
      <c r="J31" s="524" t="str">
        <f>IF($AE$31&lt;1," ",IF(I31&lt;1," ",(I31)/$AE$31))</f>
        <v xml:space="preserve"> </v>
      </c>
      <c r="K31" s="388"/>
      <c r="L31" s="524" t="str">
        <f>IF($AE$31&lt;1," ",IF(K31&lt;1," ",(K31)/$AE$31))</f>
        <v xml:space="preserve"> </v>
      </c>
      <c r="M31" s="388"/>
      <c r="N31" s="337" t="str">
        <f>IF($AE$31&lt;1," ",IF(M31&lt;1," ",(M31)/$AE$31))</f>
        <v xml:space="preserve"> </v>
      </c>
      <c r="O31" s="388"/>
      <c r="P31" s="524" t="str">
        <f>IF($AE$31&lt;1," ",IF(O31&lt;1," ",(O31)/$AE$31))</f>
        <v xml:space="preserve"> </v>
      </c>
      <c r="Q31" s="388"/>
      <c r="R31" s="524" t="str">
        <f>IF($AE$31&lt;1," ",IF(Q31&lt;1," ",(Q31)/$AE$31))</f>
        <v xml:space="preserve"> </v>
      </c>
      <c r="S31" s="388"/>
      <c r="T31" s="337" t="str">
        <f>IF($AE$31&lt;1," ",IF(S31&lt;1," ",(S31)/$AE$31))</f>
        <v xml:space="preserve"> </v>
      </c>
      <c r="U31" s="388"/>
      <c r="V31" s="337" t="str">
        <f>IF($AE$31&lt;1," ",IF(U31&lt;1," ",(U31)/$AE$31))</f>
        <v xml:space="preserve"> </v>
      </c>
      <c r="W31" s="388"/>
      <c r="X31" s="337" t="str">
        <f>IF($AE$31&lt;1," ",IF(W31&lt;1," ",(W31)/$AE$31))</f>
        <v xml:space="preserve"> </v>
      </c>
      <c r="Y31" s="388"/>
      <c r="Z31" s="337" t="str">
        <f>IF($AE$31&lt;1," ",IF(Y31&lt;1," ",(Y31)/$AE$31))</f>
        <v xml:space="preserve"> </v>
      </c>
      <c r="AA31" s="388"/>
      <c r="AB31" s="337" t="str">
        <f>IF($AE$31&lt;1," ",IF(AA31&lt;1," ",(AA31)/$AE$31))</f>
        <v xml:space="preserve"> </v>
      </c>
      <c r="AC31" s="1537">
        <f t="shared" si="2"/>
        <v>0</v>
      </c>
      <c r="AD31" s="385">
        <f t="shared" si="3"/>
        <v>0</v>
      </c>
      <c r="AE31" s="385">
        <f>'2nd Interim-Summary MYP'!J34</f>
        <v>0</v>
      </c>
      <c r="AF31" s="385">
        <f t="shared" si="4"/>
        <v>0</v>
      </c>
      <c r="AG31" s="1177"/>
    </row>
    <row r="32" spans="1:33" ht="15">
      <c r="A32" s="274" t="s">
        <v>507</v>
      </c>
      <c r="B32" s="139"/>
      <c r="C32" s="275">
        <v>6900</v>
      </c>
      <c r="D32" s="1044"/>
      <c r="E32" s="376"/>
      <c r="F32" s="524" t="str">
        <f>IF($AE$32&lt;1," ",IF(E32&lt;1," ",(E32)/$AE$32))</f>
        <v xml:space="preserve"> </v>
      </c>
      <c r="G32" s="388"/>
      <c r="H32" s="524" t="str">
        <f>IF($AE$32&lt;1," ",IF(G32&lt;1," ",(G32)/$AE$32))</f>
        <v xml:space="preserve"> </v>
      </c>
      <c r="I32" s="388"/>
      <c r="J32" s="524" t="str">
        <f>IF($AE$32&lt;1," ",IF(I32&lt;1," ",(I32)/$AE$32))</f>
        <v xml:space="preserve"> </v>
      </c>
      <c r="K32" s="388"/>
      <c r="L32" s="524" t="str">
        <f>IF($AE$32&lt;1," ",IF(K32&lt;1," ",(K32)/$AE$32))</f>
        <v xml:space="preserve"> </v>
      </c>
      <c r="M32" s="388"/>
      <c r="N32" s="337" t="str">
        <f>IF($AE$32&lt;1," ",IF(M32&lt;1," ",(M32)/$AE$32))</f>
        <v xml:space="preserve"> </v>
      </c>
      <c r="O32" s="388"/>
      <c r="P32" s="524" t="str">
        <f>IF($AE$32&lt;1," ",IF(O32&lt;1," ",(O32)/$AE$32))</f>
        <v xml:space="preserve"> </v>
      </c>
      <c r="Q32" s="388"/>
      <c r="R32" s="338" t="str">
        <f>IF($AE$32&lt;1," ",IF(Q32&lt;1," ",(Q32)/$AE$32))</f>
        <v xml:space="preserve"> </v>
      </c>
      <c r="S32" s="375"/>
      <c r="T32" s="337" t="str">
        <f>IF($AE$32&lt;1," ",IF(S32&lt;1," ",(S32)/$AE$32))</f>
        <v xml:space="preserve"> </v>
      </c>
      <c r="U32" s="388"/>
      <c r="V32" s="337" t="str">
        <f>IF($AE$32&lt;1," ",IF(U32&lt;1," ",(U32)/$AE$32))</f>
        <v xml:space="preserve"> </v>
      </c>
      <c r="W32" s="388"/>
      <c r="X32" s="337" t="str">
        <f>IF($AE$32&lt;1," ",IF(W32&lt;1," ",(W32)/$AE$32))</f>
        <v xml:space="preserve"> </v>
      </c>
      <c r="Y32" s="388"/>
      <c r="Z32" s="337" t="str">
        <f>IF($AE$32&lt;1," ",IF(Y32&lt;1," ",(Y32)/$AE$32))</f>
        <v xml:space="preserve"> </v>
      </c>
      <c r="AA32" s="388"/>
      <c r="AB32" s="337" t="str">
        <f>IF($AE$32&lt;1," ",IF(AA32&lt;1," ",(AA32)/$AE$32))</f>
        <v xml:space="preserve"> </v>
      </c>
      <c r="AC32" s="1537">
        <f>AE32-(E32+G32+I32+K32+M32+O32+Q32+S32+U32+W32+Y32+AA32)</f>
        <v>0</v>
      </c>
      <c r="AD32" s="385">
        <f>+E32+G32+I32+K32+M32+O32+Q32+S32+U32+W32+Y32+AA32+AC32</f>
        <v>0</v>
      </c>
      <c r="AE32" s="385">
        <f>'2nd Interim-Summary MYP'!J35</f>
        <v>0</v>
      </c>
      <c r="AF32" s="385">
        <f>+AE32-AD32</f>
        <v>0</v>
      </c>
      <c r="AG32" s="1177"/>
    </row>
    <row r="33" spans="1:34" ht="15">
      <c r="A33" s="403" t="s">
        <v>27</v>
      </c>
      <c r="B33" s="139"/>
      <c r="C33" s="275" t="s">
        <v>108</v>
      </c>
      <c r="D33" s="1044"/>
      <c r="E33" s="376"/>
      <c r="F33" s="524" t="str">
        <f>IF($AE$33&lt;1," ",IF(E33&lt;1," ",(E33)/$AE$33))</f>
        <v xml:space="preserve"> </v>
      </c>
      <c r="G33" s="388"/>
      <c r="H33" s="524" t="str">
        <f>IF($AE$33&lt;1," ",IF(G33&lt;1," ",(G33)/$AE$33))</f>
        <v xml:space="preserve"> </v>
      </c>
      <c r="I33" s="388"/>
      <c r="J33" s="524" t="str">
        <f>IF($AE$33&lt;1," ",IF(I33&lt;1," ",(I33)/$AE$33))</f>
        <v xml:space="preserve"> </v>
      </c>
      <c r="K33" s="388"/>
      <c r="L33" s="524" t="str">
        <f>IF($AE$33&lt;1," ",IF(K33&lt;1," ",(K33)/$AE$33))</f>
        <v xml:space="preserve"> </v>
      </c>
      <c r="M33" s="388"/>
      <c r="N33" s="337" t="str">
        <f>IF($AE$33&lt;1," ",IF(M33&lt;1," ",(M33)/$AE$33))</f>
        <v xml:space="preserve"> </v>
      </c>
      <c r="O33" s="388"/>
      <c r="P33" s="524" t="str">
        <f>IF($AE$33&lt;1," ",IF(O33&lt;1," ",(O33)/$AE$33))</f>
        <v xml:space="preserve"> </v>
      </c>
      <c r="Q33" s="388"/>
      <c r="R33" s="524" t="str">
        <f>IF($AE$33&lt;1," ",IF(Q33&lt;1," ",(Q33)/$AE$33))</f>
        <v xml:space="preserve"> </v>
      </c>
      <c r="S33" s="388"/>
      <c r="T33" s="337" t="str">
        <f>IF($AE$33&lt;1," ",IF(S33&lt;1," ",(S33)/$AE$33))</f>
        <v xml:space="preserve"> </v>
      </c>
      <c r="U33" s="388"/>
      <c r="V33" s="337" t="str">
        <f>IF($AE$33&lt;1," ",IF(U33&lt;1," ",(U33)/$AE$33))</f>
        <v xml:space="preserve"> </v>
      </c>
      <c r="W33" s="388"/>
      <c r="X33" s="337" t="str">
        <f>IF($AE$33&lt;1," ",IF(W33&lt;1," ",(W33)/$AE$33))</f>
        <v xml:space="preserve"> </v>
      </c>
      <c r="Y33" s="388"/>
      <c r="Z33" s="337" t="str">
        <f>IF($AE$33&lt;1," ",IF(Y33&lt;1," ",(Y33)/$AE$33))</f>
        <v xml:space="preserve"> </v>
      </c>
      <c r="AA33" s="388"/>
      <c r="AB33" s="337" t="str">
        <f>IF($AE$33&lt;1," ",IF(AA33&lt;1," ",(AA33)/$AE$33))</f>
        <v xml:space="preserve"> </v>
      </c>
      <c r="AC33" s="1537">
        <f t="shared" si="2"/>
        <v>0</v>
      </c>
      <c r="AD33" s="385">
        <f t="shared" si="3"/>
        <v>0</v>
      </c>
      <c r="AE33" s="385">
        <f>'2nd Interim-Summary MYP'!J36</f>
        <v>0</v>
      </c>
      <c r="AF33" s="385">
        <f t="shared" si="4"/>
        <v>0</v>
      </c>
      <c r="AG33" s="1177"/>
    </row>
    <row r="34" spans="1:34" ht="15">
      <c r="A34" s="403" t="s">
        <v>146</v>
      </c>
      <c r="B34" s="139"/>
      <c r="C34" s="275" t="s">
        <v>111</v>
      </c>
      <c r="D34" s="1044"/>
      <c r="E34" s="376"/>
      <c r="F34" s="524" t="str">
        <f>IF($AE34&lt;1," ",IF(E34&lt;1," ",(E34)/$AE34))</f>
        <v xml:space="preserve"> </v>
      </c>
      <c r="G34" s="388"/>
      <c r="H34" s="524" t="str">
        <f>IF($AE34&lt;1," ",IF(G34&lt;1," ",(G34)/$AE34))</f>
        <v xml:space="preserve"> </v>
      </c>
      <c r="I34" s="388"/>
      <c r="J34" s="524" t="str">
        <f>IF($AE34&lt;1," ",IF(I34&lt;1," ",(I34)/$AE34))</f>
        <v xml:space="preserve"> </v>
      </c>
      <c r="K34" s="388"/>
      <c r="L34" s="524" t="str">
        <f>IF($AE34&lt;1," ",IF(K34&lt;1," ",(K34)/$AE34))</f>
        <v xml:space="preserve"> </v>
      </c>
      <c r="M34" s="388"/>
      <c r="N34" s="337" t="str">
        <f>IF($AE34&lt;1," ",IF(M34&lt;1," ",(M34)/$AE34))</f>
        <v xml:space="preserve"> </v>
      </c>
      <c r="O34" s="388"/>
      <c r="P34" s="524" t="str">
        <f>IF($AE34&lt;1," ",IF(O34&lt;1," ",(O34)/$AE34))</f>
        <v xml:space="preserve"> </v>
      </c>
      <c r="Q34" s="388"/>
      <c r="R34" s="524" t="str">
        <f>IF($AE34&lt;1," ",IF(Q34&lt;1," ",(Q34)/$AE34))</f>
        <v xml:space="preserve"> </v>
      </c>
      <c r="S34" s="388"/>
      <c r="T34" s="337" t="str">
        <f>IF($AE34&lt;1," ",IF(S34&lt;1," ",(S34)/$AE34))</f>
        <v xml:space="preserve"> </v>
      </c>
      <c r="U34" s="388"/>
      <c r="V34" s="337" t="str">
        <f>IF($AE34&lt;1," ",IF(U34&lt;1," ",(U34)/$AE34))</f>
        <v xml:space="preserve"> </v>
      </c>
      <c r="W34" s="388"/>
      <c r="X34" s="337" t="str">
        <f>IF($AE34&lt;1," ",IF(W34&lt;1," ",(W34)/$AE34))</f>
        <v xml:space="preserve"> </v>
      </c>
      <c r="Y34" s="388"/>
      <c r="Z34" s="337" t="str">
        <f>IF($AE34&lt;1," ",IF(Y34&lt;1," ",(Y34)/$AE34))</f>
        <v xml:space="preserve"> </v>
      </c>
      <c r="AA34" s="388"/>
      <c r="AB34" s="337" t="str">
        <f>IF($AE34&lt;1," ",IF(AA34&lt;1," ",(AA34)/$AE34))</f>
        <v xml:space="preserve"> </v>
      </c>
      <c r="AC34" s="1537">
        <f t="shared" si="2"/>
        <v>0</v>
      </c>
      <c r="AD34" s="385">
        <f t="shared" si="3"/>
        <v>0</v>
      </c>
      <c r="AE34" s="385">
        <f>'2nd Interim-Summary MYP'!J37</f>
        <v>0</v>
      </c>
      <c r="AF34" s="385">
        <f t="shared" si="4"/>
        <v>0</v>
      </c>
      <c r="AG34" s="1177"/>
    </row>
    <row r="35" spans="1:34" ht="15.4" thickBot="1">
      <c r="A35" s="405" t="s">
        <v>28</v>
      </c>
      <c r="B35" s="380"/>
      <c r="C35" s="381"/>
      <c r="D35" s="1049"/>
      <c r="E35" s="762">
        <f>+SUM(E26:E34)</f>
        <v>0</v>
      </c>
      <c r="F35" s="525" t="str">
        <f>IF($AE35&lt;1," ",IF(E35&lt;1," ",(E35)/$AE35))</f>
        <v xml:space="preserve"> </v>
      </c>
      <c r="G35" s="761">
        <f>+SUM(G26:G34)</f>
        <v>0</v>
      </c>
      <c r="H35" s="525" t="str">
        <f>IF($AE35&lt;1," ",IF(G35&lt;1," ",(G35)/$AE35))</f>
        <v xml:space="preserve"> </v>
      </c>
      <c r="I35" s="761">
        <f>+SUM(I26:I34)</f>
        <v>0</v>
      </c>
      <c r="J35" s="525" t="str">
        <f>IF($AE35&lt;1," ",IF(I35&lt;1," ",(I35)/$AE35))</f>
        <v xml:space="preserve"> </v>
      </c>
      <c r="K35" s="761">
        <f>+SUM(K26:K34)</f>
        <v>0</v>
      </c>
      <c r="L35" s="525" t="str">
        <f>IF($AE35&lt;1," ",IF(K35&lt;1," ",(K35)/$AE35))</f>
        <v xml:space="preserve"> </v>
      </c>
      <c r="M35" s="761">
        <f>+SUM(M26:M34)</f>
        <v>0</v>
      </c>
      <c r="N35" s="386" t="str">
        <f>IF($AE35&lt;1," ",IF(M35&lt;1," ",(M35)/$AE35))</f>
        <v xml:space="preserve"> </v>
      </c>
      <c r="O35" s="761">
        <f>+SUM(O26:O34)</f>
        <v>0</v>
      </c>
      <c r="P35" s="525" t="str">
        <f>IF($AE35&lt;1," ",IF(O35&lt;1," ",(O35)/$AE35))</f>
        <v xml:space="preserve"> </v>
      </c>
      <c r="Q35" s="761">
        <f>+SUM(Q26:Q34)</f>
        <v>0</v>
      </c>
      <c r="R35" s="525" t="str">
        <f>IF($AE35&lt;1," ",IF(Q35&lt;1," ",(Q35)/$AE35))</f>
        <v xml:space="preserve"> </v>
      </c>
      <c r="S35" s="761">
        <f>+SUM(S26:S34)</f>
        <v>0</v>
      </c>
      <c r="T35" s="386" t="str">
        <f>IF($AE35&lt;1," ",IF(S35&lt;1," ",(S35)/$AE35))</f>
        <v xml:space="preserve"> </v>
      </c>
      <c r="U35" s="761">
        <f>+SUM(U26:U34)</f>
        <v>0</v>
      </c>
      <c r="V35" s="386" t="str">
        <f>IF($AE35&lt;1," ",IF(U35&lt;1," ",(U35)/$AE35))</f>
        <v xml:space="preserve"> </v>
      </c>
      <c r="W35" s="761">
        <f>+SUM(W26:W34)</f>
        <v>0</v>
      </c>
      <c r="X35" s="386" t="str">
        <f>IF($AE35&lt;1," ",IF(W35&lt;1," ",(W35)/$AE35))</f>
        <v xml:space="preserve"> </v>
      </c>
      <c r="Y35" s="761">
        <f>+SUM(Y26:Y34)</f>
        <v>0</v>
      </c>
      <c r="Z35" s="386" t="str">
        <f>IF($AE35&lt;1," ",IF(Y35&lt;1," ",(Y35)/$AE35))</f>
        <v xml:space="preserve"> </v>
      </c>
      <c r="AA35" s="761">
        <f>+SUM(AA26:AA34)</f>
        <v>0</v>
      </c>
      <c r="AB35" s="386" t="str">
        <f>IF($AE35&lt;1," ",IF(AA35&lt;1," ",(AA35)/$AE35))</f>
        <v xml:space="preserve"> </v>
      </c>
      <c r="AC35" s="1536">
        <f>+SUM(AC26:AC34)</f>
        <v>0</v>
      </c>
      <c r="AD35" s="763">
        <f>+SUM(AD26:AD34)</f>
        <v>0</v>
      </c>
      <c r="AE35" s="763">
        <f>+SUM(AE26:AE34)</f>
        <v>0</v>
      </c>
      <c r="AF35" s="763">
        <f>+SUM(AF26:AF34)</f>
        <v>0</v>
      </c>
      <c r="AG35" s="1177"/>
    </row>
    <row r="36" spans="1:34" ht="15">
      <c r="A36" s="406"/>
      <c r="B36" s="369"/>
      <c r="C36" s="71"/>
      <c r="D36" s="520"/>
      <c r="E36" s="75"/>
      <c r="F36" s="193"/>
      <c r="G36" s="75"/>
      <c r="H36" s="193"/>
      <c r="I36" s="75"/>
      <c r="J36" s="193"/>
      <c r="K36" s="75"/>
      <c r="L36" s="1039"/>
      <c r="M36" s="1040"/>
      <c r="N36" s="193"/>
      <c r="O36" s="75"/>
      <c r="P36" s="193"/>
      <c r="Q36" s="75"/>
      <c r="R36" s="1039"/>
      <c r="S36" s="1040"/>
      <c r="T36" s="193"/>
      <c r="U36" s="75"/>
      <c r="V36" s="193"/>
      <c r="W36" s="75"/>
      <c r="X36" s="193"/>
      <c r="Y36" s="75"/>
      <c r="Z36" s="193"/>
      <c r="AA36" s="75"/>
      <c r="AB36" s="193"/>
      <c r="AC36" s="1006"/>
      <c r="AD36" s="1006"/>
      <c r="AE36" s="1006"/>
      <c r="AF36" s="1022"/>
      <c r="AG36" s="1177"/>
    </row>
    <row r="37" spans="1:34" ht="15">
      <c r="A37" s="66" t="s">
        <v>109</v>
      </c>
      <c r="B37" s="179"/>
      <c r="C37" s="371"/>
      <c r="D37" s="1047"/>
      <c r="E37" s="516"/>
      <c r="F37" s="478"/>
      <c r="G37" s="516"/>
      <c r="H37" s="478"/>
      <c r="I37" s="516"/>
      <c r="J37" s="478"/>
      <c r="K37" s="516"/>
      <c r="L37" s="1037"/>
      <c r="M37" s="1041"/>
      <c r="N37" s="478"/>
      <c r="O37" s="516"/>
      <c r="P37" s="478"/>
      <c r="Q37" s="516"/>
      <c r="R37" s="1037"/>
      <c r="S37" s="1041"/>
      <c r="T37" s="478"/>
      <c r="U37" s="516"/>
      <c r="V37" s="478"/>
      <c r="W37" s="516"/>
      <c r="X37" s="478"/>
      <c r="Y37" s="516"/>
      <c r="Z37" s="478"/>
      <c r="AA37" s="516"/>
      <c r="AB37" s="478"/>
      <c r="AC37" s="1010"/>
      <c r="AD37" s="1010"/>
      <c r="AE37" s="1010"/>
      <c r="AF37" s="1018"/>
      <c r="AG37" s="1177"/>
    </row>
    <row r="38" spans="1:34" ht="15">
      <c r="A38" s="403" t="s">
        <v>124</v>
      </c>
      <c r="B38" s="139"/>
      <c r="C38" s="275">
        <v>8900</v>
      </c>
      <c r="D38" s="1050"/>
      <c r="E38" s="376"/>
      <c r="F38" s="524" t="str">
        <f>IF($AE38&lt;1," ",IF(E38&lt;1," ",(E38)/$AE38))</f>
        <v xml:space="preserve"> </v>
      </c>
      <c r="G38" s="388"/>
      <c r="H38" s="524" t="str">
        <f>IF($AE38&lt;1," ",IF(G38&lt;1," ",(G38)/$AE38))</f>
        <v xml:space="preserve"> </v>
      </c>
      <c r="I38" s="388"/>
      <c r="J38" s="524" t="str">
        <f>IF($AE38&lt;1," ",IF(I38&lt;1," ",(I38)/$AE38))</f>
        <v xml:space="preserve"> </v>
      </c>
      <c r="K38" s="388"/>
      <c r="L38" s="524" t="str">
        <f>IF($AE38&lt;1," ",IF(K38&lt;1," ",(K38)/$AE38))</f>
        <v xml:space="preserve"> </v>
      </c>
      <c r="M38" s="388"/>
      <c r="N38" s="337" t="str">
        <f>IF($AE38&lt;1," ",IF(M38&lt;1," ",(M38)/$AE38))</f>
        <v xml:space="preserve"> </v>
      </c>
      <c r="O38" s="388"/>
      <c r="P38" s="337" t="str">
        <f>IF($AE38&lt;1," ",IF(O38&lt;1," ",(O38)/$AE38))</f>
        <v xml:space="preserve"> </v>
      </c>
      <c r="Q38" s="388"/>
      <c r="R38" s="524" t="str">
        <f>IF($AE38&lt;1," ",IF(Q38&lt;1," ",(Q38)/$AE38))</f>
        <v xml:space="preserve"> </v>
      </c>
      <c r="S38" s="388"/>
      <c r="T38" s="337" t="str">
        <f>IF($AE38&lt;1," ",IF(S38&lt;1," ",(S38)/$AE38))</f>
        <v xml:space="preserve"> </v>
      </c>
      <c r="U38" s="388"/>
      <c r="V38" s="337" t="str">
        <f>IF($AE38&lt;1," ",IF(U38&lt;1," ",(U38)/$AE38))</f>
        <v xml:space="preserve"> </v>
      </c>
      <c r="W38" s="388"/>
      <c r="X38" s="337" t="str">
        <f>IF($AE38&lt;1," ",IF(W38&lt;1," ",(W38)/$AE38))</f>
        <v xml:space="preserve"> </v>
      </c>
      <c r="Y38" s="388"/>
      <c r="Z38" s="337" t="str">
        <f>IF($AE38&lt;1," ",IF(Y38&lt;1," ",(Y38)/$AE38))</f>
        <v xml:space="preserve"> </v>
      </c>
      <c r="AA38" s="388"/>
      <c r="AB38" s="337" t="str">
        <f>IF($AE38&lt;1," ",IF(AA38&lt;1," ",(AA38)/$AE38))</f>
        <v xml:space="preserve"> </v>
      </c>
      <c r="AC38" s="1537">
        <f>AE38-(E38+G38+I38+K38+M38+O38+Q38+S38+U38+W38+Y38+AA38)</f>
        <v>0</v>
      </c>
      <c r="AD38" s="385">
        <f>+E38+G38+I38+K38+M38+O38+Q38+S38+U38+W38+Y38+AA38+AC38</f>
        <v>0</v>
      </c>
      <c r="AE38" s="385">
        <f>'2nd Interim-Summary MYP'!J43</f>
        <v>0</v>
      </c>
      <c r="AF38" s="385">
        <f>+AE38-AD38</f>
        <v>0</v>
      </c>
      <c r="AG38" s="1177"/>
    </row>
    <row r="39" spans="1:34" ht="15">
      <c r="A39" s="403" t="s">
        <v>30</v>
      </c>
      <c r="B39" s="139"/>
      <c r="C39" s="275">
        <v>7600</v>
      </c>
      <c r="D39" s="1050"/>
      <c r="E39" s="376"/>
      <c r="F39" s="524" t="str">
        <f>IF($AE39&lt;1," ",IF(E39&lt;1," ",(E39)/$AE39))</f>
        <v xml:space="preserve"> </v>
      </c>
      <c r="G39" s="388"/>
      <c r="H39" s="524" t="str">
        <f>IF($AE39&lt;1," ",IF(G39&lt;1," ",(G39)/$AE39))</f>
        <v xml:space="preserve"> </v>
      </c>
      <c r="I39" s="388"/>
      <c r="J39" s="524" t="str">
        <f>IF($AE39&lt;1," ",IF(I39&lt;1," ",(I39)/$AE39))</f>
        <v xml:space="preserve"> </v>
      </c>
      <c r="K39" s="388"/>
      <c r="L39" s="524" t="str">
        <f>IF($AE39&lt;1," ",IF(K39&lt;1," ",(K39)/$AE39))</f>
        <v xml:space="preserve"> </v>
      </c>
      <c r="M39" s="388"/>
      <c r="N39" s="337" t="str">
        <f>IF($AE39&lt;1," ",IF(M39&lt;1," ",(M39)/$AE39))</f>
        <v xml:space="preserve"> </v>
      </c>
      <c r="O39" s="388"/>
      <c r="P39" s="337" t="str">
        <f>IF($AE39&lt;1," ",IF(O39&lt;1," ",(O39)/$AE39))</f>
        <v xml:space="preserve"> </v>
      </c>
      <c r="Q39" s="388"/>
      <c r="R39" s="524" t="str">
        <f>IF($AE39&lt;1," ",IF(Q39&lt;1," ",(Q39)/$AE39))</f>
        <v xml:space="preserve"> </v>
      </c>
      <c r="S39" s="388"/>
      <c r="T39" s="337" t="str">
        <f>IF($AE39&lt;1," ",IF(S39&lt;1," ",(S39)/$AE39))</f>
        <v xml:space="preserve"> </v>
      </c>
      <c r="U39" s="388"/>
      <c r="V39" s="337" t="str">
        <f>IF($AE39&lt;1," ",IF(U39&lt;1," ",(U39)/$AE39))</f>
        <v xml:space="preserve"> </v>
      </c>
      <c r="W39" s="388"/>
      <c r="X39" s="337" t="str">
        <f>IF($AE39&lt;1," ",IF(W39&lt;1," ",(W39)/$AE39))</f>
        <v xml:space="preserve"> </v>
      </c>
      <c r="Y39" s="388"/>
      <c r="Z39" s="337" t="str">
        <f>IF($AE39&lt;1," ",IF(Y39&lt;1," ",(Y39)/$AE39))</f>
        <v xml:space="preserve"> </v>
      </c>
      <c r="AA39" s="388"/>
      <c r="AB39" s="337" t="str">
        <f>IF($AE39&lt;1," ",IF(AA39&lt;1," ",(AA39)/$AE39))</f>
        <v xml:space="preserve"> </v>
      </c>
      <c r="AC39" s="1537">
        <f>AE39-(E39+G39+I39+K39+M39+O39+Q39+S39+U39+W39+Y39+AA39)</f>
        <v>0</v>
      </c>
      <c r="AD39" s="385">
        <f>+E39+G39+I39+K39+M39+O39+Q39+S39+U39+W39+Y39+AA39+AC39</f>
        <v>0</v>
      </c>
      <c r="AE39" s="385">
        <f>'2nd Interim-Summary MYP'!J44</f>
        <v>0</v>
      </c>
      <c r="AF39" s="385">
        <f>+AE39-AD39</f>
        <v>0</v>
      </c>
      <c r="AG39" s="1177"/>
    </row>
    <row r="40" spans="1:34" ht="15.4" thickBot="1">
      <c r="A40" s="407" t="s">
        <v>31</v>
      </c>
      <c r="B40" s="380"/>
      <c r="C40" s="381"/>
      <c r="D40" s="1049"/>
      <c r="E40" s="762"/>
      <c r="F40" s="525" t="str">
        <f>IF($AE40&lt;1," ",IF(E40&lt;1," ",(E40)/$AE40))</f>
        <v xml:space="preserve"> </v>
      </c>
      <c r="G40" s="761">
        <f>+G38-G39</f>
        <v>0</v>
      </c>
      <c r="H40" s="525" t="str">
        <f>IF($AE40&lt;1," ",IF(G40&lt;1," ",(G40)/$AE40))</f>
        <v xml:space="preserve"> </v>
      </c>
      <c r="I40" s="761">
        <f>+I38-I39</f>
        <v>0</v>
      </c>
      <c r="J40" s="525" t="str">
        <f>IF($AE40&lt;1," ",IF(I40&lt;1," ",(I40)/$AE40))</f>
        <v xml:space="preserve"> </v>
      </c>
      <c r="K40" s="761">
        <f>+K38-K39</f>
        <v>0</v>
      </c>
      <c r="L40" s="525" t="str">
        <f>IF($AE40&lt;1," ",IF(K40&lt;1," ",(K40)/$AE40))</f>
        <v xml:space="preserve"> </v>
      </c>
      <c r="M40" s="761">
        <f>+M38-M39</f>
        <v>0</v>
      </c>
      <c r="N40" s="386" t="str">
        <f>IF($AE40&lt;1," ",IF(M40&lt;1," ",(M40)/$AE40))</f>
        <v xml:space="preserve"> </v>
      </c>
      <c r="O40" s="761">
        <f>+O38-O39</f>
        <v>0</v>
      </c>
      <c r="P40" s="386" t="str">
        <f>IF($AE40&lt;1," ",IF(O40&lt;1," ",(O40)/$AE40))</f>
        <v xml:space="preserve"> </v>
      </c>
      <c r="Q40" s="761">
        <f>+Q38-Q39</f>
        <v>0</v>
      </c>
      <c r="R40" s="525" t="str">
        <f>IF($AE40&lt;1," ",IF(Q40&lt;1," ",(Q40)/$AE40))</f>
        <v xml:space="preserve"> </v>
      </c>
      <c r="S40" s="761">
        <f>+S38-S39</f>
        <v>0</v>
      </c>
      <c r="T40" s="386" t="str">
        <f>IF($AE40&lt;1," ",IF(S40&lt;1," ",(S40)/$AE40))</f>
        <v xml:space="preserve"> </v>
      </c>
      <c r="U40" s="761">
        <f>+U38-U39</f>
        <v>0</v>
      </c>
      <c r="V40" s="386" t="str">
        <f>IF($AE40&lt;1," ",IF(U40&lt;1," ",(U40)/$AE40))</f>
        <v xml:space="preserve"> </v>
      </c>
      <c r="W40" s="761">
        <f>+W38-W39</f>
        <v>0</v>
      </c>
      <c r="X40" s="386" t="str">
        <f>IF($AE40&lt;1," ",IF(W40&lt;1," ",(W40)/$AE40))</f>
        <v xml:space="preserve"> </v>
      </c>
      <c r="Y40" s="761">
        <f>+Y38-Y39</f>
        <v>0</v>
      </c>
      <c r="Z40" s="386" t="str">
        <f>IF($AE40&lt;1," ",IF(Y40&lt;1," ",(Y40)/$AE40))</f>
        <v xml:space="preserve"> </v>
      </c>
      <c r="AA40" s="761">
        <f>+AA38-AA39</f>
        <v>0</v>
      </c>
      <c r="AB40" s="386" t="str">
        <f>IF($AE40&lt;1," ",IF(AA40&lt;1," ",(AA40)/$AE40))</f>
        <v xml:space="preserve"> </v>
      </c>
      <c r="AC40" s="1536">
        <f>+AC38-AC39</f>
        <v>0</v>
      </c>
      <c r="AD40" s="763">
        <f>+AD38-AD39</f>
        <v>0</v>
      </c>
      <c r="AE40" s="763">
        <f>+AE38-AE39</f>
        <v>0</v>
      </c>
      <c r="AF40" s="763">
        <f>+AF38-AF39</f>
        <v>0</v>
      </c>
      <c r="AG40" s="1177"/>
    </row>
    <row r="41" spans="1:34" ht="15.75" customHeight="1">
      <c r="A41" s="406"/>
      <c r="B41" s="181"/>
      <c r="C41" s="23"/>
      <c r="D41" s="1835" t="s">
        <v>210</v>
      </c>
      <c r="E41" s="24"/>
      <c r="F41" s="195" t="s">
        <v>82</v>
      </c>
      <c r="G41" s="390"/>
      <c r="H41" s="195" t="s">
        <v>82</v>
      </c>
      <c r="I41" s="390"/>
      <c r="J41" s="195" t="s">
        <v>82</v>
      </c>
      <c r="K41" s="390"/>
      <c r="L41" s="195" t="s">
        <v>82</v>
      </c>
      <c r="M41" s="390"/>
      <c r="N41" s="528" t="s">
        <v>82</v>
      </c>
      <c r="O41" s="390"/>
      <c r="P41" s="195" t="s">
        <v>82</v>
      </c>
      <c r="Q41" s="390"/>
      <c r="R41" s="527" t="s">
        <v>82</v>
      </c>
      <c r="S41" s="21"/>
      <c r="T41" s="195" t="s">
        <v>82</v>
      </c>
      <c r="U41" s="390"/>
      <c r="V41" s="195" t="s">
        <v>82</v>
      </c>
      <c r="W41" s="390"/>
      <c r="X41" s="195" t="s">
        <v>82</v>
      </c>
      <c r="Y41" s="390"/>
      <c r="Z41" s="195" t="s">
        <v>82</v>
      </c>
      <c r="AA41" s="390"/>
      <c r="AB41" s="195" t="s">
        <v>82</v>
      </c>
      <c r="AC41" s="1538"/>
      <c r="AD41" s="1017"/>
      <c r="AE41" s="1838" t="s">
        <v>211</v>
      </c>
      <c r="AF41" s="1023"/>
    </row>
    <row r="42" spans="1:34" ht="15">
      <c r="A42" s="66" t="s">
        <v>512</v>
      </c>
      <c r="B42" s="179"/>
      <c r="C42" s="23"/>
      <c r="D42" s="1836"/>
      <c r="E42" s="24"/>
      <c r="F42" s="195" t="s">
        <v>227</v>
      </c>
      <c r="G42" s="390"/>
      <c r="H42" s="195" t="s">
        <v>227</v>
      </c>
      <c r="I42" s="390"/>
      <c r="J42" s="195" t="s">
        <v>227</v>
      </c>
      <c r="K42" s="390"/>
      <c r="L42" s="195" t="s">
        <v>227</v>
      </c>
      <c r="M42" s="390"/>
      <c r="N42" s="528" t="s">
        <v>227</v>
      </c>
      <c r="O42" s="390"/>
      <c r="P42" s="195" t="s">
        <v>227</v>
      </c>
      <c r="Q42" s="390"/>
      <c r="R42" s="528" t="s">
        <v>227</v>
      </c>
      <c r="S42" s="21"/>
      <c r="T42" s="195" t="s">
        <v>227</v>
      </c>
      <c r="U42" s="390"/>
      <c r="V42" s="195" t="s">
        <v>227</v>
      </c>
      <c r="W42" s="390"/>
      <c r="X42" s="195" t="s">
        <v>227</v>
      </c>
      <c r="Y42" s="390"/>
      <c r="Z42" s="195" t="s">
        <v>227</v>
      </c>
      <c r="AA42" s="390"/>
      <c r="AB42" s="195" t="s">
        <v>227</v>
      </c>
      <c r="AC42" s="1538"/>
      <c r="AD42" s="1017"/>
      <c r="AE42" s="1839"/>
      <c r="AF42" s="764"/>
    </row>
    <row r="43" spans="1:34" ht="15">
      <c r="A43" s="68"/>
      <c r="B43" s="181"/>
      <c r="C43" s="23"/>
      <c r="D43" s="1837"/>
      <c r="E43" s="24"/>
      <c r="F43" s="191"/>
      <c r="G43" s="390"/>
      <c r="H43" s="191"/>
      <c r="I43" s="390"/>
      <c r="J43" s="191"/>
      <c r="K43" s="390"/>
      <c r="L43" s="191"/>
      <c r="M43" s="390"/>
      <c r="N43" s="529"/>
      <c r="O43" s="390"/>
      <c r="P43" s="191"/>
      <c r="Q43" s="390"/>
      <c r="R43" s="529"/>
      <c r="S43" s="21"/>
      <c r="T43" s="191"/>
      <c r="U43" s="390"/>
      <c r="V43" s="191"/>
      <c r="W43" s="390"/>
      <c r="X43" s="191"/>
      <c r="Y43" s="390"/>
      <c r="Z43" s="191"/>
      <c r="AA43" s="390"/>
      <c r="AB43" s="191"/>
      <c r="AC43" s="1538"/>
      <c r="AD43" s="1017"/>
      <c r="AE43" s="1840"/>
      <c r="AF43" s="764"/>
    </row>
    <row r="44" spans="1:34" ht="15">
      <c r="A44" s="408" t="s">
        <v>509</v>
      </c>
      <c r="B44" s="393"/>
      <c r="C44" s="614" t="s">
        <v>506</v>
      </c>
      <c r="D44" s="1636">
        <f>'2nd Interim-Cash Flow Year 1'!AE44</f>
        <v>0</v>
      </c>
      <c r="E44" s="506"/>
      <c r="F44" s="337" t="str">
        <f t="shared" ref="F44:T51" si="5">IF($D44&lt;1," ",IF(E44&lt;1," ",(E44)/$D44))</f>
        <v xml:space="preserve"> </v>
      </c>
      <c r="G44" s="395"/>
      <c r="H44" s="337" t="str">
        <f t="shared" ref="H44:H50" si="6">IF($D44&lt;1," ",IF(G44&lt;1," ",(G44)/$D44))</f>
        <v xml:space="preserve"> </v>
      </c>
      <c r="I44" s="395"/>
      <c r="J44" s="337" t="str">
        <f t="shared" ref="J44:J50" si="7">IF($D44&lt;1," ",IF(I44&lt;1," ",(I44)/$D44))</f>
        <v xml:space="preserve"> </v>
      </c>
      <c r="K44" s="395"/>
      <c r="L44" s="337" t="str">
        <f t="shared" ref="L44:L50" si="8">IF($D44&lt;1," ",IF(K44&lt;1," ",(K44)/$D44))</f>
        <v xml:space="preserve"> </v>
      </c>
      <c r="M44" s="395"/>
      <c r="N44" s="524" t="str">
        <f t="shared" ref="N44:N50" si="9">IF($D44&lt;1," ",IF(M44&lt;1," ",(M44)/$D44))</f>
        <v xml:space="preserve"> </v>
      </c>
      <c r="O44" s="395"/>
      <c r="P44" s="337" t="str">
        <f t="shared" ref="P44:P50" si="10">IF($D44&lt;1," ",IF(O44&lt;1," ",(O44)/$D44))</f>
        <v xml:space="preserve"> </v>
      </c>
      <c r="Q44" s="395"/>
      <c r="R44" s="524" t="str">
        <f t="shared" ref="R44:R50" si="11">IF($D44&lt;1," ",IF(Q44&lt;1," ",(Q44)/$D44))</f>
        <v xml:space="preserve"> </v>
      </c>
      <c r="S44" s="506"/>
      <c r="T44" s="337" t="str">
        <f t="shared" ref="T44:T50" si="12">IF($D44&lt;1," ",IF(S44&lt;1," ",(S44)/$D44))</f>
        <v xml:space="preserve"> </v>
      </c>
      <c r="U44" s="395"/>
      <c r="V44" s="337" t="str">
        <f t="shared" ref="V44:AB51" si="13">IF($D44&lt;1," ",IF(U44&lt;1," ",(U44)/$D44))</f>
        <v xml:space="preserve"> </v>
      </c>
      <c r="W44" s="395"/>
      <c r="X44" s="337" t="str">
        <f t="shared" ref="X44:X50" si="14">IF($D44&lt;1," ",IF(W44&lt;1," ",(W44)/$D44))</f>
        <v xml:space="preserve"> </v>
      </c>
      <c r="Y44" s="395"/>
      <c r="Z44" s="337" t="str">
        <f t="shared" ref="Z44:Z50" si="15">IF($D44&lt;1," ",IF(Y44&lt;1," ",(Y44)/$D44))</f>
        <v xml:space="preserve"> </v>
      </c>
      <c r="AA44" s="1608"/>
      <c r="AB44" s="337" t="str">
        <f t="shared" ref="AB44:AB50" si="16">IF($D44&lt;1," ",IF(AA44&lt;1," ",(AA44)/$D44))</f>
        <v xml:space="preserve"> </v>
      </c>
      <c r="AC44" s="821"/>
      <c r="AD44" s="1542">
        <f t="shared" ref="AD44:AD50" si="17">+E44+G44+I44+K44+M44+O44+Q44+S44+U44+W44+Y44+AA44</f>
        <v>0</v>
      </c>
      <c r="AE44" s="396">
        <f>D44-AD44</f>
        <v>0</v>
      </c>
      <c r="AF44" s="764"/>
      <c r="AG44" s="1543"/>
    </row>
    <row r="45" spans="1:34" ht="15.75" customHeight="1">
      <c r="A45" s="408" t="s">
        <v>327</v>
      </c>
      <c r="B45" s="393"/>
      <c r="C45" s="614">
        <v>9210</v>
      </c>
      <c r="D45" s="1637" t="e">
        <f>'2nd Interim-Cash Flow Year 1'!AC23+'2nd Interim-Cash Flow Year 1'!AE45</f>
        <v>#VALUE!</v>
      </c>
      <c r="E45" s="394"/>
      <c r="F45" s="337" t="e">
        <f t="shared" si="5"/>
        <v>#VALUE!</v>
      </c>
      <c r="G45" s="395"/>
      <c r="H45" s="337" t="e">
        <f t="shared" si="6"/>
        <v>#VALUE!</v>
      </c>
      <c r="I45" s="395"/>
      <c r="J45" s="337" t="e">
        <f t="shared" si="7"/>
        <v>#VALUE!</v>
      </c>
      <c r="K45" s="395"/>
      <c r="L45" s="337" t="e">
        <f t="shared" si="8"/>
        <v>#VALUE!</v>
      </c>
      <c r="M45" s="395"/>
      <c r="N45" s="524" t="e">
        <f t="shared" si="9"/>
        <v>#VALUE!</v>
      </c>
      <c r="O45" s="395"/>
      <c r="P45" s="337" t="e">
        <f t="shared" si="10"/>
        <v>#VALUE!</v>
      </c>
      <c r="Q45" s="395"/>
      <c r="R45" s="524" t="e">
        <f t="shared" si="11"/>
        <v>#VALUE!</v>
      </c>
      <c r="S45" s="506"/>
      <c r="T45" s="337" t="e">
        <f t="shared" si="12"/>
        <v>#VALUE!</v>
      </c>
      <c r="U45" s="395"/>
      <c r="V45" s="337" t="e">
        <f t="shared" si="13"/>
        <v>#VALUE!</v>
      </c>
      <c r="W45" s="395"/>
      <c r="X45" s="337" t="e">
        <f t="shared" si="14"/>
        <v>#VALUE!</v>
      </c>
      <c r="Y45" s="395"/>
      <c r="Z45" s="337" t="e">
        <f t="shared" si="15"/>
        <v>#VALUE!</v>
      </c>
      <c r="AA45" s="395"/>
      <c r="AB45" s="337" t="e">
        <f t="shared" si="16"/>
        <v>#VALUE!</v>
      </c>
      <c r="AC45" s="1539"/>
      <c r="AD45" s="1542">
        <f t="shared" si="17"/>
        <v>0</v>
      </c>
      <c r="AE45" s="396" t="e">
        <f t="shared" ref="AE45:AE51" si="18">D45-AD45</f>
        <v>#VALUE!</v>
      </c>
      <c r="AF45" s="764"/>
      <c r="AG45" s="1543" t="e">
        <f t="shared" ref="AG45:AG50" si="19">IF(AD45=D45,"","Prior Year Transactions should be zero'd out by Year End")</f>
        <v>#VALUE!</v>
      </c>
      <c r="AH45" s="1635" t="e">
        <f>IF(AD45=D45,"","Warning - Prior Year Transactions should be zero'd out by Year End")</f>
        <v>#VALUE!</v>
      </c>
    </row>
    <row r="46" spans="1:34" ht="15">
      <c r="A46" s="408" t="s">
        <v>11</v>
      </c>
      <c r="B46" s="393"/>
      <c r="C46" s="614">
        <v>9330</v>
      </c>
      <c r="D46" s="1637">
        <f>'2nd Interim-Cash Flow Year 1'!AE46</f>
        <v>0</v>
      </c>
      <c r="E46" s="394"/>
      <c r="F46" s="337" t="str">
        <f t="shared" si="5"/>
        <v xml:space="preserve"> </v>
      </c>
      <c r="G46" s="395"/>
      <c r="H46" s="337" t="str">
        <f t="shared" si="6"/>
        <v xml:space="preserve"> </v>
      </c>
      <c r="I46" s="395"/>
      <c r="J46" s="337" t="str">
        <f t="shared" si="7"/>
        <v xml:space="preserve"> </v>
      </c>
      <c r="K46" s="395"/>
      <c r="L46" s="337" t="str">
        <f t="shared" si="8"/>
        <v xml:space="preserve"> </v>
      </c>
      <c r="M46" s="395"/>
      <c r="N46" s="524" t="str">
        <f t="shared" si="9"/>
        <v xml:space="preserve"> </v>
      </c>
      <c r="O46" s="395"/>
      <c r="P46" s="337" t="str">
        <f t="shared" si="10"/>
        <v xml:space="preserve"> </v>
      </c>
      <c r="Q46" s="395"/>
      <c r="R46" s="524" t="str">
        <f t="shared" si="11"/>
        <v xml:space="preserve"> </v>
      </c>
      <c r="S46" s="506"/>
      <c r="T46" s="337" t="str">
        <f t="shared" si="12"/>
        <v xml:space="preserve"> </v>
      </c>
      <c r="U46" s="395"/>
      <c r="V46" s="337" t="str">
        <f t="shared" si="13"/>
        <v xml:space="preserve"> </v>
      </c>
      <c r="W46" s="395"/>
      <c r="X46" s="337" t="str">
        <f t="shared" si="14"/>
        <v xml:space="preserve"> </v>
      </c>
      <c r="Y46" s="395"/>
      <c r="Z46" s="337" t="str">
        <f t="shared" si="15"/>
        <v xml:space="preserve"> </v>
      </c>
      <c r="AA46" s="395"/>
      <c r="AB46" s="337" t="str">
        <f t="shared" si="16"/>
        <v xml:space="preserve"> </v>
      </c>
      <c r="AC46" s="1539"/>
      <c r="AD46" s="1542">
        <f>+E46+G46+I46+K46+M46+O46+Q46+S46+U46+W46+Y46+AA46</f>
        <v>0</v>
      </c>
      <c r="AE46" s="396">
        <f t="shared" si="18"/>
        <v>0</v>
      </c>
      <c r="AF46" s="764"/>
      <c r="AG46" s="1543" t="str">
        <f t="shared" si="19"/>
        <v/>
      </c>
      <c r="AH46" s="1635" t="str">
        <f>IF(AD46=D46,"","Warning - Balances should only remain if Beg Bal included Pre-Paids for multiple years.")</f>
        <v/>
      </c>
    </row>
    <row r="47" spans="1:34" ht="15">
      <c r="A47" s="408" t="s">
        <v>513</v>
      </c>
      <c r="B47" s="393"/>
      <c r="C47" s="614"/>
      <c r="D47" s="1637">
        <f>'2nd Interim-Cash Flow Year 1'!AE47</f>
        <v>0</v>
      </c>
      <c r="E47" s="394"/>
      <c r="F47" s="337" t="str">
        <f t="shared" si="5"/>
        <v xml:space="preserve"> </v>
      </c>
      <c r="G47" s="395"/>
      <c r="H47" s="337" t="str">
        <f t="shared" si="5"/>
        <v xml:space="preserve"> </v>
      </c>
      <c r="I47" s="395"/>
      <c r="J47" s="337" t="str">
        <f t="shared" si="5"/>
        <v xml:space="preserve"> </v>
      </c>
      <c r="K47" s="395"/>
      <c r="L47" s="337" t="str">
        <f t="shared" si="5"/>
        <v xml:space="preserve"> </v>
      </c>
      <c r="M47" s="395"/>
      <c r="N47" s="524" t="str">
        <f t="shared" si="5"/>
        <v xml:space="preserve"> </v>
      </c>
      <c r="O47" s="395"/>
      <c r="P47" s="337" t="str">
        <f t="shared" si="5"/>
        <v xml:space="preserve"> </v>
      </c>
      <c r="Q47" s="395"/>
      <c r="R47" s="524" t="str">
        <f t="shared" si="5"/>
        <v xml:space="preserve"> </v>
      </c>
      <c r="S47" s="506"/>
      <c r="T47" s="337" t="str">
        <f t="shared" si="5"/>
        <v xml:space="preserve"> </v>
      </c>
      <c r="U47" s="395"/>
      <c r="V47" s="337" t="str">
        <f t="shared" si="13"/>
        <v xml:space="preserve"> </v>
      </c>
      <c r="W47" s="395"/>
      <c r="X47" s="337" t="str">
        <f t="shared" si="13"/>
        <v xml:space="preserve"> </v>
      </c>
      <c r="Y47" s="395"/>
      <c r="Z47" s="337" t="str">
        <f t="shared" si="13"/>
        <v xml:space="preserve"> </v>
      </c>
      <c r="AA47" s="395"/>
      <c r="AB47" s="337" t="str">
        <f t="shared" si="13"/>
        <v xml:space="preserve"> </v>
      </c>
      <c r="AC47" s="1539"/>
      <c r="AD47" s="1542">
        <f>+E47+G47+I47+K47+M47+O47+Q47+S47+U47+W47+Y47+AA47</f>
        <v>0</v>
      </c>
      <c r="AE47" s="396">
        <f t="shared" si="18"/>
        <v>0</v>
      </c>
      <c r="AF47" s="764"/>
      <c r="AG47" s="1543"/>
      <c r="AH47" s="1635"/>
    </row>
    <row r="48" spans="1:34" ht="15">
      <c r="A48" s="408" t="s">
        <v>328</v>
      </c>
      <c r="B48" s="393"/>
      <c r="C48" s="614">
        <v>9510</v>
      </c>
      <c r="D48" s="1637">
        <f>'2nd Interim-Cash Flow Year 1'!AC35+'2nd Interim-Cash Flow Year 1'!AE48</f>
        <v>0</v>
      </c>
      <c r="E48" s="394"/>
      <c r="F48" s="337" t="str">
        <f t="shared" si="5"/>
        <v xml:space="preserve"> </v>
      </c>
      <c r="G48" s="395"/>
      <c r="H48" s="337" t="str">
        <f t="shared" si="6"/>
        <v xml:space="preserve"> </v>
      </c>
      <c r="I48" s="395"/>
      <c r="J48" s="337" t="str">
        <f t="shared" si="7"/>
        <v xml:space="preserve"> </v>
      </c>
      <c r="K48" s="395"/>
      <c r="L48" s="337" t="str">
        <f t="shared" si="8"/>
        <v xml:space="preserve"> </v>
      </c>
      <c r="M48" s="395"/>
      <c r="N48" s="524" t="str">
        <f t="shared" si="9"/>
        <v xml:space="preserve"> </v>
      </c>
      <c r="O48" s="395"/>
      <c r="P48" s="337" t="str">
        <f t="shared" si="10"/>
        <v xml:space="preserve"> </v>
      </c>
      <c r="Q48" s="395"/>
      <c r="R48" s="524" t="str">
        <f t="shared" si="11"/>
        <v xml:space="preserve"> </v>
      </c>
      <c r="S48" s="506"/>
      <c r="T48" s="337" t="str">
        <f t="shared" si="12"/>
        <v xml:space="preserve"> </v>
      </c>
      <c r="U48" s="395"/>
      <c r="V48" s="337" t="str">
        <f t="shared" si="13"/>
        <v xml:space="preserve"> </v>
      </c>
      <c r="W48" s="395"/>
      <c r="X48" s="337" t="str">
        <f t="shared" si="14"/>
        <v xml:space="preserve"> </v>
      </c>
      <c r="Y48" s="395"/>
      <c r="Z48" s="337" t="str">
        <f t="shared" si="15"/>
        <v xml:space="preserve"> </v>
      </c>
      <c r="AA48" s="395"/>
      <c r="AB48" s="337" t="str">
        <f t="shared" si="16"/>
        <v xml:space="preserve"> </v>
      </c>
      <c r="AC48" s="1539"/>
      <c r="AD48" s="1542">
        <f t="shared" si="17"/>
        <v>0</v>
      </c>
      <c r="AE48" s="396">
        <f t="shared" si="18"/>
        <v>0</v>
      </c>
      <c r="AF48" s="764"/>
      <c r="AG48" s="1543" t="str">
        <f t="shared" si="19"/>
        <v/>
      </c>
      <c r="AH48" s="1635" t="str">
        <f>IF(AD48=D48,"","Warning - Prior Year Transactions should be zero'd out by Year End")</f>
        <v/>
      </c>
    </row>
    <row r="49" spans="1:34" ht="15">
      <c r="A49" s="408" t="s">
        <v>329</v>
      </c>
      <c r="B49" s="393"/>
      <c r="C49" s="615">
        <v>9640</v>
      </c>
      <c r="D49" s="1638">
        <f>'2nd Interim-Cash Flow Year 1'!AE49</f>
        <v>0</v>
      </c>
      <c r="E49" s="394"/>
      <c r="F49" s="337" t="str">
        <f t="shared" si="5"/>
        <v xml:space="preserve"> </v>
      </c>
      <c r="G49" s="395"/>
      <c r="H49" s="337" t="str">
        <f t="shared" si="6"/>
        <v xml:space="preserve"> </v>
      </c>
      <c r="I49" s="395"/>
      <c r="J49" s="337" t="str">
        <f t="shared" si="7"/>
        <v xml:space="preserve"> </v>
      </c>
      <c r="K49" s="395"/>
      <c r="L49" s="337" t="str">
        <f t="shared" si="8"/>
        <v xml:space="preserve"> </v>
      </c>
      <c r="M49" s="395"/>
      <c r="N49" s="524" t="str">
        <f t="shared" si="9"/>
        <v xml:space="preserve"> </v>
      </c>
      <c r="O49" s="395"/>
      <c r="P49" s="337" t="str">
        <f t="shared" si="10"/>
        <v xml:space="preserve"> </v>
      </c>
      <c r="Q49" s="395"/>
      <c r="R49" s="524" t="str">
        <f t="shared" si="11"/>
        <v xml:space="preserve"> </v>
      </c>
      <c r="S49" s="506"/>
      <c r="T49" s="337" t="str">
        <f t="shared" si="12"/>
        <v xml:space="preserve"> </v>
      </c>
      <c r="U49" s="395"/>
      <c r="V49" s="337" t="str">
        <f t="shared" si="13"/>
        <v xml:space="preserve"> </v>
      </c>
      <c r="W49" s="395"/>
      <c r="X49" s="337" t="str">
        <f t="shared" si="14"/>
        <v xml:space="preserve"> </v>
      </c>
      <c r="Y49" s="395"/>
      <c r="Z49" s="337" t="str">
        <f t="shared" si="15"/>
        <v xml:space="preserve"> </v>
      </c>
      <c r="AA49" s="395"/>
      <c r="AB49" s="337" t="str">
        <f t="shared" si="16"/>
        <v xml:space="preserve"> </v>
      </c>
      <c r="AC49" s="1539"/>
      <c r="AD49" s="1542">
        <f t="shared" si="17"/>
        <v>0</v>
      </c>
      <c r="AE49" s="396">
        <f t="shared" si="18"/>
        <v>0</v>
      </c>
      <c r="AF49" s="764"/>
      <c r="AG49" s="1543" t="str">
        <f t="shared" si="19"/>
        <v/>
      </c>
      <c r="AH49" s="1635" t="str">
        <f>IF(AD49=D49,"","Warning - Review ending balance to ensure it is payable in the subsequent year.")</f>
        <v/>
      </c>
    </row>
    <row r="50" spans="1:34" ht="15">
      <c r="A50" s="408" t="s">
        <v>330</v>
      </c>
      <c r="B50" s="393"/>
      <c r="C50" s="614">
        <v>9650</v>
      </c>
      <c r="D50" s="1637">
        <f>'2nd Interim-Cash Flow Year 1'!AE50</f>
        <v>0</v>
      </c>
      <c r="E50" s="394"/>
      <c r="F50" s="337" t="str">
        <f t="shared" si="5"/>
        <v xml:space="preserve"> </v>
      </c>
      <c r="G50" s="395"/>
      <c r="H50" s="337" t="str">
        <f t="shared" si="6"/>
        <v xml:space="preserve"> </v>
      </c>
      <c r="I50" s="395"/>
      <c r="J50" s="337" t="str">
        <f t="shared" si="7"/>
        <v xml:space="preserve"> </v>
      </c>
      <c r="K50" s="395"/>
      <c r="L50" s="337" t="str">
        <f t="shared" si="8"/>
        <v xml:space="preserve"> </v>
      </c>
      <c r="M50" s="395"/>
      <c r="N50" s="524" t="str">
        <f t="shared" si="9"/>
        <v xml:space="preserve"> </v>
      </c>
      <c r="O50" s="395"/>
      <c r="P50" s="337" t="str">
        <f t="shared" si="10"/>
        <v xml:space="preserve"> </v>
      </c>
      <c r="Q50" s="395"/>
      <c r="R50" s="524" t="str">
        <f t="shared" si="11"/>
        <v xml:space="preserve"> </v>
      </c>
      <c r="S50" s="506"/>
      <c r="T50" s="337" t="str">
        <f t="shared" si="12"/>
        <v xml:space="preserve"> </v>
      </c>
      <c r="U50" s="395"/>
      <c r="V50" s="337" t="str">
        <f t="shared" si="13"/>
        <v xml:space="preserve"> </v>
      </c>
      <c r="W50" s="395"/>
      <c r="X50" s="337" t="str">
        <f t="shared" si="14"/>
        <v xml:space="preserve"> </v>
      </c>
      <c r="Y50" s="395"/>
      <c r="Z50" s="337" t="str">
        <f t="shared" si="15"/>
        <v xml:space="preserve"> </v>
      </c>
      <c r="AA50" s="395"/>
      <c r="AB50" s="337" t="str">
        <f t="shared" si="16"/>
        <v xml:space="preserve"> </v>
      </c>
      <c r="AC50" s="1539"/>
      <c r="AD50" s="1542">
        <f t="shared" si="17"/>
        <v>0</v>
      </c>
      <c r="AE50" s="396">
        <f t="shared" si="18"/>
        <v>0</v>
      </c>
      <c r="AF50" s="764"/>
      <c r="AG50" s="1543" t="str">
        <f t="shared" si="19"/>
        <v/>
      </c>
      <c r="AH50" s="1635" t="str">
        <f>IF(AD50=D50,"","Warning - Balances should only remain if Beg Bal included Deferrals for multiple years.")</f>
        <v/>
      </c>
    </row>
    <row r="51" spans="1:34" ht="15">
      <c r="A51" s="408" t="s">
        <v>514</v>
      </c>
      <c r="B51" s="393"/>
      <c r="C51" s="614"/>
      <c r="D51" s="1637">
        <f>'2nd Interim-Cash Flow Year 1'!AE51</f>
        <v>0</v>
      </c>
      <c r="E51" s="394"/>
      <c r="F51" s="337" t="str">
        <f t="shared" si="5"/>
        <v xml:space="preserve"> </v>
      </c>
      <c r="G51" s="395"/>
      <c r="H51" s="337" t="str">
        <f t="shared" si="5"/>
        <v xml:space="preserve"> </v>
      </c>
      <c r="I51" s="395"/>
      <c r="J51" s="337" t="str">
        <f t="shared" si="5"/>
        <v xml:space="preserve"> </v>
      </c>
      <c r="K51" s="395"/>
      <c r="L51" s="337" t="str">
        <f t="shared" si="5"/>
        <v xml:space="preserve"> </v>
      </c>
      <c r="M51" s="395"/>
      <c r="N51" s="524" t="str">
        <f t="shared" si="5"/>
        <v xml:space="preserve"> </v>
      </c>
      <c r="O51" s="395"/>
      <c r="P51" s="337" t="str">
        <f t="shared" si="5"/>
        <v xml:space="preserve"> </v>
      </c>
      <c r="Q51" s="395"/>
      <c r="R51" s="524" t="str">
        <f t="shared" si="5"/>
        <v xml:space="preserve"> </v>
      </c>
      <c r="S51" s="506"/>
      <c r="T51" s="337" t="str">
        <f t="shared" si="5"/>
        <v xml:space="preserve"> </v>
      </c>
      <c r="U51" s="395"/>
      <c r="V51" s="337" t="str">
        <f t="shared" si="13"/>
        <v xml:space="preserve"> </v>
      </c>
      <c r="W51" s="395"/>
      <c r="X51" s="337" t="str">
        <f t="shared" si="13"/>
        <v xml:space="preserve"> </v>
      </c>
      <c r="Y51" s="395"/>
      <c r="Z51" s="337" t="str">
        <f t="shared" si="13"/>
        <v xml:space="preserve"> </v>
      </c>
      <c r="AA51" s="395"/>
      <c r="AB51" s="337" t="str">
        <f t="shared" si="13"/>
        <v xml:space="preserve"> </v>
      </c>
      <c r="AC51" s="1539"/>
      <c r="AD51" s="1542">
        <f>+E51+G51+I51+K51+M51+O51+Q51+S51+U51+W51+Y51+AA51</f>
        <v>0</v>
      </c>
      <c r="AE51" s="396">
        <f t="shared" si="18"/>
        <v>0</v>
      </c>
      <c r="AF51" s="764"/>
      <c r="AG51" s="1543"/>
      <c r="AH51" s="1635"/>
    </row>
    <row r="52" spans="1:34" ht="15.4" thickBot="1">
      <c r="A52" s="69" t="s">
        <v>511</v>
      </c>
      <c r="B52" s="367"/>
      <c r="C52" s="70"/>
      <c r="D52" s="1051" t="e">
        <f>D44+D45+D46+D47-D48-D49-D50-D51</f>
        <v>#VALUE!</v>
      </c>
      <c r="E52" s="762">
        <f>E44+E45+E46+E47-E48-E49-E50-E51</f>
        <v>0</v>
      </c>
      <c r="F52" s="530"/>
      <c r="G52" s="762">
        <f>G44+G45+G46+G47-G48-G49-G50-G51</f>
        <v>0</v>
      </c>
      <c r="H52" s="530"/>
      <c r="I52" s="762">
        <f>I44+I45+I46+I47-I48-I49-I50-I51</f>
        <v>0</v>
      </c>
      <c r="J52" s="530"/>
      <c r="K52" s="762">
        <f>K44+K45+K46+K47-K48-K49-K50-K51</f>
        <v>0</v>
      </c>
      <c r="L52" s="514"/>
      <c r="M52" s="762">
        <f>M44+M45+M46+M47-M48-M49-M50-M51</f>
        <v>0</v>
      </c>
      <c r="N52" s="194"/>
      <c r="O52" s="762">
        <f>O44+O45+O46+O47-O48-O49-O50-O51</f>
        <v>0</v>
      </c>
      <c r="P52" s="194"/>
      <c r="Q52" s="762">
        <f>Q44+Q45+Q46+Q47-Q48-Q49-Q50-Q51</f>
        <v>0</v>
      </c>
      <c r="R52" s="530"/>
      <c r="S52" s="762">
        <f>S44+S45+S46+S47-S48-S49-S50-S51</f>
        <v>0</v>
      </c>
      <c r="T52" s="194"/>
      <c r="U52" s="762">
        <f>U44+U45+U46+U47-U48-U49-U50-U51</f>
        <v>0</v>
      </c>
      <c r="V52" s="194"/>
      <c r="W52" s="762">
        <f>W44+W45+W46+W47-W48-W49-W50-W51</f>
        <v>0</v>
      </c>
      <c r="X52" s="194"/>
      <c r="Y52" s="762">
        <f>Y44+Y45+Y46+Y47-Y48-Y49-Y50-Y51</f>
        <v>0</v>
      </c>
      <c r="Z52" s="194"/>
      <c r="AA52" s="762">
        <f>AA44+AA45+AA46+AA47-AA48-AA49-AA50-AA51</f>
        <v>0</v>
      </c>
      <c r="AB52" s="194"/>
      <c r="AC52" s="1536">
        <f>AC44</f>
        <v>0</v>
      </c>
      <c r="AD52" s="763">
        <f>AD44+AD45+AD46+AD47-AD48-AD49-AD50-AD51</f>
        <v>0</v>
      </c>
      <c r="AE52" s="763" t="e">
        <f>AE44+AE45+AE46+AE47-AE48-AE49-AE50-AE51</f>
        <v>#VALUE!</v>
      </c>
      <c r="AF52" s="764"/>
      <c r="AG52" s="134"/>
      <c r="AH52" s="132"/>
    </row>
    <row r="53" spans="1:34" ht="15.6" customHeight="1">
      <c r="A53" s="404"/>
      <c r="B53" s="368"/>
      <c r="C53" s="71"/>
      <c r="D53" s="71"/>
      <c r="E53" s="72"/>
      <c r="F53" s="193"/>
      <c r="G53" s="73"/>
      <c r="H53" s="193"/>
      <c r="I53" s="73"/>
      <c r="J53" s="193"/>
      <c r="K53" s="73"/>
      <c r="L53" s="193"/>
      <c r="M53" s="73"/>
      <c r="N53" s="193"/>
      <c r="O53" s="73"/>
      <c r="P53" s="193"/>
      <c r="Q53" s="73"/>
      <c r="R53" s="193"/>
      <c r="S53" s="73"/>
      <c r="T53" s="193"/>
      <c r="U53" s="73"/>
      <c r="V53" s="193"/>
      <c r="W53" s="73"/>
      <c r="X53" s="193"/>
      <c r="Y53" s="73"/>
      <c r="Z53" s="193"/>
      <c r="AA53" s="73"/>
      <c r="AB53" s="193"/>
      <c r="AC53" s="1006"/>
      <c r="AD53" s="1006"/>
      <c r="AE53" s="1838" t="s">
        <v>211</v>
      </c>
      <c r="AF53" s="764"/>
    </row>
    <row r="54" spans="1:34" ht="15">
      <c r="A54" s="66" t="s">
        <v>113</v>
      </c>
      <c r="B54" s="179"/>
      <c r="C54" s="371"/>
      <c r="D54" s="371"/>
      <c r="E54" s="538"/>
      <c r="F54" s="523"/>
      <c r="G54" s="518"/>
      <c r="H54" s="523"/>
      <c r="I54" s="518"/>
      <c r="J54" s="523"/>
      <c r="K54" s="518"/>
      <c r="L54" s="523"/>
      <c r="M54" s="518"/>
      <c r="N54" s="523"/>
      <c r="O54" s="518"/>
      <c r="P54" s="523"/>
      <c r="Q54" s="518"/>
      <c r="R54" s="523"/>
      <c r="S54" s="518"/>
      <c r="T54" s="523"/>
      <c r="U54" s="518"/>
      <c r="V54" s="523"/>
      <c r="W54" s="518"/>
      <c r="X54" s="523"/>
      <c r="Y54" s="518"/>
      <c r="Z54" s="523"/>
      <c r="AA54" s="518"/>
      <c r="AB54" s="523"/>
      <c r="AC54" s="1010"/>
      <c r="AD54" s="1010"/>
      <c r="AE54" s="1840"/>
      <c r="AF54" s="764"/>
    </row>
    <row r="55" spans="1:34" ht="15">
      <c r="A55" s="1832"/>
      <c r="B55" s="1833"/>
      <c r="C55" s="374"/>
      <c r="D55" s="1570"/>
      <c r="E55" s="394"/>
      <c r="F55" s="337" t="str">
        <f t="shared" ref="F55:F61" si="20">IF($AE55&lt;1," ",IF(E55&lt;1," ",(E55)/$AE55))</f>
        <v xml:space="preserve"> </v>
      </c>
      <c r="G55" s="395"/>
      <c r="H55" s="337" t="str">
        <f t="shared" ref="H55:H61" si="21">IF($AE55&lt;1," ",IF(G55&lt;1," ",(G55)/$AE55))</f>
        <v xml:space="preserve"> </v>
      </c>
      <c r="I55" s="395"/>
      <c r="J55" s="337" t="str">
        <f t="shared" ref="J55:J61" si="22">IF($AE55&lt;1," ",IF(I55&lt;1," ",(I55)/$AE55))</f>
        <v xml:space="preserve"> </v>
      </c>
      <c r="K55" s="395"/>
      <c r="L55" s="337" t="str">
        <f t="shared" ref="L55:L61" si="23">IF($AE55&lt;1," ",IF(K55&lt;1," ",(K55)/$AE55))</f>
        <v xml:space="preserve"> </v>
      </c>
      <c r="M55" s="395"/>
      <c r="N55" s="524" t="str">
        <f t="shared" ref="N55:N61" si="24">IF($AE55&lt;1," ",IF(M55&lt;1," ",(M55)/$AE55))</f>
        <v xml:space="preserve"> </v>
      </c>
      <c r="O55" s="395"/>
      <c r="P55" s="337" t="str">
        <f t="shared" ref="P55:P61" si="25">IF($AE55&lt;1," ",IF(O55&lt;1," ",(O55)/$AE55))</f>
        <v xml:space="preserve"> </v>
      </c>
      <c r="Q55" s="395"/>
      <c r="R55" s="524" t="str">
        <f t="shared" ref="R55:R61" si="26">IF($AE55&lt;1," ",IF(Q55&lt;1," ",(Q55)/$AE55))</f>
        <v xml:space="preserve"> </v>
      </c>
      <c r="S55" s="506"/>
      <c r="T55" s="337" t="str">
        <f t="shared" ref="T55:T61" si="27">IF($AE55&lt;1," ",IF(S55&lt;1," ",(S55)/$AE55))</f>
        <v xml:space="preserve"> </v>
      </c>
      <c r="U55" s="395"/>
      <c r="V55" s="337" t="str">
        <f t="shared" ref="V55:V61" si="28">IF($AE55&lt;1," ",IF(U55&lt;1," ",(U55)/$AE55))</f>
        <v xml:space="preserve"> </v>
      </c>
      <c r="W55" s="395"/>
      <c r="X55" s="337" t="str">
        <f t="shared" ref="X55:X61" si="29">IF($AE55&lt;1," ",IF(W55&lt;1," ",(W55)/$AE55))</f>
        <v xml:space="preserve"> </v>
      </c>
      <c r="Y55" s="395"/>
      <c r="Z55" s="337" t="str">
        <f t="shared" ref="Z55:Z61" si="30">IF($AE55&lt;1," ",IF(Y55&lt;1," ",(Y55)/$AE55))</f>
        <v xml:space="preserve"> </v>
      </c>
      <c r="AA55" s="395"/>
      <c r="AB55" s="337" t="str">
        <f t="shared" ref="AB55:AB61" si="31">IF($AE55&lt;1," ",IF(AA55&lt;1," ",(AA55)/$AE55))</f>
        <v xml:space="preserve"> </v>
      </c>
      <c r="AC55" s="1539"/>
      <c r="AD55" s="1630">
        <f>E55+G55+I55+K55+M55+O55+Q55+S55+U55+W55+Y55+AA55+AC55</f>
        <v>0</v>
      </c>
      <c r="AE55" s="1631">
        <f>D55-AD55</f>
        <v>0</v>
      </c>
      <c r="AF55" s="764"/>
      <c r="AG55" s="1177"/>
    </row>
    <row r="56" spans="1:34" ht="15">
      <c r="A56" s="1832"/>
      <c r="B56" s="1833"/>
      <c r="C56" s="374"/>
      <c r="D56" s="1570"/>
      <c r="E56" s="394"/>
      <c r="F56" s="337" t="str">
        <f t="shared" si="20"/>
        <v xml:space="preserve"> </v>
      </c>
      <c r="G56" s="395"/>
      <c r="H56" s="337" t="str">
        <f t="shared" si="21"/>
        <v xml:space="preserve"> </v>
      </c>
      <c r="I56" s="395"/>
      <c r="J56" s="337" t="str">
        <f t="shared" si="22"/>
        <v xml:space="preserve"> </v>
      </c>
      <c r="K56" s="395"/>
      <c r="L56" s="337" t="str">
        <f t="shared" si="23"/>
        <v xml:space="preserve"> </v>
      </c>
      <c r="M56" s="395"/>
      <c r="N56" s="524" t="str">
        <f t="shared" si="24"/>
        <v xml:space="preserve"> </v>
      </c>
      <c r="O56" s="395"/>
      <c r="P56" s="337" t="str">
        <f t="shared" si="25"/>
        <v xml:space="preserve"> </v>
      </c>
      <c r="Q56" s="395"/>
      <c r="R56" s="524" t="str">
        <f t="shared" si="26"/>
        <v xml:space="preserve"> </v>
      </c>
      <c r="S56" s="506"/>
      <c r="T56" s="337" t="str">
        <f t="shared" si="27"/>
        <v xml:space="preserve"> </v>
      </c>
      <c r="U56" s="395"/>
      <c r="V56" s="337" t="str">
        <f t="shared" si="28"/>
        <v xml:space="preserve"> </v>
      </c>
      <c r="W56" s="395"/>
      <c r="X56" s="337" t="str">
        <f t="shared" si="29"/>
        <v xml:space="preserve"> </v>
      </c>
      <c r="Y56" s="395"/>
      <c r="Z56" s="337" t="str">
        <f t="shared" si="30"/>
        <v xml:space="preserve"> </v>
      </c>
      <c r="AA56" s="395"/>
      <c r="AB56" s="337" t="str">
        <f t="shared" si="31"/>
        <v xml:space="preserve"> </v>
      </c>
      <c r="AC56" s="1539"/>
      <c r="AD56" s="1630">
        <f t="shared" ref="AD56:AD61" si="32">E56+G56+I56+K56+M56+O56+Q56+S56+U56+W56+Y56+AA56+AC56</f>
        <v>0</v>
      </c>
      <c r="AE56" s="1631">
        <f t="shared" ref="AE56:AE61" si="33">D56-AD56</f>
        <v>0</v>
      </c>
      <c r="AF56" s="764"/>
      <c r="AG56" s="1177"/>
    </row>
    <row r="57" spans="1:34" ht="15">
      <c r="A57" s="1832"/>
      <c r="B57" s="1833"/>
      <c r="C57" s="374"/>
      <c r="D57" s="1570"/>
      <c r="E57" s="394"/>
      <c r="F57" s="337" t="str">
        <f t="shared" si="20"/>
        <v xml:space="preserve"> </v>
      </c>
      <c r="G57" s="395"/>
      <c r="H57" s="337" t="str">
        <f t="shared" si="21"/>
        <v xml:space="preserve"> </v>
      </c>
      <c r="I57" s="395"/>
      <c r="J57" s="337" t="str">
        <f t="shared" si="22"/>
        <v xml:space="preserve"> </v>
      </c>
      <c r="K57" s="395"/>
      <c r="L57" s="337" t="str">
        <f t="shared" si="23"/>
        <v xml:space="preserve"> </v>
      </c>
      <c r="M57" s="395"/>
      <c r="N57" s="524" t="str">
        <f t="shared" si="24"/>
        <v xml:space="preserve"> </v>
      </c>
      <c r="O57" s="395"/>
      <c r="P57" s="337" t="str">
        <f t="shared" si="25"/>
        <v xml:space="preserve"> </v>
      </c>
      <c r="Q57" s="395"/>
      <c r="R57" s="524" t="str">
        <f t="shared" si="26"/>
        <v xml:space="preserve"> </v>
      </c>
      <c r="S57" s="506"/>
      <c r="T57" s="337" t="str">
        <f t="shared" si="27"/>
        <v xml:space="preserve"> </v>
      </c>
      <c r="U57" s="395"/>
      <c r="V57" s="337" t="str">
        <f t="shared" si="28"/>
        <v xml:space="preserve"> </v>
      </c>
      <c r="W57" s="395"/>
      <c r="X57" s="337" t="str">
        <f t="shared" si="29"/>
        <v xml:space="preserve"> </v>
      </c>
      <c r="Y57" s="395"/>
      <c r="Z57" s="337" t="str">
        <f t="shared" si="30"/>
        <v xml:space="preserve"> </v>
      </c>
      <c r="AA57" s="395"/>
      <c r="AB57" s="337" t="str">
        <f t="shared" si="31"/>
        <v xml:space="preserve"> </v>
      </c>
      <c r="AC57" s="1539"/>
      <c r="AD57" s="1630">
        <f t="shared" si="32"/>
        <v>0</v>
      </c>
      <c r="AE57" s="1631">
        <f t="shared" si="33"/>
        <v>0</v>
      </c>
      <c r="AF57" s="765"/>
      <c r="AG57" s="1177"/>
    </row>
    <row r="58" spans="1:34" ht="15">
      <c r="A58" s="1832"/>
      <c r="B58" s="1833"/>
      <c r="C58" s="374"/>
      <c r="D58" s="1570"/>
      <c r="E58" s="394"/>
      <c r="F58" s="337" t="str">
        <f t="shared" si="20"/>
        <v xml:space="preserve"> </v>
      </c>
      <c r="G58" s="395"/>
      <c r="H58" s="337" t="str">
        <f t="shared" si="21"/>
        <v xml:space="preserve"> </v>
      </c>
      <c r="I58" s="395"/>
      <c r="J58" s="337" t="str">
        <f t="shared" si="22"/>
        <v xml:space="preserve"> </v>
      </c>
      <c r="K58" s="395"/>
      <c r="L58" s="337" t="str">
        <f t="shared" si="23"/>
        <v xml:space="preserve"> </v>
      </c>
      <c r="M58" s="395"/>
      <c r="N58" s="524" t="str">
        <f t="shared" si="24"/>
        <v xml:space="preserve"> </v>
      </c>
      <c r="O58" s="395"/>
      <c r="P58" s="337" t="str">
        <f t="shared" si="25"/>
        <v xml:space="preserve"> </v>
      </c>
      <c r="Q58" s="395"/>
      <c r="R58" s="524" t="str">
        <f t="shared" si="26"/>
        <v xml:space="preserve"> </v>
      </c>
      <c r="S58" s="506"/>
      <c r="T58" s="337" t="str">
        <f t="shared" si="27"/>
        <v xml:space="preserve"> </v>
      </c>
      <c r="U58" s="395"/>
      <c r="V58" s="337" t="str">
        <f t="shared" si="28"/>
        <v xml:space="preserve"> </v>
      </c>
      <c r="W58" s="395"/>
      <c r="X58" s="337" t="str">
        <f t="shared" si="29"/>
        <v xml:space="preserve"> </v>
      </c>
      <c r="Y58" s="395"/>
      <c r="Z58" s="337" t="str">
        <f t="shared" si="30"/>
        <v xml:space="preserve"> </v>
      </c>
      <c r="AA58" s="395"/>
      <c r="AB58" s="337" t="str">
        <f t="shared" si="31"/>
        <v xml:space="preserve"> </v>
      </c>
      <c r="AC58" s="1539"/>
      <c r="AD58" s="1630">
        <f t="shared" si="32"/>
        <v>0</v>
      </c>
      <c r="AE58" s="1631">
        <f t="shared" si="33"/>
        <v>0</v>
      </c>
      <c r="AF58" s="765"/>
      <c r="AG58" s="1177"/>
    </row>
    <row r="59" spans="1:34" ht="15">
      <c r="A59" s="1832"/>
      <c r="B59" s="1833"/>
      <c r="C59" s="374"/>
      <c r="D59" s="1570"/>
      <c r="E59" s="394"/>
      <c r="F59" s="337" t="str">
        <f t="shared" si="20"/>
        <v xml:space="preserve"> </v>
      </c>
      <c r="G59" s="395"/>
      <c r="H59" s="337" t="str">
        <f t="shared" si="21"/>
        <v xml:space="preserve"> </v>
      </c>
      <c r="I59" s="395"/>
      <c r="J59" s="337" t="str">
        <f t="shared" si="22"/>
        <v xml:space="preserve"> </v>
      </c>
      <c r="K59" s="395"/>
      <c r="L59" s="337" t="str">
        <f t="shared" si="23"/>
        <v xml:space="preserve"> </v>
      </c>
      <c r="M59" s="395"/>
      <c r="N59" s="524" t="str">
        <f t="shared" si="24"/>
        <v xml:space="preserve"> </v>
      </c>
      <c r="O59" s="395"/>
      <c r="P59" s="337" t="str">
        <f t="shared" si="25"/>
        <v xml:space="preserve"> </v>
      </c>
      <c r="Q59" s="395"/>
      <c r="R59" s="524" t="str">
        <f t="shared" si="26"/>
        <v xml:space="preserve"> </v>
      </c>
      <c r="S59" s="506"/>
      <c r="T59" s="337" t="str">
        <f t="shared" si="27"/>
        <v xml:space="preserve"> </v>
      </c>
      <c r="U59" s="395"/>
      <c r="V59" s="337" t="str">
        <f t="shared" si="28"/>
        <v xml:space="preserve"> </v>
      </c>
      <c r="W59" s="395"/>
      <c r="X59" s="337" t="str">
        <f t="shared" si="29"/>
        <v xml:space="preserve"> </v>
      </c>
      <c r="Y59" s="395"/>
      <c r="Z59" s="337" t="str">
        <f t="shared" si="30"/>
        <v xml:space="preserve"> </v>
      </c>
      <c r="AA59" s="395"/>
      <c r="AB59" s="337" t="str">
        <f t="shared" si="31"/>
        <v xml:space="preserve"> </v>
      </c>
      <c r="AC59" s="1539"/>
      <c r="AD59" s="1630">
        <f t="shared" si="32"/>
        <v>0</v>
      </c>
      <c r="AE59" s="1631">
        <f t="shared" si="33"/>
        <v>0</v>
      </c>
      <c r="AF59" s="765"/>
      <c r="AG59" s="1177"/>
    </row>
    <row r="60" spans="1:34" ht="15">
      <c r="A60" s="1832"/>
      <c r="B60" s="1833"/>
      <c r="C60" s="374"/>
      <c r="D60" s="1570"/>
      <c r="E60" s="394"/>
      <c r="F60" s="337" t="str">
        <f t="shared" si="20"/>
        <v xml:space="preserve"> </v>
      </c>
      <c r="G60" s="395"/>
      <c r="H60" s="337" t="str">
        <f t="shared" si="21"/>
        <v xml:space="preserve"> </v>
      </c>
      <c r="I60" s="395"/>
      <c r="J60" s="337" t="str">
        <f t="shared" si="22"/>
        <v xml:space="preserve"> </v>
      </c>
      <c r="K60" s="395"/>
      <c r="L60" s="337" t="str">
        <f t="shared" si="23"/>
        <v xml:space="preserve"> </v>
      </c>
      <c r="M60" s="395"/>
      <c r="N60" s="524" t="str">
        <f t="shared" si="24"/>
        <v xml:space="preserve"> </v>
      </c>
      <c r="O60" s="395"/>
      <c r="P60" s="337" t="str">
        <f t="shared" si="25"/>
        <v xml:space="preserve"> </v>
      </c>
      <c r="Q60" s="395"/>
      <c r="R60" s="524" t="str">
        <f t="shared" si="26"/>
        <v xml:space="preserve"> </v>
      </c>
      <c r="S60" s="506"/>
      <c r="T60" s="337" t="str">
        <f t="shared" si="27"/>
        <v xml:space="preserve"> </v>
      </c>
      <c r="U60" s="395"/>
      <c r="V60" s="337" t="str">
        <f t="shared" si="28"/>
        <v xml:space="preserve"> </v>
      </c>
      <c r="W60" s="395"/>
      <c r="X60" s="337" t="str">
        <f t="shared" si="29"/>
        <v xml:space="preserve"> </v>
      </c>
      <c r="Y60" s="395"/>
      <c r="Z60" s="337" t="str">
        <f t="shared" si="30"/>
        <v xml:space="preserve"> </v>
      </c>
      <c r="AA60" s="395"/>
      <c r="AB60" s="337" t="str">
        <f t="shared" si="31"/>
        <v xml:space="preserve"> </v>
      </c>
      <c r="AC60" s="1539"/>
      <c r="AD60" s="1630">
        <f t="shared" si="32"/>
        <v>0</v>
      </c>
      <c r="AE60" s="1631">
        <f t="shared" si="33"/>
        <v>0</v>
      </c>
      <c r="AF60" s="765"/>
      <c r="AG60" s="1177"/>
    </row>
    <row r="61" spans="1:34" ht="15">
      <c r="A61" s="1832"/>
      <c r="B61" s="1833"/>
      <c r="C61" s="374"/>
      <c r="D61" s="1570"/>
      <c r="E61" s="394"/>
      <c r="F61" s="337" t="str">
        <f t="shared" si="20"/>
        <v xml:space="preserve"> </v>
      </c>
      <c r="G61" s="395"/>
      <c r="H61" s="337" t="str">
        <f t="shared" si="21"/>
        <v xml:space="preserve"> </v>
      </c>
      <c r="I61" s="395"/>
      <c r="J61" s="337" t="str">
        <f t="shared" si="22"/>
        <v xml:space="preserve"> </v>
      </c>
      <c r="K61" s="395"/>
      <c r="L61" s="337" t="str">
        <f t="shared" si="23"/>
        <v xml:space="preserve"> </v>
      </c>
      <c r="M61" s="395"/>
      <c r="N61" s="524" t="str">
        <f t="shared" si="24"/>
        <v xml:space="preserve"> </v>
      </c>
      <c r="O61" s="395"/>
      <c r="P61" s="337" t="str">
        <f t="shared" si="25"/>
        <v xml:space="preserve"> </v>
      </c>
      <c r="Q61" s="395"/>
      <c r="R61" s="524" t="str">
        <f t="shared" si="26"/>
        <v xml:space="preserve"> </v>
      </c>
      <c r="S61" s="506"/>
      <c r="T61" s="337" t="str">
        <f t="shared" si="27"/>
        <v xml:space="preserve"> </v>
      </c>
      <c r="U61" s="395"/>
      <c r="V61" s="337" t="str">
        <f t="shared" si="28"/>
        <v xml:space="preserve"> </v>
      </c>
      <c r="W61" s="395"/>
      <c r="X61" s="337" t="str">
        <f t="shared" si="29"/>
        <v xml:space="preserve"> </v>
      </c>
      <c r="Y61" s="395"/>
      <c r="Z61" s="337" t="str">
        <f t="shared" si="30"/>
        <v xml:space="preserve"> </v>
      </c>
      <c r="AA61" s="395"/>
      <c r="AB61" s="337" t="str">
        <f t="shared" si="31"/>
        <v xml:space="preserve"> </v>
      </c>
      <c r="AC61" s="1539"/>
      <c r="AD61" s="1630">
        <f t="shared" si="32"/>
        <v>0</v>
      </c>
      <c r="AE61" s="1631">
        <f t="shared" si="33"/>
        <v>0</v>
      </c>
      <c r="AF61" s="765"/>
      <c r="AG61" s="1177"/>
    </row>
    <row r="62" spans="1:34" ht="15.4" thickBot="1">
      <c r="A62" s="69" t="s">
        <v>510</v>
      </c>
      <c r="B62" s="367"/>
      <c r="C62" s="70"/>
      <c r="D62" s="1051">
        <f>SUM(D55:D61)</f>
        <v>0</v>
      </c>
      <c r="E62" s="760">
        <f>SUM(E55:E61)</f>
        <v>0</v>
      </c>
      <c r="F62" s="382" t="s">
        <v>2</v>
      </c>
      <c r="G62" s="761">
        <f>SUM(G55:G61)</f>
        <v>0</v>
      </c>
      <c r="H62" s="382" t="s">
        <v>2</v>
      </c>
      <c r="I62" s="761">
        <f>SUM(I55:I61)</f>
        <v>0</v>
      </c>
      <c r="J62" s="382" t="s">
        <v>2</v>
      </c>
      <c r="K62" s="761">
        <f>SUM(K55:K61)</f>
        <v>0</v>
      </c>
      <c r="L62" s="382" t="s">
        <v>2</v>
      </c>
      <c r="M62" s="761">
        <f>SUM(M55:M61)</f>
        <v>0</v>
      </c>
      <c r="N62" s="526" t="s">
        <v>2</v>
      </c>
      <c r="O62" s="761">
        <f>SUM(O55:O61)</f>
        <v>0</v>
      </c>
      <c r="P62" s="382" t="s">
        <v>2</v>
      </c>
      <c r="Q62" s="761">
        <f>SUM(Q55:Q61)</f>
        <v>0</v>
      </c>
      <c r="R62" s="526" t="s">
        <v>2</v>
      </c>
      <c r="S62" s="762">
        <f>SUM(S55:S61)</f>
        <v>0</v>
      </c>
      <c r="T62" s="382" t="s">
        <v>2</v>
      </c>
      <c r="U62" s="761">
        <f>SUM(U55:U61)</f>
        <v>0</v>
      </c>
      <c r="V62" s="382" t="s">
        <v>2</v>
      </c>
      <c r="W62" s="761">
        <f>SUM(W55:W61)</f>
        <v>0</v>
      </c>
      <c r="X62" s="382" t="s">
        <v>2</v>
      </c>
      <c r="Y62" s="761">
        <f>SUM(Y55:Y61)</f>
        <v>0</v>
      </c>
      <c r="Z62" s="382" t="s">
        <v>2</v>
      </c>
      <c r="AA62" s="761">
        <f>SUM(AA55:AA61)</f>
        <v>0</v>
      </c>
      <c r="AB62" s="382" t="s">
        <v>2</v>
      </c>
      <c r="AC62" s="1610"/>
      <c r="AD62" s="1632">
        <f>E62+G62+I62+K62+M62+O62+Q62+S62+U62+W62+Y62+AA62+AC62</f>
        <v>0</v>
      </c>
      <c r="AE62" s="1629">
        <f>AE55+AE56+AE57+AE58+AE59+AE60+AE61</f>
        <v>0</v>
      </c>
      <c r="AF62" s="767"/>
      <c r="AG62" s="1177"/>
    </row>
    <row r="63" spans="1:34" ht="15">
      <c r="A63" s="68"/>
      <c r="B63" s="181"/>
      <c r="C63" s="23"/>
      <c r="D63" s="521"/>
      <c r="E63" s="1029"/>
      <c r="F63" s="531"/>
      <c r="G63" s="390"/>
      <c r="H63" s="531"/>
      <c r="I63" s="390"/>
      <c r="J63" s="531"/>
      <c r="K63" s="390"/>
      <c r="L63" s="531"/>
      <c r="M63" s="390"/>
      <c r="N63" s="1031"/>
      <c r="O63" s="390"/>
      <c r="P63" s="51"/>
      <c r="Q63" s="390"/>
      <c r="R63" s="531"/>
      <c r="S63" s="390"/>
      <c r="T63" s="51"/>
      <c r="U63" s="390"/>
      <c r="V63" s="51"/>
      <c r="W63" s="390"/>
      <c r="X63" s="51"/>
      <c r="Y63" s="390"/>
      <c r="Z63" s="51"/>
      <c r="AA63" s="390"/>
      <c r="AB63" s="51"/>
      <c r="AC63" s="1540"/>
      <c r="AD63" s="1018"/>
      <c r="AE63" s="1019"/>
      <c r="AF63" s="1024"/>
      <c r="AG63" s="1177"/>
    </row>
    <row r="64" spans="1:34" ht="15.4" thickBot="1">
      <c r="A64" s="397" t="s">
        <v>112</v>
      </c>
      <c r="B64" s="398"/>
      <c r="C64" s="374"/>
      <c r="D64" s="1044"/>
      <c r="E64" s="762">
        <f>+E23-E35+E40+E52+E62</f>
        <v>0</v>
      </c>
      <c r="F64" s="526"/>
      <c r="G64" s="761">
        <f>+G23-G35+G40+G52+G62</f>
        <v>0</v>
      </c>
      <c r="H64" s="526"/>
      <c r="I64" s="761">
        <f>+I23-I35+I40+I52+I62</f>
        <v>0</v>
      </c>
      <c r="J64" s="526"/>
      <c r="K64" s="761">
        <f>+K23-K35+K40+K52+K62</f>
        <v>0</v>
      </c>
      <c r="L64" s="526"/>
      <c r="M64" s="761">
        <f>+M23-M35+M40+M52+M62</f>
        <v>0</v>
      </c>
      <c r="N64" s="382"/>
      <c r="O64" s="761">
        <f>+O23-O35+O40+O52+O62</f>
        <v>0</v>
      </c>
      <c r="P64" s="382"/>
      <c r="Q64" s="761">
        <f>+Q23-Q35+Q40+Q52+Q62</f>
        <v>0</v>
      </c>
      <c r="R64" s="526"/>
      <c r="S64" s="761">
        <f>+S23-S35+S40+S52+S62</f>
        <v>0</v>
      </c>
      <c r="T64" s="382"/>
      <c r="U64" s="761">
        <f>+U23-U35+U40+U52+U62</f>
        <v>0</v>
      </c>
      <c r="V64" s="382"/>
      <c r="W64" s="761">
        <f>+W23-W35+W40+W52+W62</f>
        <v>0</v>
      </c>
      <c r="X64" s="382"/>
      <c r="Y64" s="761">
        <f>+Y23-Y35+Y40+Y52+Y62</f>
        <v>0</v>
      </c>
      <c r="Z64" s="382"/>
      <c r="AA64" s="761">
        <f>+AA23-AA35+AA40+AA52+AA62</f>
        <v>0</v>
      </c>
      <c r="AB64" s="382"/>
      <c r="AC64" s="1536" t="e">
        <f>+AC23-AC35+AC40+AC52+AC62</f>
        <v>#VALUE!</v>
      </c>
      <c r="AD64" s="1629" t="e">
        <f>+AD23-AD35+AD40+AD52+AD62</f>
        <v>#VALUE!</v>
      </c>
      <c r="AE64" s="766"/>
      <c r="AF64" s="767"/>
      <c r="AG64" s="1177"/>
    </row>
    <row r="65" spans="1:33" ht="15.4" thickBot="1">
      <c r="A65" s="69"/>
      <c r="B65" s="367"/>
      <c r="C65" s="70"/>
      <c r="D65" s="1052"/>
      <c r="E65" s="22"/>
      <c r="F65" s="530"/>
      <c r="G65" s="391"/>
      <c r="H65" s="530"/>
      <c r="I65" s="391"/>
      <c r="J65" s="530"/>
      <c r="K65" s="391"/>
      <c r="L65" s="530"/>
      <c r="M65" s="391"/>
      <c r="N65" s="194"/>
      <c r="O65" s="391"/>
      <c r="P65" s="194"/>
      <c r="Q65" s="391"/>
      <c r="R65" s="530"/>
      <c r="S65" s="391"/>
      <c r="T65" s="194"/>
      <c r="U65" s="391"/>
      <c r="V65" s="194"/>
      <c r="W65" s="391"/>
      <c r="X65" s="194"/>
      <c r="Y65" s="391"/>
      <c r="Z65" s="194"/>
      <c r="AA65" s="391"/>
      <c r="AB65" s="194"/>
      <c r="AC65" s="1541"/>
      <c r="AD65" s="1634"/>
      <c r="AE65" s="1633"/>
      <c r="AF65" s="767"/>
      <c r="AG65" s="1177"/>
    </row>
    <row r="66" spans="1:33" ht="15.4" thickBot="1">
      <c r="A66" s="69" t="s">
        <v>110</v>
      </c>
      <c r="B66" s="367"/>
      <c r="C66" s="70"/>
      <c r="D66" s="1052"/>
      <c r="E66" s="1026">
        <f>+E6+E64</f>
        <v>0</v>
      </c>
      <c r="F66" s="530"/>
      <c r="G66" s="1032">
        <f>+G6+G64</f>
        <v>0</v>
      </c>
      <c r="H66" s="530"/>
      <c r="I66" s="1032">
        <f>+I6+I64</f>
        <v>0</v>
      </c>
      <c r="J66" s="530"/>
      <c r="K66" s="1032">
        <f>+K6+K64</f>
        <v>0</v>
      </c>
      <c r="L66" s="530"/>
      <c r="M66" s="1032">
        <f>+M6+M64</f>
        <v>0</v>
      </c>
      <c r="N66" s="194"/>
      <c r="O66" s="1032">
        <f>+O6+O64</f>
        <v>0</v>
      </c>
      <c r="P66" s="194"/>
      <c r="Q66" s="1032">
        <f>+Q6+Q64</f>
        <v>0</v>
      </c>
      <c r="R66" s="514"/>
      <c r="S66" s="1030">
        <f>+S6+S64</f>
        <v>0</v>
      </c>
      <c r="T66" s="194"/>
      <c r="U66" s="1032">
        <f>+U6+U64</f>
        <v>0</v>
      </c>
      <c r="V66" s="194"/>
      <c r="W66" s="1032">
        <f>+W6+W64</f>
        <v>0</v>
      </c>
      <c r="X66" s="194"/>
      <c r="Y66" s="1032">
        <f>+Y6+Y64</f>
        <v>0</v>
      </c>
      <c r="Z66" s="194"/>
      <c r="AA66" s="1032">
        <f>+AA6+AA64</f>
        <v>0</v>
      </c>
      <c r="AB66" s="194"/>
      <c r="AC66" s="1648" t="e">
        <f>+AC6+AC64+AE52</f>
        <v>#VALUE!</v>
      </c>
      <c r="AD66" s="1020"/>
      <c r="AE66" s="1628"/>
      <c r="AF66" s="1025"/>
      <c r="AG66" s="1177"/>
    </row>
    <row r="68" spans="1:33" ht="13.5">
      <c r="AB68" s="1545" t="s">
        <v>490</v>
      </c>
      <c r="AC68" s="1546" t="e">
        <f>'2nd Interim-Summary MYP'!J56</f>
        <v>#VALUE!</v>
      </c>
    </row>
    <row r="69" spans="1:33" ht="14.25" thickBot="1">
      <c r="AB69" s="1650" t="s">
        <v>517</v>
      </c>
      <c r="AC69" s="1548" t="e">
        <f>AC66-AC68</f>
        <v>#VALUE!</v>
      </c>
      <c r="AD69" s="1612" t="e">
        <f>IF(ROUND(D52+E6,0)=ROUND('2nd Interim-Summary MYP'!J55,0),"","If not balancing, check to ensure Beg Cash (E6) + Total Beg Balance Sheet (D52) Must equal Beg Fund Balance (1st Interim-Summary MYP J55)")</f>
        <v>#VALUE!</v>
      </c>
    </row>
    <row r="70" spans="1:33" ht="13.15" thickTop="1"/>
    <row r="72" spans="1:33">
      <c r="AB72" s="1639" t="s">
        <v>515</v>
      </c>
      <c r="AC72" s="173" t="e">
        <f>D52+E6</f>
        <v>#VALUE!</v>
      </c>
    </row>
    <row r="73" spans="1:33">
      <c r="AB73" s="1639" t="s">
        <v>516</v>
      </c>
      <c r="AC73" s="173" t="e">
        <f>'2nd Interim-Summary MYP'!J55</f>
        <v>#VALUE!</v>
      </c>
    </row>
    <row r="74" spans="1:33" ht="13.15" thickBot="1">
      <c r="AB74" s="134" t="s">
        <v>96</v>
      </c>
      <c r="AC74" s="1640" t="e">
        <f>AC72-AC73</f>
        <v>#VALUE!</v>
      </c>
    </row>
    <row r="75" spans="1:33" ht="13.15" thickTop="1"/>
    <row r="76" spans="1:33">
      <c r="AC76" s="173" t="e">
        <f>AC74-AC69</f>
        <v>#VALUE!</v>
      </c>
    </row>
  </sheetData>
  <sheetProtection algorithmName="SHA-512" hashValue="7KwKg4xNEMQwUxEMVEgOZBy3Qzdf5PsweCZM29iezz90RGBfRQ9Zj+/hCa8oYjxyyCXRuecWN/miFgqtwfoEPg==" saltValue="eX0ZUqSovcbk79k4TsHSgA==" spinCount="100000" sheet="1" objects="1" scenarios="1"/>
  <mergeCells count="15">
    <mergeCell ref="A61:B61"/>
    <mergeCell ref="F1:L1"/>
    <mergeCell ref="AE41:AE43"/>
    <mergeCell ref="A55:B55"/>
    <mergeCell ref="A56:B56"/>
    <mergeCell ref="A59:B59"/>
    <mergeCell ref="A60:B60"/>
    <mergeCell ref="T1:Z1"/>
    <mergeCell ref="G2:K2"/>
    <mergeCell ref="T2:Z2"/>
    <mergeCell ref="E7:N7"/>
    <mergeCell ref="D41:D43"/>
    <mergeCell ref="A57:B57"/>
    <mergeCell ref="A58:B58"/>
    <mergeCell ref="AE53:AE54"/>
  </mergeCells>
  <conditionalFormatting sqref="F1">
    <cfRule type="containsText" dxfId="8" priority="27" stopIfTrue="1" operator="containsText" text="Enter">
      <formula>NOT(ISERROR(SEARCH("Enter",F1)))</formula>
    </cfRule>
  </conditionalFormatting>
  <conditionalFormatting sqref="T1">
    <cfRule type="containsText" dxfId="7" priority="26" stopIfTrue="1" operator="containsText" text="Enter">
      <formula>NOT(ISERROR(SEARCH("Enter",T1)))</formula>
    </cfRule>
  </conditionalFormatting>
  <conditionalFormatting sqref="AD45">
    <cfRule type="cellIs" dxfId="6" priority="5" stopIfTrue="1" operator="notEqual">
      <formula>$D$45</formula>
    </cfRule>
  </conditionalFormatting>
  <conditionalFormatting sqref="AD46">
    <cfRule type="cellIs" dxfId="5" priority="1" stopIfTrue="1" operator="notEqual">
      <formula>$D$46</formula>
    </cfRule>
  </conditionalFormatting>
  <conditionalFormatting sqref="AD48">
    <cfRule type="cellIs" dxfId="4" priority="4" stopIfTrue="1" operator="notEqual">
      <formula>$D$48</formula>
    </cfRule>
  </conditionalFormatting>
  <conditionalFormatting sqref="AD49">
    <cfRule type="cellIs" dxfId="3" priority="3" stopIfTrue="1" operator="notEqual">
      <formula>$D$49</formula>
    </cfRule>
  </conditionalFormatting>
  <conditionalFormatting sqref="AD50">
    <cfRule type="cellIs" dxfId="2" priority="2" stopIfTrue="1" operator="notEqual">
      <formula>$D$50</formula>
    </cfRule>
  </conditionalFormatting>
  <pageMargins left="0.7" right="0.7" top="0.75" bottom="0.75" header="0.3" footer="0.3"/>
  <pageSetup scale="49" fitToWidth="0" orientation="landscape" r:id="rId1"/>
  <headerFooter>
    <oddHeader>&amp;RPage &amp;P of &amp;N</oddHeader>
  </headerFooter>
  <colBreaks count="1" manualBreakCount="1">
    <brk id="18"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56"/>
  <sheetViews>
    <sheetView workbookViewId="0">
      <pane xSplit="1" ySplit="5" topLeftCell="B140" activePane="bottomRight" state="frozen"/>
      <selection pane="topRight" activeCell="B1" sqref="B1"/>
      <selection pane="bottomLeft" activeCell="A6" sqref="A6"/>
      <selection pane="bottomRight" activeCell="D156" sqref="D156"/>
    </sheetView>
  </sheetViews>
  <sheetFormatPr defaultColWidth="9.1328125" defaultRowHeight="12.75"/>
  <cols>
    <col min="1" max="1" width="56.86328125" style="1192" customWidth="1"/>
    <col min="2" max="2" width="17" style="1192" customWidth="1"/>
    <col min="3" max="3" width="14" style="1192" customWidth="1"/>
    <col min="4" max="4" width="14.86328125" style="1192" customWidth="1"/>
    <col min="5" max="5" width="14" style="1192" customWidth="1"/>
    <col min="6" max="8" width="9.1328125" style="1192"/>
    <col min="9" max="9" width="19" style="1192" customWidth="1"/>
    <col min="10" max="10" width="23.6640625" style="1192" customWidth="1"/>
    <col min="11" max="16384" width="9.1328125" style="1192"/>
  </cols>
  <sheetData>
    <row r="1" spans="1:10">
      <c r="A1" s="1571" t="str">
        <f>'BUDGET-CERTIFICATION'!H1</f>
        <v>Encor Jr./Sr. High School for the Performing and Visual Arts</v>
      </c>
    </row>
    <row r="2" spans="1:10">
      <c r="A2" s="1571" t="s">
        <v>161</v>
      </c>
    </row>
    <row r="3" spans="1:10">
      <c r="A3" s="1571" t="str">
        <f>'Budget-ADA'!K7</f>
        <v>2024-25</v>
      </c>
    </row>
    <row r="4" spans="1:10">
      <c r="A4" s="1571" t="str">
        <f>'BUDGET-CERTIFICATION'!H3</f>
        <v>Hesperia Unified School District</v>
      </c>
    </row>
    <row r="5" spans="1:10">
      <c r="B5" s="1572" t="s">
        <v>371</v>
      </c>
      <c r="C5" s="1572" t="s">
        <v>369</v>
      </c>
      <c r="D5" s="1572" t="s">
        <v>372</v>
      </c>
      <c r="E5" s="1572" t="s">
        <v>491</v>
      </c>
      <c r="H5" s="1572"/>
      <c r="I5" s="1572"/>
      <c r="J5" s="1572"/>
    </row>
    <row r="6" spans="1:10">
      <c r="A6" s="1192" t="s">
        <v>370</v>
      </c>
      <c r="B6" s="1594">
        <f>'Budget-ADA'!J76</f>
        <v>504.33</v>
      </c>
      <c r="C6" s="1594" t="e">
        <f>'2nd Interim-ADA'!O76</f>
        <v>#VALUE!</v>
      </c>
      <c r="D6" s="1594" t="e">
        <f>'2nd Interim-ADA'!R76</f>
        <v>#VALUE!</v>
      </c>
      <c r="E6" s="1594" t="e">
        <f>'2nd Interim-ADA'!U76</f>
        <v>#VALUE!</v>
      </c>
      <c r="H6" s="1573"/>
      <c r="I6" s="1574"/>
      <c r="J6" s="1574"/>
    </row>
    <row r="7" spans="1:10">
      <c r="A7" s="1192" t="s">
        <v>373</v>
      </c>
      <c r="B7" s="1575">
        <f>'Budget-Assumptions'!F24</f>
        <v>561</v>
      </c>
      <c r="C7" s="1576">
        <f>'2nd Interim-Assumptions'!G24</f>
        <v>0</v>
      </c>
      <c r="D7" s="1576">
        <f>'2nd Interim-Assumptions'!H24</f>
        <v>0</v>
      </c>
      <c r="E7" s="1576">
        <f>'2nd Interim-Assumptions'!J24</f>
        <v>0</v>
      </c>
      <c r="H7" s="1573"/>
      <c r="I7" s="1574"/>
      <c r="J7" s="1574"/>
    </row>
    <row r="8" spans="1:10">
      <c r="A8" s="1192" t="s">
        <v>362</v>
      </c>
      <c r="B8" s="1575">
        <f>'Budget-Assumptions'!F27</f>
        <v>324</v>
      </c>
      <c r="C8" s="1576">
        <f>'2nd Interim-Assumptions'!G27</f>
        <v>0</v>
      </c>
      <c r="D8" s="1576">
        <f>'2nd Interim-Assumptions'!H27</f>
        <v>0</v>
      </c>
      <c r="E8" s="1576">
        <f>'2nd Interim-Assumptions'!J27</f>
        <v>0</v>
      </c>
      <c r="H8" s="1573"/>
      <c r="I8" s="1574"/>
      <c r="J8" s="1574"/>
    </row>
    <row r="9" spans="1:10">
      <c r="A9" s="1192" t="s">
        <v>374</v>
      </c>
      <c r="B9" s="1577">
        <f>'Budget-Assumptions'!F28</f>
        <v>0.67720000000000002</v>
      </c>
      <c r="C9" s="1577">
        <f>'2nd Interim-Assumptions'!G28</f>
        <v>0</v>
      </c>
      <c r="D9" s="1577">
        <f>'2nd Interim-Assumptions'!H28</f>
        <v>0</v>
      </c>
      <c r="E9" s="1577">
        <f>'2nd Interim-Assumptions'!J28</f>
        <v>0</v>
      </c>
      <c r="H9" s="1573"/>
      <c r="I9" s="1574"/>
      <c r="J9" s="1574"/>
    </row>
    <row r="10" spans="1:10">
      <c r="H10" s="1573"/>
      <c r="I10" s="1574"/>
      <c r="J10" s="1574"/>
    </row>
    <row r="11" spans="1:10">
      <c r="A11" s="1192" t="s">
        <v>152</v>
      </c>
      <c r="B11" s="1579">
        <f>'Budget-Unrestricted MYP'!E13+'Budget-Unrestricted MYP'!E14+'Budget-Unrestricted MYP'!E15+'Budget-Unrestricted MYP'!E16</f>
        <v>6472272</v>
      </c>
      <c r="C11" s="1579">
        <f>'2nd Interim-Assumptions'!G11</f>
        <v>0</v>
      </c>
      <c r="D11" s="1579">
        <f>'2nd Interim-Assumptions'!H11</f>
        <v>0</v>
      </c>
      <c r="E11" s="1579">
        <f>'2nd Interim-Assumptions'!J11</f>
        <v>0</v>
      </c>
      <c r="H11" s="1573"/>
      <c r="I11" s="1574"/>
      <c r="J11" s="1574"/>
    </row>
    <row r="12" spans="1:10">
      <c r="H12" s="1573"/>
      <c r="I12" s="1574"/>
      <c r="J12" s="1574"/>
    </row>
    <row r="13" spans="1:10">
      <c r="A13" s="1192" t="s">
        <v>375</v>
      </c>
      <c r="C13" s="1594">
        <f>'2nd Interim-Assumptions'!G31</f>
        <v>0</v>
      </c>
      <c r="D13" s="1594">
        <f>'2nd Interim-Assumptions'!H31</f>
        <v>0</v>
      </c>
      <c r="E13" s="1594">
        <f>'2nd Interim-Assumptions'!J31</f>
        <v>0</v>
      </c>
      <c r="H13" s="1573"/>
      <c r="I13" s="1574"/>
      <c r="J13" s="1574"/>
    </row>
    <row r="14" spans="1:10">
      <c r="A14" s="1192" t="s">
        <v>382</v>
      </c>
      <c r="C14" s="1594">
        <f>'2nd Interim-Assumptions'!G33</f>
        <v>0</v>
      </c>
      <c r="D14" s="1594">
        <f>'2nd Interim-Assumptions'!H33</f>
        <v>0</v>
      </c>
      <c r="E14" s="1594">
        <f>'2nd Interim-Assumptions'!J33</f>
        <v>0</v>
      </c>
      <c r="H14" s="1573"/>
      <c r="I14" s="1574"/>
      <c r="J14" s="1574"/>
    </row>
    <row r="15" spans="1:10">
      <c r="A15" s="1192" t="s">
        <v>465</v>
      </c>
      <c r="C15" s="1594">
        <f>'2nd Interim-Assumptions'!G32</f>
        <v>0</v>
      </c>
      <c r="D15" s="1594">
        <f>'2nd Interim-Assumptions'!H32</f>
        <v>0</v>
      </c>
      <c r="E15" s="1594">
        <f>'2nd Interim-Assumptions'!J32</f>
        <v>0</v>
      </c>
      <c r="H15" s="1573"/>
    </row>
    <row r="16" spans="1:10">
      <c r="C16" s="1594"/>
      <c r="D16" s="1594"/>
      <c r="E16" s="1594"/>
      <c r="H16" s="1573"/>
    </row>
    <row r="17" spans="1:5">
      <c r="A17" s="1192" t="s">
        <v>383</v>
      </c>
      <c r="C17" s="1594">
        <f>'2nd Interim-Assumptions'!G51</f>
        <v>0</v>
      </c>
      <c r="D17" s="1594">
        <f>'2nd Interim-Assumptions'!H51</f>
        <v>0</v>
      </c>
      <c r="E17" s="1594">
        <f>'2nd Interim-Assumptions'!J51</f>
        <v>0</v>
      </c>
    </row>
    <row r="18" spans="1:5">
      <c r="A18" s="1192" t="s">
        <v>471</v>
      </c>
      <c r="C18" s="1594">
        <f>'2nd Interim-Assumptions'!G52</f>
        <v>0</v>
      </c>
      <c r="D18" s="1594">
        <f>'2nd Interim-Assumptions'!H52</f>
        <v>0</v>
      </c>
      <c r="E18" s="1594">
        <f>'2nd Interim-Assumptions'!J52</f>
        <v>0</v>
      </c>
    </row>
    <row r="19" spans="1:5">
      <c r="C19" s="1580"/>
      <c r="D19" s="1580"/>
      <c r="E19" s="1580"/>
    </row>
    <row r="20" spans="1:5">
      <c r="A20" s="1192" t="s">
        <v>467</v>
      </c>
      <c r="C20" s="1579">
        <f>'2nd Interim-Assumptions'!G36</f>
        <v>0</v>
      </c>
      <c r="D20" s="1579">
        <f>'2nd Interim-Assumptions'!H36</f>
        <v>0</v>
      </c>
      <c r="E20" s="1579">
        <f>'2nd Interim-Assumptions'!J36</f>
        <v>0</v>
      </c>
    </row>
    <row r="21" spans="1:5">
      <c r="A21" s="1192" t="s">
        <v>466</v>
      </c>
      <c r="C21" s="1579">
        <f>'2nd Interim-Assumptions'!G38</f>
        <v>0</v>
      </c>
      <c r="D21" s="1579">
        <f>'2nd Interim-Assumptions'!H38</f>
        <v>0</v>
      </c>
      <c r="E21" s="1579">
        <f>'2nd Interim-Assumptions'!J38</f>
        <v>0</v>
      </c>
    </row>
    <row r="22" spans="1:5">
      <c r="A22" s="1192" t="s">
        <v>468</v>
      </c>
      <c r="C22" s="1579">
        <f>'2nd Interim-Assumptions'!G37</f>
        <v>0</v>
      </c>
      <c r="D22" s="1579">
        <f>'2nd Interim-Assumptions'!H37</f>
        <v>0</v>
      </c>
      <c r="E22" s="1579">
        <f>'2nd Interim-Assumptions'!J37</f>
        <v>0</v>
      </c>
    </row>
    <row r="23" spans="1:5">
      <c r="A23" s="1583" t="s">
        <v>496</v>
      </c>
      <c r="C23" s="1579">
        <f>'2nd Interim-Assumptions'!G40</f>
        <v>0</v>
      </c>
      <c r="D23" s="1579">
        <f>'2nd Interim-Assumptions'!H40</f>
        <v>0</v>
      </c>
      <c r="E23" s="1579">
        <f>'2nd Interim-Assumptions'!J40</f>
        <v>0</v>
      </c>
    </row>
    <row r="24" spans="1:5">
      <c r="A24" s="1583"/>
      <c r="C24" s="1579"/>
      <c r="D24" s="1579"/>
      <c r="E24" s="1579"/>
    </row>
    <row r="25" spans="1:5">
      <c r="A25" s="1192" t="s">
        <v>469</v>
      </c>
      <c r="C25" s="1579">
        <f>'2nd Interim-Assumptions'!G53</f>
        <v>0</v>
      </c>
      <c r="D25" s="1579">
        <f>'2nd Interim-Assumptions'!H53</f>
        <v>0</v>
      </c>
      <c r="E25" s="1579">
        <f>'2nd Interim-Assumptions'!J53</f>
        <v>0</v>
      </c>
    </row>
    <row r="26" spans="1:5">
      <c r="A26" s="1192" t="s">
        <v>470</v>
      </c>
      <c r="C26" s="1579">
        <f>'2nd Interim-Assumptions'!G54</f>
        <v>0</v>
      </c>
      <c r="D26" s="1579">
        <f>'2nd Interim-Assumptions'!H54</f>
        <v>0</v>
      </c>
      <c r="E26" s="1579">
        <f>'2nd Interim-Assumptions'!J54</f>
        <v>0</v>
      </c>
    </row>
    <row r="27" spans="1:5">
      <c r="A27" s="1583" t="s">
        <v>497</v>
      </c>
      <c r="C27" s="1579">
        <f>'2nd Interim-Assumptions'!G56</f>
        <v>0</v>
      </c>
      <c r="D27" s="1579">
        <f>'2nd Interim-Assumptions'!H56</f>
        <v>0</v>
      </c>
      <c r="E27" s="1579">
        <f>'2nd Interim-Assumptions'!J56</f>
        <v>0</v>
      </c>
    </row>
    <row r="28" spans="1:5">
      <c r="C28" s="1579"/>
      <c r="D28" s="1579"/>
      <c r="E28" s="1579"/>
    </row>
    <row r="29" spans="1:5">
      <c r="A29" s="1583" t="s">
        <v>449</v>
      </c>
      <c r="C29" s="1579">
        <f>'2nd Interim-Assumptions'!G41</f>
        <v>0</v>
      </c>
      <c r="D29" s="1579">
        <f>'2nd Interim-Assumptions'!H41</f>
        <v>0</v>
      </c>
      <c r="E29" s="1579">
        <f>'2nd Interim-Assumptions'!J41</f>
        <v>0</v>
      </c>
    </row>
    <row r="30" spans="1:5">
      <c r="A30" s="1192" t="s">
        <v>450</v>
      </c>
      <c r="C30" s="1579">
        <f>'2nd Interim-Assumptions'!G57</f>
        <v>0</v>
      </c>
      <c r="D30" s="1579">
        <f>'2nd Interim-Assumptions'!H57</f>
        <v>0</v>
      </c>
      <c r="E30" s="1579">
        <f>'2nd Interim-Assumptions'!J57</f>
        <v>0</v>
      </c>
    </row>
    <row r="31" spans="1:5">
      <c r="C31" s="1579"/>
      <c r="D31" s="1579"/>
      <c r="E31" s="1579"/>
    </row>
    <row r="32" spans="1:5">
      <c r="A32" s="1192" t="s">
        <v>439</v>
      </c>
      <c r="C32" s="1590">
        <f>'2nd Interim-Assumptions'!G43</f>
        <v>0</v>
      </c>
      <c r="D32" s="1590">
        <f>'2nd Interim-Assumptions'!H43</f>
        <v>0</v>
      </c>
      <c r="E32" s="1590">
        <f>'2nd Interim-Assumptions'!J43</f>
        <v>0</v>
      </c>
    </row>
    <row r="33" spans="1:5">
      <c r="A33" s="1192" t="s">
        <v>440</v>
      </c>
      <c r="C33" s="1590">
        <f>'2nd Interim-Assumptions'!G59</f>
        <v>0</v>
      </c>
      <c r="D33" s="1590">
        <f>'2nd Interim-Assumptions'!H59</f>
        <v>0</v>
      </c>
      <c r="E33" s="1590">
        <f>'2nd Interim-Assumptions'!J59</f>
        <v>0</v>
      </c>
    </row>
    <row r="34" spans="1:5">
      <c r="A34" s="1192" t="s">
        <v>499</v>
      </c>
      <c r="B34" s="1581"/>
      <c r="C34" s="1574">
        <f>'1st Interim-Assumptions'!G42</f>
        <v>0</v>
      </c>
      <c r="D34" s="1574">
        <f>'1st Interim-Assumptions'!H42</f>
        <v>0</v>
      </c>
      <c r="E34" s="1574">
        <f>'1st Interim-Assumptions'!J42</f>
        <v>0</v>
      </c>
    </row>
    <row r="35" spans="1:5">
      <c r="A35" s="1192" t="s">
        <v>498</v>
      </c>
      <c r="B35" s="1581"/>
      <c r="C35" s="1574">
        <f>'2nd Interim-Assumptions'!G58</f>
        <v>0</v>
      </c>
      <c r="D35" s="1574">
        <f>'2nd Interim-Assumptions'!H58</f>
        <v>0</v>
      </c>
      <c r="E35" s="1574">
        <f>'2nd Interim-Assumptions'!J58</f>
        <v>0</v>
      </c>
    </row>
    <row r="36" spans="1:5">
      <c r="C36" s="1581"/>
      <c r="D36" s="1581"/>
      <c r="E36" s="1581"/>
    </row>
    <row r="37" spans="1:5">
      <c r="A37" s="1584" t="s">
        <v>445</v>
      </c>
      <c r="C37" s="1591">
        <f>'2nd Interim-Assumptions'!G67</f>
        <v>0</v>
      </c>
      <c r="D37" s="1591">
        <f>'2nd Interim-Assumptions'!H67</f>
        <v>0</v>
      </c>
      <c r="E37" s="1591">
        <f>'2nd Interim-Assumptions'!J67</f>
        <v>0</v>
      </c>
    </row>
    <row r="38" spans="1:5">
      <c r="A38" s="1192" t="s">
        <v>446</v>
      </c>
      <c r="C38" s="1592">
        <f>'2nd Interim-Assumptions'!G68</f>
        <v>0</v>
      </c>
      <c r="D38" s="1592">
        <f>'2nd Interim-Assumptions'!H68</f>
        <v>0</v>
      </c>
      <c r="E38" s="1592">
        <f>'2nd Interim-Assumptions'!J68</f>
        <v>0</v>
      </c>
    </row>
    <row r="39" spans="1:5">
      <c r="A39" s="1192" t="s">
        <v>447</v>
      </c>
      <c r="C39" s="1593">
        <f>'2nd Interim-Assumptions'!G69</f>
        <v>0</v>
      </c>
      <c r="D39" s="1593">
        <f>'2nd Interim-Assumptions'!H69</f>
        <v>0</v>
      </c>
      <c r="E39" s="1593">
        <f>'2nd Interim-Assumptions'!J69</f>
        <v>0</v>
      </c>
    </row>
    <row r="40" spans="1:5">
      <c r="A40" s="1192" t="s">
        <v>448</v>
      </c>
      <c r="C40" s="1593">
        <f>'2nd Interim-Assumptions'!G70</f>
        <v>0</v>
      </c>
      <c r="D40" s="1593">
        <f>'2nd Interim-Assumptions'!H70</f>
        <v>0</v>
      </c>
      <c r="E40" s="1593">
        <f>'2nd Interim-Assumptions'!J70</f>
        <v>0</v>
      </c>
    </row>
    <row r="41" spans="1:5">
      <c r="C41" s="1581"/>
      <c r="D41" s="1581"/>
      <c r="E41" s="1581"/>
    </row>
    <row r="42" spans="1:5">
      <c r="A42" s="1192" t="s">
        <v>392</v>
      </c>
      <c r="B42" s="1574"/>
      <c r="C42" s="1574"/>
      <c r="D42" s="1574"/>
      <c r="E42" s="1574"/>
    </row>
    <row r="43" spans="1:5">
      <c r="A43" s="1192" t="s">
        <v>388</v>
      </c>
      <c r="B43" s="1574">
        <f>'Budget-Unrestricted MYP'!E50</f>
        <v>3049473</v>
      </c>
      <c r="C43" s="1574">
        <f>'2nd Interim-Unrestricted MYP'!H50</f>
        <v>2481096.0499999998</v>
      </c>
      <c r="D43" s="1574">
        <f>'2nd Interim-Unrestricted MYP'!J50</f>
        <v>0</v>
      </c>
      <c r="E43" s="1574">
        <f>'2nd Interim-Unrestricted MYP'!L50</f>
        <v>0</v>
      </c>
    </row>
    <row r="44" spans="1:5">
      <c r="A44" s="1192" t="s">
        <v>402</v>
      </c>
      <c r="B44" s="1574">
        <f>'Budget-Unrestricted MYP'!E51</f>
        <v>0</v>
      </c>
      <c r="C44" s="1574">
        <f>'2nd Interim-Unrestricted MYP'!H51</f>
        <v>0</v>
      </c>
      <c r="D44" s="1574">
        <f>'2nd Interim-Unrestricted MYP'!J51</f>
        <v>0</v>
      </c>
      <c r="E44" s="1574">
        <f>'2nd Interim-Unrestricted MYP'!L51</f>
        <v>0</v>
      </c>
    </row>
    <row r="45" spans="1:5">
      <c r="A45" s="1192" t="s">
        <v>233</v>
      </c>
      <c r="B45" s="1574">
        <f>'Budget-Unrestricted MYP'!E52</f>
        <v>0</v>
      </c>
      <c r="C45" s="1588">
        <f>'2nd Interim-Unrestricted MYP'!H52</f>
        <v>2481096.0499999998</v>
      </c>
      <c r="D45" s="1574">
        <f>'2nd Interim-Unrestricted MYP'!J52</f>
        <v>0</v>
      </c>
      <c r="E45" s="1574">
        <f>'2nd Interim-Unrestricted MYP'!L52</f>
        <v>0</v>
      </c>
    </row>
    <row r="46" spans="1:5">
      <c r="A46" s="1192" t="s">
        <v>389</v>
      </c>
      <c r="B46" s="1574">
        <f>'Budget-Unrestricted MYP'!E53</f>
        <v>0</v>
      </c>
      <c r="C46" s="1588">
        <f>'2nd Interim-Unrestricted MYP'!H53</f>
        <v>0</v>
      </c>
      <c r="D46" s="1574">
        <f>'2nd Interim-Unrestricted MYP'!J53</f>
        <v>0</v>
      </c>
      <c r="E46" s="1574">
        <f>'2nd Interim-Unrestricted MYP'!L53</f>
        <v>0</v>
      </c>
    </row>
    <row r="47" spans="1:5">
      <c r="A47" s="1192" t="s">
        <v>390</v>
      </c>
      <c r="B47" s="1574">
        <f>'Budget-Unrestricted MYP'!E54</f>
        <v>0</v>
      </c>
      <c r="C47" s="1574">
        <f>'2nd Interim-Unrestricted MYP'!H54</f>
        <v>0</v>
      </c>
      <c r="D47" s="1574">
        <f>'2nd Interim-Unrestricted MYP'!J54</f>
        <v>0</v>
      </c>
      <c r="E47" s="1574">
        <f>'2nd Interim-Unrestricted MYP'!L54</f>
        <v>0</v>
      </c>
    </row>
    <row r="48" spans="1:5">
      <c r="A48" s="1192" t="s">
        <v>281</v>
      </c>
      <c r="B48" s="1574">
        <f>'Budget-Unrestricted MYP'!E55</f>
        <v>3049473</v>
      </c>
      <c r="C48" s="1588">
        <f>'2nd Interim-Unrestricted MYP'!H55</f>
        <v>2481096.0499999998</v>
      </c>
      <c r="D48" s="1574" t="e">
        <f>'2nd Interim-Unrestricted MYP'!J55</f>
        <v>#VALUE!</v>
      </c>
      <c r="E48" s="1574" t="e">
        <f>'2nd Interim-Unrestricted MYP'!L55</f>
        <v>#VALUE!</v>
      </c>
    </row>
    <row r="49" spans="1:5">
      <c r="A49" s="1192" t="s">
        <v>391</v>
      </c>
      <c r="B49" s="1574">
        <f>'Budget-Unrestricted MYP'!E56</f>
        <v>2481096.0499999998</v>
      </c>
      <c r="C49" s="1588" t="e">
        <f>'2nd Interim-Unrestricted MYP'!H56</f>
        <v>#VALUE!</v>
      </c>
      <c r="D49" s="1574" t="e">
        <f>'2nd Interim-Unrestricted MYP'!J56</f>
        <v>#VALUE!</v>
      </c>
      <c r="E49" s="1574" t="e">
        <f>'2nd Interim-Unrestricted MYP'!L56</f>
        <v>#VALUE!</v>
      </c>
    </row>
    <row r="50" spans="1:5">
      <c r="B50" s="1574"/>
      <c r="C50" s="1588"/>
      <c r="D50" s="1574"/>
      <c r="E50" s="1574"/>
    </row>
    <row r="51" spans="1:5">
      <c r="A51" s="1192" t="s">
        <v>394</v>
      </c>
      <c r="B51" s="1574">
        <f>'Budget-Unrestricted MYP'!E60</f>
        <v>0</v>
      </c>
      <c r="C51" s="1588">
        <f>'2nd Interim-Unrestricted MYP'!H60</f>
        <v>0</v>
      </c>
      <c r="D51" s="1574">
        <f>'2nd Interim-Unrestricted MYP'!J60</f>
        <v>0</v>
      </c>
      <c r="E51" s="1574">
        <f>'2nd Interim-Unrestricted MYP'!L60</f>
        <v>0</v>
      </c>
    </row>
    <row r="52" spans="1:5">
      <c r="A52" s="1192" t="s">
        <v>403</v>
      </c>
      <c r="B52" s="1574">
        <f>'Budget-Unrestricted MYP'!E61</f>
        <v>0</v>
      </c>
      <c r="C52" s="1574">
        <f>'2nd Interim-Unrestricted MYP'!H61</f>
        <v>0</v>
      </c>
      <c r="D52" s="1574">
        <f>'2nd Interim-Unrestricted MYP'!J61</f>
        <v>0</v>
      </c>
      <c r="E52" s="1574">
        <f>'2nd Interim-Unrestricted MYP'!L61</f>
        <v>0</v>
      </c>
    </row>
    <row r="53" spans="1:5">
      <c r="A53" s="1585" t="s">
        <v>395</v>
      </c>
      <c r="B53" s="1589">
        <f>'Budget-Unrestricted MYP'!E62</f>
        <v>0</v>
      </c>
      <c r="C53" s="1574">
        <f>'2nd Interim-Unrestricted MYP'!H62</f>
        <v>0</v>
      </c>
      <c r="D53" s="1574">
        <f>'2nd Interim-Unrestricted MYP'!J62</f>
        <v>0</v>
      </c>
      <c r="E53" s="1574">
        <f>'2nd Interim-Unrestricted MYP'!L62</f>
        <v>0</v>
      </c>
    </row>
    <row r="54" spans="1:5">
      <c r="A54" s="1585" t="s">
        <v>396</v>
      </c>
      <c r="B54" s="1589">
        <f>'Budget-Unrestricted MYP'!E63</f>
        <v>0</v>
      </c>
      <c r="C54" s="1574">
        <f>'2nd Interim-Unrestricted MYP'!H63</f>
        <v>0</v>
      </c>
      <c r="D54" s="1574">
        <f>'2nd Interim-Unrestricted MYP'!J63</f>
        <v>0</v>
      </c>
      <c r="E54" s="1574">
        <f>'2nd Interim-Unrestricted MYP'!L63</f>
        <v>0</v>
      </c>
    </row>
    <row r="55" spans="1:5">
      <c r="A55" s="1585" t="s">
        <v>397</v>
      </c>
      <c r="B55" s="1589">
        <f>'Budget-Unrestricted MYP'!E66</f>
        <v>0</v>
      </c>
      <c r="C55" s="1574">
        <f>'2nd Interim-Unrestricted MYP'!H66</f>
        <v>0</v>
      </c>
      <c r="D55" s="1574">
        <f>'2nd Interim-Unrestricted MYP'!J66</f>
        <v>0</v>
      </c>
      <c r="E55" s="1574">
        <f>'2nd Interim-Unrestricted MYP'!L66</f>
        <v>0</v>
      </c>
    </row>
    <row r="56" spans="1:5">
      <c r="A56" s="1585" t="s">
        <v>398</v>
      </c>
      <c r="B56" s="1589">
        <f>'Budget-Unrestricted MYP'!E67</f>
        <v>0</v>
      </c>
      <c r="C56" s="1574">
        <f>'2nd Interim-Unrestricted MYP'!H67</f>
        <v>0</v>
      </c>
      <c r="D56" s="1574">
        <f>'2nd Interim-Unrestricted MYP'!J67</f>
        <v>0</v>
      </c>
      <c r="E56" s="1574">
        <f>'2nd Interim-Unrestricted MYP'!L67</f>
        <v>0</v>
      </c>
    </row>
    <row r="57" spans="1:5">
      <c r="A57" s="1585" t="s">
        <v>399</v>
      </c>
      <c r="B57" s="1589">
        <f>'Budget-Unrestricted MYP'!E67</f>
        <v>0</v>
      </c>
      <c r="C57" s="1574">
        <f>'2nd Interim-Unrestricted MYP'!H67</f>
        <v>0</v>
      </c>
      <c r="D57" s="1574">
        <f>'2nd Interim-Unrestricted MYP'!J67</f>
        <v>0</v>
      </c>
      <c r="E57" s="1574">
        <f>'2nd Interim-Unrestricted MYP'!L67</f>
        <v>0</v>
      </c>
    </row>
    <row r="58" spans="1:5">
      <c r="A58" s="1585" t="s">
        <v>400</v>
      </c>
      <c r="B58" s="1589">
        <f>'Budget-Unrestricted MYP'!E70</f>
        <v>521502</v>
      </c>
      <c r="C58" s="1574">
        <f>'2nd Interim-Unrestricted MYP'!H70</f>
        <v>0</v>
      </c>
      <c r="D58" s="1574">
        <f>'2nd Interim-Unrestricted MYP'!J70</f>
        <v>0</v>
      </c>
      <c r="E58" s="1574">
        <f>'2nd Interim-Unrestricted MYP'!L70</f>
        <v>0</v>
      </c>
    </row>
    <row r="59" spans="1:5">
      <c r="A59" s="1585" t="s">
        <v>401</v>
      </c>
      <c r="B59" s="1589">
        <f>'Budget-Unrestricted MYP'!E71</f>
        <v>1959594.0499999998</v>
      </c>
      <c r="C59" s="1574" t="e">
        <f>'2nd Interim-Unrestricted MYP'!H71</f>
        <v>#VALUE!</v>
      </c>
      <c r="D59" s="1574" t="e">
        <f>'2nd Interim-Unrestricted MYP'!J71</f>
        <v>#VALUE!</v>
      </c>
      <c r="E59" s="1574" t="e">
        <f>'2nd Interim-Unrestricted MYP'!L71</f>
        <v>#VALUE!</v>
      </c>
    </row>
    <row r="60" spans="1:5">
      <c r="A60" s="1585"/>
      <c r="B60" s="1589"/>
      <c r="C60" s="1574"/>
      <c r="D60" s="1574"/>
      <c r="E60" s="1574"/>
    </row>
    <row r="61" spans="1:5">
      <c r="A61" s="1585" t="s">
        <v>393</v>
      </c>
      <c r="B61" s="1589"/>
      <c r="C61" s="1574"/>
      <c r="D61" s="1574"/>
      <c r="E61" s="1574"/>
    </row>
    <row r="62" spans="1:5">
      <c r="A62" s="1192" t="s">
        <v>388</v>
      </c>
      <c r="B62" s="1574">
        <f>'Budget-Restricted MYP'!E50</f>
        <v>1489457</v>
      </c>
      <c r="C62" s="1574">
        <f>'2nd Interim-Restricted MYP'!H50</f>
        <v>2078650</v>
      </c>
      <c r="D62" s="1574">
        <f>'2nd Interim-Restricted MYP'!J50</f>
        <v>0</v>
      </c>
      <c r="E62" s="1574">
        <f>'2nd Interim-Restricted MYP'!L50</f>
        <v>0</v>
      </c>
    </row>
    <row r="63" spans="1:5">
      <c r="A63" s="1192" t="s">
        <v>402</v>
      </c>
      <c r="B63" s="1574">
        <f>'Budget-Restricted MYP'!E51</f>
        <v>0</v>
      </c>
      <c r="C63" s="1574">
        <f>'2nd Interim-Restricted MYP'!H51</f>
        <v>0</v>
      </c>
      <c r="D63" s="1574">
        <f>'2nd Interim-Restricted MYP'!J51</f>
        <v>0</v>
      </c>
      <c r="E63" s="1574">
        <f>'2nd Interim-Restricted MYP'!L51</f>
        <v>0</v>
      </c>
    </row>
    <row r="64" spans="1:5">
      <c r="A64" s="1192" t="s">
        <v>233</v>
      </c>
      <c r="B64" s="1574">
        <f>B62+B63</f>
        <v>1489457</v>
      </c>
      <c r="C64" s="1574">
        <f>C62+C63</f>
        <v>2078650</v>
      </c>
      <c r="D64" s="1574">
        <f>D62+D63</f>
        <v>0</v>
      </c>
      <c r="E64" s="1574">
        <f>E62+E63</f>
        <v>0</v>
      </c>
    </row>
    <row r="65" spans="1:5">
      <c r="A65" s="1192" t="s">
        <v>389</v>
      </c>
      <c r="B65" s="1574">
        <f>'Budget-Restricted MYP'!E53</f>
        <v>0</v>
      </c>
      <c r="C65" s="1574">
        <f>'2nd Interim-Restricted MYP'!H53</f>
        <v>0</v>
      </c>
      <c r="D65" s="1574">
        <f>'2nd Interim-Restricted MYP'!J53</f>
        <v>0</v>
      </c>
      <c r="E65" s="1574">
        <f>'2nd Interim-Restricted MYP'!L53</f>
        <v>0</v>
      </c>
    </row>
    <row r="66" spans="1:5">
      <c r="A66" s="1192" t="s">
        <v>390</v>
      </c>
      <c r="B66" s="1574">
        <f>'Budget-Restricted MYP'!E54</f>
        <v>0</v>
      </c>
      <c r="C66" s="1574">
        <f>'2nd Interim-Restricted MYP'!H54</f>
        <v>0</v>
      </c>
      <c r="D66" s="1574">
        <f>'2nd Interim-Restricted MYP'!J54</f>
        <v>0</v>
      </c>
      <c r="E66" s="1574">
        <f>'2nd Interim-Restricted MYP'!L54</f>
        <v>0</v>
      </c>
    </row>
    <row r="67" spans="1:5">
      <c r="A67" s="1192" t="s">
        <v>281</v>
      </c>
      <c r="B67" s="1574">
        <f>'Budget-Restricted MYP'!E55</f>
        <v>1489457</v>
      </c>
      <c r="C67" s="1574">
        <f>'2nd Interim-Restricted MYP'!H55</f>
        <v>2078650</v>
      </c>
      <c r="D67" s="1574" t="e">
        <f>'2nd Interim-Restricted MYP'!J55</f>
        <v>#VALUE!</v>
      </c>
      <c r="E67" s="1574" t="e">
        <f>'2nd Interim-Restricted MYP'!L55</f>
        <v>#VALUE!</v>
      </c>
    </row>
    <row r="68" spans="1:5">
      <c r="A68" s="1192" t="s">
        <v>391</v>
      </c>
      <c r="B68" s="1574">
        <f>'Budget-Restricted MYP'!E56</f>
        <v>2078650</v>
      </c>
      <c r="C68" s="1574" t="e">
        <f>'2nd Interim-Restricted MYP'!H56</f>
        <v>#VALUE!</v>
      </c>
      <c r="D68" s="1574" t="e">
        <f>'2nd Interim-Restricted MYP'!J56</f>
        <v>#VALUE!</v>
      </c>
      <c r="E68" s="1574" t="e">
        <f>'2nd Interim-Restricted MYP'!L56</f>
        <v>#VALUE!</v>
      </c>
    </row>
    <row r="69" spans="1:5">
      <c r="B69" s="1574"/>
      <c r="C69" s="1574"/>
      <c r="D69" s="1574"/>
      <c r="E69" s="1574"/>
    </row>
    <row r="70" spans="1:5">
      <c r="A70" s="1192" t="s">
        <v>385</v>
      </c>
      <c r="B70" s="1574">
        <f>'Budget-Unrestricted MYP'!E13</f>
        <v>4337624</v>
      </c>
      <c r="C70" s="1574">
        <f>'2nd Interim-Unrestricted MYP'!H13</f>
        <v>0</v>
      </c>
      <c r="D70" s="1574">
        <f>'2nd Interim-Unrestricted MYP'!J13</f>
        <v>0</v>
      </c>
      <c r="E70" s="1574">
        <f>'2nd Interim-Unrestricted MYP'!L13</f>
        <v>0</v>
      </c>
    </row>
    <row r="71" spans="1:5">
      <c r="A71" s="1192" t="s">
        <v>404</v>
      </c>
      <c r="B71" s="1574">
        <f>'Budget-Unrestricted MYP'!E14</f>
        <v>1910851</v>
      </c>
      <c r="C71" s="1574">
        <f>'2nd Interim-Unrestricted MYP'!H15</f>
        <v>0</v>
      </c>
      <c r="D71" s="1574">
        <f>'2nd Interim-Unrestricted MYP'!J14</f>
        <v>0</v>
      </c>
      <c r="E71" s="1574">
        <f>'2nd Interim-Unrestricted MYP'!L14</f>
        <v>0</v>
      </c>
    </row>
    <row r="72" spans="1:5">
      <c r="A72" s="1192" t="s">
        <v>387</v>
      </c>
      <c r="B72" s="1574">
        <f>'Budget-Unrestricted MYP'!E15</f>
        <v>4192</v>
      </c>
      <c r="C72" s="1574">
        <f>'2nd Interim-Unrestricted MYP'!H15</f>
        <v>0</v>
      </c>
      <c r="D72" s="1574">
        <f>'2nd Interim-Unrestricted MYP'!J15</f>
        <v>0</v>
      </c>
      <c r="E72" s="1574">
        <f>'2nd Interim-Unrestricted MYP'!L15</f>
        <v>0</v>
      </c>
    </row>
    <row r="73" spans="1:5">
      <c r="A73" s="1192" t="s">
        <v>386</v>
      </c>
      <c r="B73" s="1574">
        <f>'Budget-Unrestricted MYP'!E16</f>
        <v>219605</v>
      </c>
      <c r="C73" s="1574">
        <f>'2nd Interim-Unrestricted MYP'!H16</f>
        <v>0</v>
      </c>
      <c r="D73" s="1574">
        <f>'2nd Interim-Unrestricted MYP'!J16</f>
        <v>0</v>
      </c>
      <c r="E73" s="1574">
        <f>'2nd Interim-Unrestricted MYP'!L16</f>
        <v>0</v>
      </c>
    </row>
    <row r="74" spans="1:5">
      <c r="B74" s="1578"/>
      <c r="C74" s="1578"/>
      <c r="D74" s="1578"/>
      <c r="E74" s="1578"/>
    </row>
    <row r="75" spans="1:5">
      <c r="A75" s="1192" t="s">
        <v>459</v>
      </c>
      <c r="B75" s="1587">
        <f>'Budget-Summary MYP'!E74</f>
        <v>0.04</v>
      </c>
      <c r="C75" s="1587" t="e">
        <f>'2nd Interim-Summary MYP'!H74</f>
        <v>#VALUE!</v>
      </c>
      <c r="D75" s="1587" t="e">
        <f>'2nd Interim-Summary MYP'!J74</f>
        <v>#VALUE!</v>
      </c>
      <c r="E75" s="1587" t="e">
        <f>'2nd Interim-Summary MYP'!L74</f>
        <v>#VALUE!</v>
      </c>
    </row>
    <row r="76" spans="1:5">
      <c r="A76" s="1192" t="s">
        <v>475</v>
      </c>
      <c r="B76" s="1587" t="str">
        <f>IF('Budget-Summary MYP'!E75="","",'Budget-Summary MYP'!E75)</f>
        <v/>
      </c>
      <c r="C76" s="1587" t="str">
        <f>IF('2nd Interim-Summary MYP'!H75="","",'2nd Interim-Summary MYP'!H75)</f>
        <v/>
      </c>
      <c r="D76" s="1587" t="str">
        <f>IF('2nd Interim-Summary MYP'!J75="","",'2nd Interim-Summary MYP'!J75)</f>
        <v/>
      </c>
      <c r="E76" s="1587" t="str">
        <f>IF('2nd Interim-Summary MYP'!L75="","",'2nd Interim-Summary MYP'!L75)</f>
        <v/>
      </c>
    </row>
    <row r="77" spans="1:5">
      <c r="A77" s="1192" t="s">
        <v>418</v>
      </c>
      <c r="B77" s="1582">
        <f>'Budget-Summary MYP'!E72</f>
        <v>0.24135072281791789</v>
      </c>
      <c r="C77" s="1582" t="e">
        <f>'2nd Interim-Summary MYP'!H72</f>
        <v>#VALUE!</v>
      </c>
      <c r="D77" s="1582" t="e">
        <f>'2nd Interim-Summary MYP'!J72</f>
        <v>#VALUE!</v>
      </c>
      <c r="E77" s="1582" t="e">
        <f>'2nd Interim-Summary MYP'!L72</f>
        <v>#VALUE!</v>
      </c>
    </row>
    <row r="78" spans="1:5">
      <c r="A78" s="1192" t="s">
        <v>413</v>
      </c>
      <c r="B78" s="1582">
        <f>'Budget-Summary MYP'!E82</f>
        <v>0.08</v>
      </c>
      <c r="C78" s="1582" t="e">
        <f>'2nd Interim-Summary MYP'!H82</f>
        <v>#VALUE!</v>
      </c>
      <c r="D78" s="1582" t="e">
        <f>'2nd Interim-Summary MYP'!J82</f>
        <v>#VALUE!</v>
      </c>
      <c r="E78" s="1582" t="e">
        <f>'2nd Interim-Summary MYP'!L82</f>
        <v>#VALUE!</v>
      </c>
    </row>
    <row r="79" spans="1:5">
      <c r="A79" s="1192" t="s">
        <v>419</v>
      </c>
      <c r="B79" s="1582">
        <f>'Budget-Summary MYP'!E81</f>
        <v>0.08</v>
      </c>
      <c r="C79" s="1582" t="e">
        <f>'2nd Interim-Summary MYP'!H81</f>
        <v>#VALUE!</v>
      </c>
      <c r="D79" s="1582" t="e">
        <f>'2nd Interim-Summary MYP'!J81</f>
        <v>#VALUE!</v>
      </c>
      <c r="E79" s="1582" t="e">
        <f>'2nd Interim-Summary MYP'!L81</f>
        <v>#VALUE!</v>
      </c>
    </row>
    <row r="80" spans="1:5">
      <c r="B80" s="1582"/>
      <c r="C80" s="1582"/>
      <c r="D80" s="1582"/>
      <c r="E80" s="1582"/>
    </row>
    <row r="81" spans="1:5">
      <c r="A81" s="1192" t="s">
        <v>427</v>
      </c>
      <c r="B81" s="1586">
        <f>'Budget-Unrestricted MYP'!E26+'Budget-Unrestricted MYP'!E43</f>
        <v>6512441.0499999998</v>
      </c>
      <c r="C81" s="1586" t="e">
        <f>'2nd Interim-Unrestricted MYP'!H26+'2nd Interim-Unrestricted MYP'!H43</f>
        <v>#VALUE!</v>
      </c>
      <c r="D81" s="1586" t="e">
        <f>'2nd Interim-Unrestricted MYP'!J26+'2nd Interim-Unrestricted MYP'!J43</f>
        <v>#VALUE!</v>
      </c>
      <c r="E81" s="1586" t="e">
        <f>'2nd Interim-Unrestricted MYP'!L26+'2nd Interim-Unrestricted MYP'!L43</f>
        <v>#VALUE!</v>
      </c>
    </row>
    <row r="82" spans="1:5">
      <c r="A82" s="1192" t="s">
        <v>428</v>
      </c>
      <c r="B82" s="1574">
        <f>'Budget-Unrestricted MYP'!E38+'Budget-Unrestricted MYP'!E44</f>
        <v>7080818</v>
      </c>
      <c r="C82" s="1574">
        <f>'2nd Interim-Unrestricted MYP'!H38+'2nd Interim-Unrestricted MYP'!H44</f>
        <v>0</v>
      </c>
      <c r="D82" s="1574">
        <f>'2nd Interim-Unrestricted MYP'!J38+'2nd Interim-Unrestricted MYP'!J44</f>
        <v>0</v>
      </c>
      <c r="E82" s="1574">
        <f>'2nd Interim-Unrestricted MYP'!L38+'2nd Interim-Unrestricted MYP'!L44</f>
        <v>0</v>
      </c>
    </row>
    <row r="83" spans="1:5">
      <c r="B83" s="1574"/>
      <c r="C83" s="1574"/>
      <c r="D83" s="1574"/>
      <c r="E83" s="1574"/>
    </row>
    <row r="84" spans="1:5">
      <c r="A84" s="1192" t="s">
        <v>429</v>
      </c>
      <c r="B84" s="1574">
        <f>'Budget-Restricted MYP'!E26+'Budget-Restricted MYP'!E43</f>
        <v>3788419.3783</v>
      </c>
      <c r="C84" s="1574" t="e">
        <f>'2nd Interim-Restricted MYP'!H26+'2nd Interim-Restricted MYP'!H43</f>
        <v>#VALUE!</v>
      </c>
      <c r="D84" s="1574" t="e">
        <f>'2nd Interim-Restricted MYP'!J26+'2nd Interim-Restricted MYP'!J43</f>
        <v>#VALUE!</v>
      </c>
      <c r="E84" s="1574" t="e">
        <f>'2nd Interim-Restricted MYP'!L26+'2nd Interim-Restricted MYP'!L43</f>
        <v>#VALUE!</v>
      </c>
    </row>
    <row r="85" spans="1:5">
      <c r="A85" s="1192" t="s">
        <v>430</v>
      </c>
      <c r="B85" s="1574">
        <f>'Budget-Restricted MYP'!E38+'Budget-Restricted MYP'!E44</f>
        <v>3199226</v>
      </c>
      <c r="C85" s="1574">
        <f>'2nd Interim-Restricted MYP'!H38+'2nd Interim-Restricted MYP'!H44</f>
        <v>0</v>
      </c>
      <c r="D85" s="1574">
        <f>'2nd Interim-Restricted MYP'!J38+'2nd Interim-Restricted MYP'!J44</f>
        <v>0</v>
      </c>
      <c r="E85" s="1574">
        <f>'2nd Interim-Restricted MYP'!L38+'2nd Interim-Restricted MYP'!L44</f>
        <v>0</v>
      </c>
    </row>
    <row r="86" spans="1:5">
      <c r="B86" s="1579"/>
      <c r="C86" s="1579"/>
      <c r="D86" s="1579"/>
      <c r="E86" s="1579"/>
    </row>
    <row r="87" spans="1:5">
      <c r="A87" s="1192" t="s">
        <v>431</v>
      </c>
      <c r="B87" s="1579"/>
      <c r="C87" s="1595">
        <f>'2nd Interim-Restricted MYP'!H150</f>
        <v>0</v>
      </c>
      <c r="D87" s="1595">
        <f>'2nd Interim-Restricted MYP'!J150</f>
        <v>0</v>
      </c>
      <c r="E87" s="1595">
        <f>'2nd Interim-Restricted MYP'!L150</f>
        <v>0</v>
      </c>
    </row>
    <row r="88" spans="1:5">
      <c r="A88" s="1192" t="s">
        <v>437</v>
      </c>
      <c r="C88" s="1192" t="str">
        <f>T('2nd Interim-Restricted MYP'!E151:M151)</f>
        <v/>
      </c>
    </row>
    <row r="89" spans="1:5">
      <c r="A89" s="1192" t="s">
        <v>433</v>
      </c>
      <c r="B89" s="1581"/>
      <c r="C89" s="1574">
        <f>'2nd Interim-Restricted MYP'!H152</f>
        <v>0</v>
      </c>
      <c r="D89" s="1574">
        <f>'2nd Interim-Restricted MYP'!J152</f>
        <v>0</v>
      </c>
      <c r="E89" s="1574">
        <f>'2nd Interim-Restricted MYP'!L152</f>
        <v>0</v>
      </c>
    </row>
    <row r="90" spans="1:5">
      <c r="A90" s="1192" t="s">
        <v>434</v>
      </c>
      <c r="C90" s="1574">
        <f>'2nd Interim-Restricted MYP'!H153</f>
        <v>0</v>
      </c>
      <c r="D90" s="1574">
        <f>'2nd Interim-Restricted MYP'!J153</f>
        <v>0</v>
      </c>
      <c r="E90" s="1574">
        <f>'2nd Interim-Restricted MYP'!L153</f>
        <v>0</v>
      </c>
    </row>
    <row r="91" spans="1:5">
      <c r="A91" s="1192" t="s">
        <v>432</v>
      </c>
      <c r="B91" s="1579"/>
      <c r="C91" s="1579">
        <f>'2nd Interim-Restricted MYP'!H154</f>
        <v>0</v>
      </c>
      <c r="D91" s="1579">
        <f>'2nd Interim-Restricted MYP'!J154</f>
        <v>0</v>
      </c>
      <c r="E91" s="1579">
        <f>'2nd Interim-Restricted MYP'!L154</f>
        <v>0</v>
      </c>
    </row>
    <row r="92" spans="1:5">
      <c r="A92" s="1192" t="s">
        <v>435</v>
      </c>
      <c r="B92" s="1579"/>
      <c r="C92" s="1579">
        <f>'2nd Interim-Restricted MYP'!H155</f>
        <v>0</v>
      </c>
      <c r="D92" s="1579">
        <f>'2nd Interim-Restricted MYP'!J155</f>
        <v>0</v>
      </c>
      <c r="E92" s="1579">
        <f>'2nd Interim-Restricted MYP'!L155</f>
        <v>0</v>
      </c>
    </row>
    <row r="93" spans="1:5">
      <c r="A93" s="1192" t="s">
        <v>436</v>
      </c>
      <c r="B93" s="1579"/>
      <c r="C93" s="1579">
        <f>'2nd Interim-Restricted MYP'!H156</f>
        <v>0</v>
      </c>
      <c r="D93" s="1579">
        <f>'2nd Interim-Restricted MYP'!J156</f>
        <v>0</v>
      </c>
      <c r="E93" s="1579">
        <f>'2nd Interim-Restricted MYP'!L156</f>
        <v>0</v>
      </c>
    </row>
    <row r="94" spans="1:5">
      <c r="B94" s="1579"/>
      <c r="C94" s="1579"/>
      <c r="D94" s="1579"/>
      <c r="E94" s="1579"/>
    </row>
    <row r="95" spans="1:5">
      <c r="A95" s="1192" t="s">
        <v>441</v>
      </c>
      <c r="B95" s="1579"/>
      <c r="C95" s="1579"/>
      <c r="D95" s="1579"/>
      <c r="E95" s="1579"/>
    </row>
    <row r="96" spans="1:5">
      <c r="A96" s="1192" t="s">
        <v>4</v>
      </c>
      <c r="B96" s="1574">
        <f>'Budget-Unrestricted MYP'!E29</f>
        <v>1035762</v>
      </c>
      <c r="C96" s="1574">
        <f>'2nd Interim-Unrestricted MYP'!H29</f>
        <v>0</v>
      </c>
      <c r="D96" s="1574">
        <f>'2nd Interim-Unrestricted MYP'!J29</f>
        <v>0</v>
      </c>
      <c r="E96" s="1574">
        <f>'2nd Interim-Unrestricted MYP'!L29</f>
        <v>0</v>
      </c>
    </row>
    <row r="97" spans="1:5">
      <c r="A97" s="1192" t="s">
        <v>23</v>
      </c>
      <c r="B97" s="1574">
        <f>'Budget-Unrestricted MYP'!E30</f>
        <v>1228331</v>
      </c>
      <c r="C97" s="1574">
        <f>'2nd Interim-Unrestricted MYP'!H30</f>
        <v>0</v>
      </c>
      <c r="D97" s="1574">
        <f>'2nd Interim-Unrestricted MYP'!J30</f>
        <v>0</v>
      </c>
      <c r="E97" s="1574">
        <f>'2nd Interim-Unrestricted MYP'!L30</f>
        <v>0</v>
      </c>
    </row>
    <row r="98" spans="1:5">
      <c r="A98" s="1192" t="s">
        <v>24</v>
      </c>
      <c r="B98" s="1574">
        <f>'Budget-Unrestricted MYP'!E31</f>
        <v>1451838</v>
      </c>
      <c r="C98" s="1574">
        <f>'2nd Interim-Unrestricted MYP'!H31</f>
        <v>0</v>
      </c>
      <c r="D98" s="1574">
        <f>'2nd Interim-Unrestricted MYP'!J31</f>
        <v>0</v>
      </c>
      <c r="E98" s="1574">
        <f>'2nd Interim-Unrestricted MYP'!L31</f>
        <v>0</v>
      </c>
    </row>
    <row r="99" spans="1:5">
      <c r="A99" s="1192" t="s">
        <v>25</v>
      </c>
      <c r="B99" s="1574">
        <f>'Budget-Unrestricted MYP'!E32</f>
        <v>264439</v>
      </c>
      <c r="C99" s="1574">
        <f>'2nd Interim-Unrestricted MYP'!H32</f>
        <v>0</v>
      </c>
      <c r="D99" s="1574">
        <f>'2nd Interim-Unrestricted MYP'!J32</f>
        <v>0</v>
      </c>
      <c r="E99" s="1574">
        <f>'2nd Interim-Unrestricted MYP'!L32</f>
        <v>0</v>
      </c>
    </row>
    <row r="100" spans="1:5">
      <c r="A100" s="1192" t="s">
        <v>26</v>
      </c>
      <c r="B100" s="1574">
        <f>'Budget-Unrestricted MYP'!E33</f>
        <v>3100448</v>
      </c>
      <c r="C100" s="1574">
        <f>'2nd Interim-Unrestricted MYP'!H33</f>
        <v>0</v>
      </c>
      <c r="D100" s="1574">
        <f>'2nd Interim-Unrestricted MYP'!J33</f>
        <v>0</v>
      </c>
      <c r="E100" s="1574">
        <f>'2nd Interim-Unrestricted MYP'!L33</f>
        <v>0</v>
      </c>
    </row>
    <row r="101" spans="1:5">
      <c r="A101" s="1192" t="s">
        <v>508</v>
      </c>
      <c r="B101" s="1574">
        <f>'Budget-Unrestricted MYP'!E34</f>
        <v>0</v>
      </c>
      <c r="C101" s="1574">
        <f>'2nd Interim-Unrestricted MYP'!H34</f>
        <v>0</v>
      </c>
      <c r="D101" s="1574">
        <f>'2nd Interim-Unrestricted MYP'!J34</f>
        <v>0</v>
      </c>
      <c r="E101" s="1574">
        <f>'2nd Interim-Unrestricted MYP'!L34</f>
        <v>0</v>
      </c>
    </row>
    <row r="102" spans="1:5">
      <c r="A102" s="1192" t="s">
        <v>507</v>
      </c>
      <c r="B102" s="1574">
        <f>'Budget-Unrestricted MYP'!E35</f>
        <v>0</v>
      </c>
      <c r="C102" s="1574">
        <f>'2nd Interim-Unrestricted MYP'!H35</f>
        <v>0</v>
      </c>
      <c r="D102" s="1574">
        <f>'2nd Interim-Unrestricted MYP'!J35</f>
        <v>0</v>
      </c>
      <c r="E102" s="1574">
        <f>'2nd Interim-Unrestricted MYP'!L35</f>
        <v>0</v>
      </c>
    </row>
    <row r="103" spans="1:5">
      <c r="A103" s="1192" t="s">
        <v>27</v>
      </c>
      <c r="B103" s="1574">
        <f>'Budget-Unrestricted MYP'!E36</f>
        <v>0</v>
      </c>
      <c r="C103" s="1574">
        <f>'2nd Interim-Unrestricted MYP'!H36</f>
        <v>0</v>
      </c>
      <c r="D103" s="1574">
        <f>'2nd Interim-Unrestricted MYP'!J36</f>
        <v>0</v>
      </c>
      <c r="E103" s="1574">
        <f>'2nd Interim-Unrestricted MYP'!L36</f>
        <v>0</v>
      </c>
    </row>
    <row r="104" spans="1:5">
      <c r="A104" s="1192" t="s">
        <v>146</v>
      </c>
      <c r="B104" s="1574">
        <f>'Budget-Unrestricted MYP'!E37</f>
        <v>0</v>
      </c>
      <c r="C104" s="1574">
        <f>'2nd Interim-Unrestricted MYP'!H37</f>
        <v>0</v>
      </c>
      <c r="D104" s="1574">
        <f>'2nd Interim-Unrestricted MYP'!J37</f>
        <v>0</v>
      </c>
      <c r="E104" s="1574">
        <f>'2nd Interim-Unrestricted MYP'!L37</f>
        <v>0</v>
      </c>
    </row>
    <row r="105" spans="1:5">
      <c r="A105" s="1192" t="s">
        <v>442</v>
      </c>
      <c r="B105" s="1574">
        <f>'Budget-Unrestricted MYP'!E38</f>
        <v>7080818</v>
      </c>
      <c r="C105" s="1574">
        <f>'2nd Interim-Unrestricted MYP'!H38</f>
        <v>0</v>
      </c>
      <c r="D105" s="1574">
        <f>'2nd Interim-Unrestricted MYP'!J38</f>
        <v>0</v>
      </c>
      <c r="E105" s="1574">
        <f>'2nd Interim-Unrestricted MYP'!L38</f>
        <v>0</v>
      </c>
    </row>
    <row r="106" spans="1:5">
      <c r="B106" s="1574"/>
      <c r="C106" s="1574"/>
      <c r="D106" s="1574"/>
      <c r="E106" s="1574"/>
    </row>
    <row r="107" spans="1:5">
      <c r="A107" s="1192" t="s">
        <v>443</v>
      </c>
      <c r="B107" s="1574"/>
      <c r="C107" s="1574"/>
      <c r="D107" s="1574"/>
      <c r="E107" s="1574"/>
    </row>
    <row r="108" spans="1:5">
      <c r="A108" s="1192" t="s">
        <v>4</v>
      </c>
      <c r="B108" s="1574">
        <f>'Budget-Restricted MYP'!E29</f>
        <v>1772225</v>
      </c>
      <c r="C108" s="1574">
        <f>'2nd Interim-Restricted MYP'!H29</f>
        <v>0</v>
      </c>
      <c r="D108" s="1574">
        <f>'2nd Interim-Restricted MYP'!J29</f>
        <v>0</v>
      </c>
      <c r="E108" s="1574">
        <f>'2nd Interim-Restricted MYP'!L29</f>
        <v>0</v>
      </c>
    </row>
    <row r="109" spans="1:5">
      <c r="A109" s="1192" t="s">
        <v>23</v>
      </c>
      <c r="B109" s="1574">
        <f>'Budget-Restricted MYP'!E30</f>
        <v>198435</v>
      </c>
      <c r="C109" s="1574">
        <f>'2nd Interim-Restricted MYP'!H30</f>
        <v>0</v>
      </c>
      <c r="D109" s="1574">
        <f>'2nd Interim-Restricted MYP'!J30</f>
        <v>0</v>
      </c>
      <c r="E109" s="1574">
        <f>'2nd Interim-Restricted MYP'!L30</f>
        <v>0</v>
      </c>
    </row>
    <row r="110" spans="1:5">
      <c r="A110" s="1192" t="s">
        <v>24</v>
      </c>
      <c r="B110" s="1574">
        <f>'Budget-Restricted MYP'!E31</f>
        <v>109209</v>
      </c>
      <c r="C110" s="1574">
        <f>'2nd Interim-Restricted MYP'!H31</f>
        <v>0</v>
      </c>
      <c r="D110" s="1574">
        <f>'2nd Interim-Restricted MYP'!J31</f>
        <v>0</v>
      </c>
      <c r="E110" s="1574">
        <f>'2nd Interim-Restricted MYP'!L31</f>
        <v>0</v>
      </c>
    </row>
    <row r="111" spans="1:5">
      <c r="A111" s="1192" t="s">
        <v>25</v>
      </c>
      <c r="B111" s="1574">
        <f>'Budget-Restricted MYP'!E32</f>
        <v>357561</v>
      </c>
      <c r="C111" s="1574">
        <f>'2nd Interim-Restricted MYP'!H32</f>
        <v>0</v>
      </c>
      <c r="D111" s="1574">
        <f>'2nd Interim-Restricted MYP'!J32</f>
        <v>0</v>
      </c>
      <c r="E111" s="1574">
        <f>'2nd Interim-Restricted MYP'!L32</f>
        <v>0</v>
      </c>
    </row>
    <row r="112" spans="1:5">
      <c r="A112" s="1192" t="s">
        <v>26</v>
      </c>
      <c r="B112" s="1574">
        <f>'Budget-Restricted MYP'!E33</f>
        <v>761796</v>
      </c>
      <c r="C112" s="1574">
        <f>'2nd Interim-Restricted MYP'!H33</f>
        <v>0</v>
      </c>
      <c r="D112" s="1574">
        <f>'2nd Interim-Restricted MYP'!J33</f>
        <v>0</v>
      </c>
      <c r="E112" s="1574">
        <f>'2nd Interim-Restricted MYP'!L33</f>
        <v>0</v>
      </c>
    </row>
    <row r="113" spans="1:5">
      <c r="A113" s="1192" t="s">
        <v>508</v>
      </c>
      <c r="B113" s="1574">
        <f>'Budget-Restricted MYP'!E34</f>
        <v>0</v>
      </c>
      <c r="C113" s="1574">
        <f>'2nd Interim-Restricted MYP'!H34</f>
        <v>0</v>
      </c>
      <c r="D113" s="1574">
        <f>'2nd Interim-Restricted MYP'!J34</f>
        <v>0</v>
      </c>
      <c r="E113" s="1574">
        <f>'2nd Interim-Restricted MYP'!L34</f>
        <v>0</v>
      </c>
    </row>
    <row r="114" spans="1:5">
      <c r="A114" s="1192" t="s">
        <v>507</v>
      </c>
      <c r="B114" s="1574">
        <f>'Budget-Restricted MYP'!E35</f>
        <v>0</v>
      </c>
      <c r="C114" s="1574">
        <f>'2nd Interim-Restricted MYP'!H35</f>
        <v>0</v>
      </c>
      <c r="D114" s="1574">
        <f>'2nd Interim-Restricted MYP'!J35</f>
        <v>0</v>
      </c>
      <c r="E114" s="1574">
        <f>'2nd Interim-Restricted MYP'!L35</f>
        <v>0</v>
      </c>
    </row>
    <row r="115" spans="1:5">
      <c r="A115" s="1192" t="s">
        <v>27</v>
      </c>
      <c r="B115" s="1574">
        <f>'Budget-Restricted MYP'!E36</f>
        <v>0</v>
      </c>
      <c r="C115" s="1574">
        <f>'2nd Interim-Restricted MYP'!H36</f>
        <v>0</v>
      </c>
      <c r="D115" s="1574">
        <f>'2nd Interim-Restricted MYP'!J36</f>
        <v>0</v>
      </c>
      <c r="E115" s="1574">
        <f>'2nd Interim-Restricted MYP'!L36</f>
        <v>0</v>
      </c>
    </row>
    <row r="116" spans="1:5">
      <c r="A116" s="1192" t="s">
        <v>146</v>
      </c>
      <c r="B116" s="1574">
        <f>'Budget-Restricted MYP'!E37</f>
        <v>0</v>
      </c>
      <c r="C116" s="1574">
        <f>'2nd Interim-Restricted MYP'!H37</f>
        <v>0</v>
      </c>
      <c r="D116" s="1574">
        <f>'2nd Interim-Restricted MYP'!J37</f>
        <v>0</v>
      </c>
      <c r="E116" s="1574">
        <f>'2nd Interim-Restricted MYP'!L37</f>
        <v>0</v>
      </c>
    </row>
    <row r="117" spans="1:5">
      <c r="A117" s="1192" t="s">
        <v>442</v>
      </c>
      <c r="B117" s="1574">
        <f>'Budget-Restricted MYP'!E38</f>
        <v>3199226</v>
      </c>
      <c r="C117" s="1574">
        <f>'2nd Interim-Restricted MYP'!H38</f>
        <v>0</v>
      </c>
      <c r="D117" s="1574">
        <f>'2nd Interim-Restricted MYP'!J38</f>
        <v>0</v>
      </c>
      <c r="E117" s="1574">
        <f>'2nd Interim-Restricted MYP'!L38</f>
        <v>0</v>
      </c>
    </row>
    <row r="118" spans="1:5">
      <c r="B118" s="1574"/>
      <c r="C118" s="1574"/>
      <c r="D118" s="1574"/>
      <c r="E118" s="1574"/>
    </row>
    <row r="119" spans="1:5">
      <c r="A119" s="1192" t="s">
        <v>336</v>
      </c>
      <c r="B119" s="1574"/>
      <c r="C119" s="1574">
        <f>'2nd Interim-Assumptions'!G73</f>
        <v>0</v>
      </c>
      <c r="D119" s="1574">
        <f>'2nd Interim-Assumptions'!H73</f>
        <v>0</v>
      </c>
      <c r="E119" s="1574">
        <f>'2nd Interim-Assumptions'!J73</f>
        <v>0</v>
      </c>
    </row>
    <row r="120" spans="1:5">
      <c r="A120" s="1192" t="s">
        <v>337</v>
      </c>
      <c r="B120" s="1574"/>
      <c r="C120" s="1574">
        <f>'2nd Interim-Assumptions'!G74</f>
        <v>0</v>
      </c>
      <c r="D120" s="1574">
        <f>'2nd Interim-Assumptions'!H74</f>
        <v>0</v>
      </c>
      <c r="E120" s="1574">
        <f>'2nd Interim-Assumptions'!J74</f>
        <v>0</v>
      </c>
    </row>
    <row r="121" spans="1:5">
      <c r="A121" s="1192" t="s">
        <v>338</v>
      </c>
      <c r="B121" s="1574"/>
      <c r="C121" s="1574">
        <f>'2nd Interim-Assumptions'!G75</f>
        <v>0</v>
      </c>
      <c r="D121" s="1574">
        <f>'2nd Interim-Assumptions'!H75</f>
        <v>0</v>
      </c>
      <c r="E121" s="1574">
        <f>'2nd Interim-Assumptions'!J75</f>
        <v>0</v>
      </c>
    </row>
    <row r="122" spans="1:5">
      <c r="A122" s="1192" t="s">
        <v>158</v>
      </c>
      <c r="B122" s="1574"/>
      <c r="C122" s="1574">
        <f>'2nd Interim-Assumptions'!G76</f>
        <v>0</v>
      </c>
      <c r="D122" s="1574">
        <f>'2nd Interim-Assumptions'!H76</f>
        <v>0</v>
      </c>
      <c r="E122" s="1574">
        <f>'2nd Interim-Assumptions'!J76</f>
        <v>0</v>
      </c>
    </row>
    <row r="123" spans="1:5">
      <c r="C123" s="1579"/>
      <c r="D123" s="1579"/>
      <c r="E123" s="1579"/>
    </row>
    <row r="124" spans="1:5">
      <c r="A124" s="1192" t="s">
        <v>41</v>
      </c>
      <c r="C124" s="1579">
        <f>'2nd Interim-Assumptions'!G82</f>
        <v>0</v>
      </c>
      <c r="D124" s="1579">
        <f>'2nd Interim-Assumptions'!H82</f>
        <v>0</v>
      </c>
      <c r="E124" s="1579">
        <f>'2nd Interim-Assumptions'!J82</f>
        <v>0</v>
      </c>
    </row>
    <row r="125" spans="1:5">
      <c r="A125" s="1192" t="s">
        <v>232</v>
      </c>
      <c r="C125" s="1574">
        <f>'2nd Interim-Assumptions'!G83</f>
        <v>0</v>
      </c>
      <c r="D125" s="1574">
        <f>'2nd Interim-Assumptions'!H83</f>
        <v>0</v>
      </c>
      <c r="E125" s="1574">
        <f>'2nd Interim-Assumptions'!J83</f>
        <v>0</v>
      </c>
    </row>
    <row r="126" spans="1:5">
      <c r="A126" s="1192" t="s">
        <v>500</v>
      </c>
      <c r="C126" s="1579">
        <f>'2nd Interim-Assumptions'!G84</f>
        <v>0</v>
      </c>
      <c r="D126" s="1579">
        <f>'2nd Interim-Assumptions'!H84</f>
        <v>0</v>
      </c>
      <c r="E126" s="1579">
        <f>'2nd Interim-Assumptions'!J84</f>
        <v>0</v>
      </c>
    </row>
    <row r="127" spans="1:5">
      <c r="C127" s="1579"/>
      <c r="D127" s="1579"/>
      <c r="E127" s="1579"/>
    </row>
    <row r="128" spans="1:5">
      <c r="A128" s="1192" t="s">
        <v>474</v>
      </c>
      <c r="C128" s="1579"/>
      <c r="D128" s="1579"/>
      <c r="E128" s="1579"/>
    </row>
    <row r="129" spans="1:5">
      <c r="A129" s="1192" t="str">
        <f>T('2nd Interim-DEBT'!A15)</f>
        <v>State School Building Loans</v>
      </c>
      <c r="C129" s="1579">
        <f>'2nd Interim-DEBT'!E15+'2nd Interim-DEBT'!F15</f>
        <v>0</v>
      </c>
      <c r="D129" s="1579">
        <f>'2nd Interim-DEBT'!G15+'2nd Interim-DEBT'!H15</f>
        <v>0</v>
      </c>
      <c r="E129" s="1579">
        <f>'2nd Interim-DEBT'!I15+'2nd Interim-DEBT'!J15</f>
        <v>0</v>
      </c>
    </row>
    <row r="130" spans="1:5">
      <c r="A130" s="1192" t="str">
        <f>T('2nd Interim-DEBT'!A16)</f>
        <v>Charter School Start-up Loans</v>
      </c>
      <c r="C130" s="1574">
        <f>'2nd Interim-DEBT'!E16+'2nd Interim-DEBT'!F16</f>
        <v>0</v>
      </c>
      <c r="D130" s="1574">
        <f>'2nd Interim-DEBT'!G16+'2nd Interim-DEBT'!H16</f>
        <v>0</v>
      </c>
      <c r="E130" s="1574">
        <f>'2nd Interim-DEBT'!I16+'2nd Interim-DEBT'!J16</f>
        <v>0</v>
      </c>
    </row>
    <row r="131" spans="1:5">
      <c r="A131" s="1192" t="str">
        <f>T('2nd Interim-DEBT'!A17)</f>
        <v>Other Post Employment Benefits</v>
      </c>
      <c r="C131" s="1574">
        <f>'2nd Interim-DEBT'!E17+'2nd Interim-DEBT'!F17</f>
        <v>0</v>
      </c>
      <c r="D131" s="1574">
        <f>'2nd Interim-DEBT'!G17+'2nd Interim-DEBT'!H17</f>
        <v>0</v>
      </c>
      <c r="E131" s="1574">
        <f>'2nd Interim-DEBT'!I17+'2nd Interim-DEBT'!J17</f>
        <v>0</v>
      </c>
    </row>
    <row r="132" spans="1:5">
      <c r="A132" s="1192" t="str">
        <f>T('2nd Interim-DEBT'!A18)</f>
        <v>Compensated Absences</v>
      </c>
      <c r="C132" s="1574">
        <f>'2nd Interim-DEBT'!E18+'2nd Interim-DEBT'!F18</f>
        <v>0</v>
      </c>
      <c r="D132" s="1574">
        <f>'2nd Interim-DEBT'!G18+'2nd Interim-DEBT'!H18</f>
        <v>0</v>
      </c>
      <c r="E132" s="1574">
        <f>'2nd Interim-DEBT'!I18+'2nd Interim-DEBT'!J18</f>
        <v>0</v>
      </c>
    </row>
    <row r="133" spans="1:5">
      <c r="A133" s="1192" t="str">
        <f>T('2nd Interim-DEBT'!A19)</f>
        <v>Bank Line of Credit Loans</v>
      </c>
      <c r="C133" s="1574">
        <f>'2nd Interim-DEBT'!E19+'2nd Interim-DEBT'!F19</f>
        <v>0</v>
      </c>
      <c r="D133" s="1574">
        <f>'2nd Interim-DEBT'!G19+'2nd Interim-DEBT'!H19</f>
        <v>0</v>
      </c>
      <c r="E133" s="1574">
        <f>'2nd Interim-DEBT'!I19+'2nd Interim-DEBT'!J19</f>
        <v>0</v>
      </c>
    </row>
    <row r="134" spans="1:5">
      <c r="A134" s="1192" t="str">
        <f>T('2nd Interim-DEBT'!A20)</f>
        <v>Municipal Lease</v>
      </c>
      <c r="C134" s="1574">
        <f>'2nd Interim-DEBT'!E20+'2nd Interim-DEBT'!F20</f>
        <v>0</v>
      </c>
      <c r="D134" s="1574">
        <f>'2nd Interim-DEBT'!G20+'2nd Interim-DEBT'!H20</f>
        <v>0</v>
      </c>
      <c r="E134" s="1574">
        <f>'2nd Interim-DEBT'!I20+'2nd Interim-DEBT'!J20</f>
        <v>0</v>
      </c>
    </row>
    <row r="135" spans="1:5">
      <c r="A135" s="1192" t="str">
        <f>T('2nd Interim-DEBT'!A21)</f>
        <v>Capital Lease</v>
      </c>
      <c r="C135" s="1574">
        <f>'2nd Interim-DEBT'!E21+'2nd Interim-DEBT'!F21</f>
        <v>0</v>
      </c>
      <c r="D135" s="1574">
        <f>'2nd Interim-DEBT'!G21+'2nd Interim-DEBT'!H21</f>
        <v>0</v>
      </c>
      <c r="E135" s="1574">
        <f>'2nd Interim-DEBT'!I21+'2nd Interim-DEBT'!J21</f>
        <v>0</v>
      </c>
    </row>
    <row r="136" spans="1:5">
      <c r="A136" s="1192" t="str">
        <f>T('2nd Interim-DEBT'!A22)</f>
        <v>Capital Lease</v>
      </c>
      <c r="C136" s="1574">
        <f>'2nd Interim-DEBT'!E22+'2nd Interim-DEBT'!F22</f>
        <v>0</v>
      </c>
      <c r="D136" s="1574">
        <f>'2nd Interim-DEBT'!G22+'2nd Interim-DEBT'!H22</f>
        <v>0</v>
      </c>
      <c r="E136" s="1574">
        <f>'2nd Interim-DEBT'!I22+'2nd Interim-DEBT'!J22</f>
        <v>0</v>
      </c>
    </row>
    <row r="137" spans="1:5">
      <c r="A137" s="1192" t="str">
        <f>T('2nd Interim-DEBT'!A23)</f>
        <v>Capital Lease</v>
      </c>
      <c r="C137" s="1574">
        <f>'2nd Interim-DEBT'!E23+'2nd Interim-DEBT'!F23</f>
        <v>0</v>
      </c>
      <c r="D137" s="1574">
        <f>'2nd Interim-DEBT'!G23+'2nd Interim-DEBT'!H23</f>
        <v>0</v>
      </c>
      <c r="E137" s="1574">
        <f>'2nd Interim-DEBT'!I23+'2nd Interim-DEBT'!J23</f>
        <v>0</v>
      </c>
    </row>
    <row r="138" spans="1:5">
      <c r="A138" s="1192" t="str">
        <f>T('2nd Interim-DEBT'!A24)</f>
        <v>Inter-Agency Borrowing</v>
      </c>
      <c r="C138" s="1574">
        <f>'2nd Interim-DEBT'!E24+'2nd Interim-DEBT'!F24</f>
        <v>0</v>
      </c>
      <c r="D138" s="1574">
        <f>'2nd Interim-DEBT'!G24+'2nd Interim-DEBT'!H24</f>
        <v>0</v>
      </c>
      <c r="E138" s="1574">
        <f>'2nd Interim-DEBT'!I24+'2nd Interim-DEBT'!J24</f>
        <v>0</v>
      </c>
    </row>
    <row r="139" spans="1:5">
      <c r="A139" s="1192" t="str">
        <f>T('2nd Interim-DEBT'!A25)</f>
        <v>Other</v>
      </c>
      <c r="C139" s="1574">
        <f>'2nd Interim-DEBT'!E25+'2nd Interim-DEBT'!F25</f>
        <v>0</v>
      </c>
      <c r="D139" s="1574">
        <f>'2nd Interim-DEBT'!G25+'2nd Interim-DEBT'!H25</f>
        <v>0</v>
      </c>
      <c r="E139" s="1574">
        <f>'2nd Interim-DEBT'!I25+'2nd Interim-DEBT'!J25</f>
        <v>0</v>
      </c>
    </row>
    <row r="140" spans="1:5">
      <c r="A140" s="1192" t="str">
        <f>T('2nd Interim-DEBT'!A26)</f>
        <v/>
      </c>
      <c r="C140" s="1578"/>
      <c r="D140" s="1578"/>
      <c r="E140" s="1578"/>
    </row>
    <row r="141" spans="1:5">
      <c r="A141" s="1192" t="s">
        <v>472</v>
      </c>
      <c r="C141" s="1578"/>
      <c r="D141" s="1578"/>
      <c r="E141" s="1578"/>
    </row>
    <row r="142" spans="1:5">
      <c r="A142" s="1192" t="s">
        <v>473</v>
      </c>
      <c r="C142" s="1574">
        <f>'2nd Interim-Cash Flow Year 1'!E6</f>
        <v>0</v>
      </c>
      <c r="D142" s="1574">
        <f>'2nd Interim-Cash Flow Year 2'!E6</f>
        <v>0</v>
      </c>
    </row>
    <row r="143" spans="1:5">
      <c r="A143" s="1192" t="s">
        <v>79</v>
      </c>
      <c r="C143" s="1574">
        <f>'2nd Interim-Cash Flow Year 1'!E66</f>
        <v>0</v>
      </c>
      <c r="D143" s="1574">
        <f>'2nd Interim-Cash Flow Year 2'!E66</f>
        <v>0</v>
      </c>
    </row>
    <row r="144" spans="1:5">
      <c r="A144" s="1192" t="s">
        <v>81</v>
      </c>
      <c r="C144" s="1574">
        <f>'2nd Interim-Cash Flow Year 1'!G66</f>
        <v>0</v>
      </c>
      <c r="D144" s="1574">
        <f>'2nd Interim-Cash Flow Year 2'!G66</f>
        <v>0</v>
      </c>
    </row>
    <row r="145" spans="1:4">
      <c r="A145" s="1192" t="s">
        <v>83</v>
      </c>
      <c r="C145" s="1579">
        <f>'2nd Interim-Cash Flow Year 1'!I66</f>
        <v>0</v>
      </c>
      <c r="D145" s="1579">
        <f>'2nd Interim-Cash Flow Year 2'!I66</f>
        <v>0</v>
      </c>
    </row>
    <row r="146" spans="1:4">
      <c r="A146" s="1192" t="s">
        <v>84</v>
      </c>
      <c r="C146" s="1579">
        <f>'2nd Interim-Cash Flow Year 1'!K66</f>
        <v>0</v>
      </c>
      <c r="D146" s="1579">
        <f>'2nd Interim-Cash Flow Year 2'!K66</f>
        <v>0</v>
      </c>
    </row>
    <row r="147" spans="1:4">
      <c r="A147" s="1192" t="s">
        <v>85</v>
      </c>
      <c r="C147" s="1579">
        <f>'2nd Interim-Cash Flow Year 1'!M66</f>
        <v>0</v>
      </c>
      <c r="D147" s="1579">
        <f>'2nd Interim-Cash Flow Year 2'!M66</f>
        <v>0</v>
      </c>
    </row>
    <row r="148" spans="1:4">
      <c r="A148" s="1192" t="s">
        <v>86</v>
      </c>
      <c r="C148" s="1579">
        <f>'2nd Interim-Cash Flow Year 1'!O66</f>
        <v>0</v>
      </c>
      <c r="D148" s="1579">
        <f>'2nd Interim-Cash Flow Year 2'!O66</f>
        <v>0</v>
      </c>
    </row>
    <row r="149" spans="1:4">
      <c r="A149" s="1192" t="s">
        <v>87</v>
      </c>
      <c r="C149" s="1579">
        <f>'2nd Interim-Cash Flow Year 1'!Q66</f>
        <v>0</v>
      </c>
      <c r="D149" s="1579">
        <f>'2nd Interim-Cash Flow Year 2'!Q66</f>
        <v>0</v>
      </c>
    </row>
    <row r="150" spans="1:4">
      <c r="A150" s="1192" t="s">
        <v>88</v>
      </c>
      <c r="C150" s="1579">
        <f>'2nd Interim-Cash Flow Year 1'!S66</f>
        <v>0</v>
      </c>
      <c r="D150" s="1579">
        <f>'2nd Interim-Cash Flow Year 2'!S66</f>
        <v>0</v>
      </c>
    </row>
    <row r="151" spans="1:4">
      <c r="A151" s="1192" t="s">
        <v>89</v>
      </c>
      <c r="C151" s="1579">
        <f>'2nd Interim-Cash Flow Year 1'!U66</f>
        <v>0</v>
      </c>
      <c r="D151" s="1579">
        <f>'2nd Interim-Cash Flow Year 2'!U66</f>
        <v>0</v>
      </c>
    </row>
    <row r="152" spans="1:4">
      <c r="A152" s="1192" t="s">
        <v>90</v>
      </c>
      <c r="C152" s="1579">
        <f>'2nd Interim-Cash Flow Year 1'!W66</f>
        <v>0</v>
      </c>
      <c r="D152" s="1579">
        <f>'2nd Interim-Cash Flow Year 2'!W66</f>
        <v>0</v>
      </c>
    </row>
    <row r="153" spans="1:4">
      <c r="A153" s="1192" t="s">
        <v>91</v>
      </c>
      <c r="C153" s="1579">
        <f>'2nd Interim-Cash Flow Year 1'!Y66</f>
        <v>0</v>
      </c>
      <c r="D153" s="1579">
        <f>'2nd Interim-Cash Flow Year 2'!Y66</f>
        <v>0</v>
      </c>
    </row>
    <row r="154" spans="1:4">
      <c r="A154" s="1192" t="s">
        <v>92</v>
      </c>
      <c r="C154" s="1579">
        <f>'2nd Interim-Cash Flow Year 1'!AA66</f>
        <v>0</v>
      </c>
      <c r="D154" s="1579">
        <f>'2nd Interim-Cash Flow Year 2'!AA66</f>
        <v>0</v>
      </c>
    </row>
    <row r="155" spans="1:4">
      <c r="A155" s="1192" t="s">
        <v>518</v>
      </c>
      <c r="C155" s="1579" t="e">
        <f>'2nd Interim-Cash Flow Year 1'!AC69</f>
        <v>#VALUE!</v>
      </c>
      <c r="D155" s="1579" t="e">
        <f>'2nd Interim-Cash Flow Year 2'!AC69</f>
        <v>#VALUE!</v>
      </c>
    </row>
    <row r="156" spans="1:4">
      <c r="C156" s="1579"/>
      <c r="D156" s="1579"/>
    </row>
  </sheetData>
  <sheetProtection algorithmName="SHA-512" hashValue="Qmf/I2od1rtp0MGPCk28bhTvkFKr3SxOFbvyBV8YdvNzd4Et4uMJ0bZBoCvCJ5P6/CF+LE6buV4mOOm+Xjk3ZA==" saltValue="3DbEWyk6LvREeDKsMtsEvg==" spinCount="100000" sheet="1" objects="1" scenarios="1"/>
  <conditionalFormatting sqref="A77">
    <cfRule type="expression" dxfId="1" priority="2" stopIfTrue="1">
      <formula>$E$87=""</formula>
    </cfRule>
  </conditionalFormatting>
  <conditionalFormatting sqref="A78">
    <cfRule type="expression" dxfId="0" priority="1" stopIfTrue="1">
      <formula>$E$87&lt;&gt;0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48</vt:i4>
      </vt:variant>
    </vt:vector>
  </HeadingPairs>
  <TitlesOfParts>
    <vt:vector size="80" baseType="lpstr">
      <vt:lpstr>Instructions</vt:lpstr>
      <vt:lpstr>BUDGET-CHECKLIST</vt:lpstr>
      <vt:lpstr>BUDGET-CERTIFICATION</vt:lpstr>
      <vt:lpstr>Budget-ADA</vt:lpstr>
      <vt:lpstr>Budget-Assumptions</vt:lpstr>
      <vt:lpstr>Budget-Unrestricted MYP</vt:lpstr>
      <vt:lpstr>Budget-Restricted MYP</vt:lpstr>
      <vt:lpstr>Budget-Summary MYP</vt:lpstr>
      <vt:lpstr>Budget-DEBT</vt:lpstr>
      <vt:lpstr>Budget-Cash Flow Year 1</vt:lpstr>
      <vt:lpstr>Budget-Cash Flow Year 2</vt:lpstr>
      <vt:lpstr>Budget Data</vt:lpstr>
      <vt:lpstr>INTERIM-CHECKLIST</vt:lpstr>
      <vt:lpstr>INTERIM-CERTIFICATION</vt:lpstr>
      <vt:lpstr>1st Interim-ADA</vt:lpstr>
      <vt:lpstr>1st Interim-Assumptions</vt:lpstr>
      <vt:lpstr>1st Interim-Unrestricted MYP</vt:lpstr>
      <vt:lpstr>1st Interim-Restricted MYP</vt:lpstr>
      <vt:lpstr>1st Interim-Summary MYP</vt:lpstr>
      <vt:lpstr>1st Interim-DEBT</vt:lpstr>
      <vt:lpstr>1st Interim-Cash Flow Year 1</vt:lpstr>
      <vt:lpstr>1st Interim-Cash Flow Year 2</vt:lpstr>
      <vt:lpstr>1st Interim Data</vt:lpstr>
      <vt:lpstr>2nd Interim-ADA</vt:lpstr>
      <vt:lpstr>2nd Interim-Assumptions</vt:lpstr>
      <vt:lpstr>2nd Interim-Unrestricted MYP</vt:lpstr>
      <vt:lpstr>2nd Interim-Restricted MYP</vt:lpstr>
      <vt:lpstr>2nd Interim-Summary MYP</vt:lpstr>
      <vt:lpstr>2nd Interim-DEBT</vt:lpstr>
      <vt:lpstr>2nd Interim-Cash Flow Year 1</vt:lpstr>
      <vt:lpstr>2nd Interim-Cash Flow Year 2</vt:lpstr>
      <vt:lpstr>2nd Interim Data</vt:lpstr>
      <vt:lpstr>'1st Interim-ADA'!Print_Area</vt:lpstr>
      <vt:lpstr>'1st Interim-Assumptions'!Print_Area</vt:lpstr>
      <vt:lpstr>'1st Interim-Cash Flow Year 1'!Print_Area</vt:lpstr>
      <vt:lpstr>'1st Interim-Cash Flow Year 2'!Print_Area</vt:lpstr>
      <vt:lpstr>'1st Interim-Restricted MYP'!Print_Area</vt:lpstr>
      <vt:lpstr>'1st Interim-Summary MYP'!Print_Area</vt:lpstr>
      <vt:lpstr>'1st Interim-Unrestricted MYP'!Print_Area</vt:lpstr>
      <vt:lpstr>'2nd Interim-ADA'!Print_Area</vt:lpstr>
      <vt:lpstr>'2nd Interim-Assumptions'!Print_Area</vt:lpstr>
      <vt:lpstr>'2nd Interim-Cash Flow Year 1'!Print_Area</vt:lpstr>
      <vt:lpstr>'2nd Interim-Cash Flow Year 2'!Print_Area</vt:lpstr>
      <vt:lpstr>'2nd Interim-DEBT'!Print_Area</vt:lpstr>
      <vt:lpstr>'2nd Interim-Restricted MYP'!Print_Area</vt:lpstr>
      <vt:lpstr>'2nd Interim-Summary MYP'!Print_Area</vt:lpstr>
      <vt:lpstr>'2nd Interim-Unrestricted MYP'!Print_Area</vt:lpstr>
      <vt:lpstr>'Budget-ADA'!Print_Area</vt:lpstr>
      <vt:lpstr>'Budget-Assumptions'!Print_Area</vt:lpstr>
      <vt:lpstr>'Budget-Cash Flow Year 1'!Print_Area</vt:lpstr>
      <vt:lpstr>'Budget-Cash Flow Year 2'!Print_Area</vt:lpstr>
      <vt:lpstr>'BUDGET-CERTIFICATION'!Print_Area</vt:lpstr>
      <vt:lpstr>'BUDGET-CHECKLIST'!Print_Area</vt:lpstr>
      <vt:lpstr>'Budget-Restricted MYP'!Print_Area</vt:lpstr>
      <vt:lpstr>'Budget-Summary MYP'!Print_Area</vt:lpstr>
      <vt:lpstr>'Budget-Unrestricted MYP'!Print_Area</vt:lpstr>
      <vt:lpstr>Instructions!Print_Area</vt:lpstr>
      <vt:lpstr>'INTERIM-CHECKLIST'!Print_Area</vt:lpstr>
      <vt:lpstr>'1st Interim-ADA'!Print_Titles</vt:lpstr>
      <vt:lpstr>'1st Interim-Assumptions'!Print_Titles</vt:lpstr>
      <vt:lpstr>'1st Interim-Cash Flow Year 1'!Print_Titles</vt:lpstr>
      <vt:lpstr>'1st Interim-Cash Flow Year 2'!Print_Titles</vt:lpstr>
      <vt:lpstr>'1st Interim-Restricted MYP'!Print_Titles</vt:lpstr>
      <vt:lpstr>'1st Interim-Summary MYP'!Print_Titles</vt:lpstr>
      <vt:lpstr>'1st Interim-Unrestricted MYP'!Print_Titles</vt:lpstr>
      <vt:lpstr>'2nd Interim-ADA'!Print_Titles</vt:lpstr>
      <vt:lpstr>'2nd Interim-Assumptions'!Print_Titles</vt:lpstr>
      <vt:lpstr>'2nd Interim-Cash Flow Year 1'!Print_Titles</vt:lpstr>
      <vt:lpstr>'2nd Interim-Cash Flow Year 2'!Print_Titles</vt:lpstr>
      <vt:lpstr>'2nd Interim-Restricted MYP'!Print_Titles</vt:lpstr>
      <vt:lpstr>'2nd Interim-Summary MYP'!Print_Titles</vt:lpstr>
      <vt:lpstr>'2nd Interim-Unrestricted MYP'!Print_Titles</vt:lpstr>
      <vt:lpstr>'Budget-ADA'!Print_Titles</vt:lpstr>
      <vt:lpstr>'Budget-Assumptions'!Print_Titles</vt:lpstr>
      <vt:lpstr>'Budget-Cash Flow Year 1'!Print_Titles</vt:lpstr>
      <vt:lpstr>'Budget-Cash Flow Year 2'!Print_Titles</vt:lpstr>
      <vt:lpstr>'Budget-Restricted MYP'!Print_Titles</vt:lpstr>
      <vt:lpstr>'Budget-Summary MYP'!Print_Titles</vt:lpstr>
      <vt:lpstr>'Budget-Unrestricted MYP'!Print_Titles</vt:lpstr>
      <vt:lpstr>validbudgets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 for 2nd Int 1819 LCFF fixed</dc:title>
  <dc:creator>Annette Kerber</dc:creator>
  <cp:lastModifiedBy>Daniel Lee</cp:lastModifiedBy>
  <cp:lastPrinted>2024-05-21T20:36:39Z</cp:lastPrinted>
  <dcterms:created xsi:type="dcterms:W3CDTF">2005-06-16T03:48:07Z</dcterms:created>
  <dcterms:modified xsi:type="dcterms:W3CDTF">2024-06-22T06:08:12Z</dcterms:modified>
</cp:coreProperties>
</file>