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omments2.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omments3.xml" ContentType="application/vnd.openxmlformats-officedocument.spreadsheetml.comments+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omments4.xml" ContentType="application/vnd.openxmlformats-officedocument.spreadsheetml.comments+xml"/>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omments5.xml" ContentType="application/vnd.openxmlformats-officedocument.spreadsheetml.comments+xml"/>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omments6.xml" ContentType="application/vnd.openxmlformats-officedocument.spreadsheetml.comments+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omments7.xml" ContentType="application/vnd.openxmlformats-officedocument.spreadsheetml.comments+xml"/>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codeName="ThisWorkbook" defaultThemeVersion="124226"/>
  <mc:AlternateContent xmlns:mc="http://schemas.openxmlformats.org/markup-compatibility/2006">
    <mc:Choice Requires="x15">
      <x15ac:absPath xmlns:x15ac="http://schemas.microsoft.com/office/spreadsheetml/2010/11/ac" url="Z:\_ENCORE\Fiscal\2021-22 Budget\SIB\ALT Form - WIP\"/>
    </mc:Choice>
  </mc:AlternateContent>
  <xr:revisionPtr revIDLastSave="0" documentId="13_ncr:1_{8FCD7C8D-149E-4704-91F4-50FED0FB3EBD}" xr6:coauthVersionLast="47" xr6:coauthVersionMax="47" xr10:uidLastSave="{00000000-0000-0000-0000-000000000000}"/>
  <bookViews>
    <workbookView xWindow="-120" yWindow="-120" windowWidth="29040" windowHeight="17640" tabRatio="947" firstSheet="18" activeTab="23" xr2:uid="{00000000-000D-0000-FFFF-FFFF00000000}"/>
  </bookViews>
  <sheets>
    <sheet name="Instructions" sheetId="20" r:id="rId1"/>
    <sheet name="BUDGET-CHECKLIST" sheetId="47" r:id="rId2"/>
    <sheet name="BUDGET-CERTIFICATION" sheetId="48" r:id="rId3"/>
    <sheet name="Budget-ADA" sheetId="28" r:id="rId4"/>
    <sheet name="Budget-Assumptions" sheetId="29" r:id="rId5"/>
    <sheet name="Budget-Unrestricted MYP" sheetId="30" r:id="rId6"/>
    <sheet name="Budget-Restricted MYP" sheetId="31" r:id="rId7"/>
    <sheet name="Budget-Summary MYP" sheetId="32" r:id="rId8"/>
    <sheet name="Budget-DEBT" sheetId="36" r:id="rId9"/>
    <sheet name="Budget-Cash Flow Year 1" sheetId="34" r:id="rId10"/>
    <sheet name="Budget-Cash Flow Year 2" sheetId="35" r:id="rId11"/>
    <sheet name="Budget Data" sheetId="49" r:id="rId12"/>
    <sheet name="INTERIM-CHECKLIST" sheetId="9" r:id="rId13"/>
    <sheet name="INTERIM-CERTIFICATION" sheetId="10" r:id="rId14"/>
    <sheet name="1st Interim-ADA" sheetId="14" r:id="rId15"/>
    <sheet name="1st Interim-Assumptions" sheetId="21" r:id="rId16"/>
    <sheet name="1st Interim-Unrestricted MYP" sheetId="17" r:id="rId17"/>
    <sheet name="1st Interim-Restricted MYP" sheetId="16" r:id="rId18"/>
    <sheet name="1st Interim-Summary MYP" sheetId="2" r:id="rId19"/>
    <sheet name="1st Interim-DEBT" sheetId="15" r:id="rId20"/>
    <sheet name="1st Interim-Cash Flow Year 1" sheetId="37" r:id="rId21"/>
    <sheet name="1st Interim-Cash Flow Year 2" sheetId="38" r:id="rId22"/>
    <sheet name="1st Interim Data" sheetId="50" r:id="rId23"/>
    <sheet name="INTERIM-CERTIFICATION (2)" sheetId="53" r:id="rId24"/>
    <sheet name="2nd Interim-ADA" sheetId="39" r:id="rId25"/>
    <sheet name="2nd Interim-Assumptions" sheetId="40" r:id="rId26"/>
    <sheet name="2nd Interim-Unrestricted MYP" sheetId="41" r:id="rId27"/>
    <sheet name="2nd Interim-Restricted MYP" sheetId="42" r:id="rId28"/>
    <sheet name="2nd Interim-Summary MYP" sheetId="43" r:id="rId29"/>
    <sheet name="2nd Interim-DEBT" sheetId="44" r:id="rId30"/>
    <sheet name="2nd Interim-Cash Flow Year 1" sheetId="45" r:id="rId31"/>
    <sheet name="2nd Interim-Cash Flow Year 2" sheetId="46" r:id="rId32"/>
    <sheet name="2nd Interim Data" sheetId="51" r:id="rId33"/>
  </sheets>
  <externalReferences>
    <externalReference r:id="rId34"/>
  </externalReferences>
  <definedNames>
    <definedName name="_xlnm.Print_Area" localSheetId="14">'1st Interim-ADA'!$A$1:$V$78</definedName>
    <definedName name="_xlnm.Print_Area" localSheetId="15">'1st Interim-Assumptions'!$A$7:$K$88</definedName>
    <definedName name="_xlnm.Print_Area" localSheetId="17">'1st Interim-Restricted MYP'!$A$11:$L$150</definedName>
    <definedName name="_xlnm.Print_Area" localSheetId="18">'1st Interim-Summary MYP'!$A$11:$L$85</definedName>
    <definedName name="_xlnm.Print_Area" localSheetId="16">'1st Interim-Unrestricted MYP'!$A$1:$L$117</definedName>
    <definedName name="_xlnm.Print_Area" localSheetId="24">'2nd Interim-ADA'!$A$1:$V$79</definedName>
    <definedName name="_xlnm.Print_Area" localSheetId="25">'2nd Interim-Assumptions'!$A$7:$K$88</definedName>
    <definedName name="_xlnm.Print_Area" localSheetId="29">'2nd Interim-DEBT'!$A$1:$K$33</definedName>
    <definedName name="_xlnm.Print_Area" localSheetId="27">'2nd Interim-Restricted MYP'!$A$11:$M$149</definedName>
    <definedName name="_xlnm.Print_Area" localSheetId="28">'2nd Interim-Summary MYP'!$A$11:$M$85</definedName>
    <definedName name="_xlnm.Print_Area" localSheetId="26">'2nd Interim-Unrestricted MYP'!$A$11:$M$117</definedName>
    <definedName name="_xlnm.Print_Area" localSheetId="3">'Budget-ADA'!$A$7:$S$78</definedName>
    <definedName name="_xlnm.Print_Area" localSheetId="4">'Budget-Assumptions'!$A$7:$K$88</definedName>
    <definedName name="_xlnm.Print_Area" localSheetId="2">'BUDGET-CERTIFICATION'!$A$1:$M$57</definedName>
    <definedName name="_xlnm.Print_Area" localSheetId="1">'BUDGET-CHECKLIST'!$A$1:$B$29</definedName>
    <definedName name="_xlnm.Print_Area" localSheetId="6">'Budget-Restricted MYP'!$A$11:$K$150</definedName>
    <definedName name="_xlnm.Print_Area" localSheetId="7">'Budget-Summary MYP'!$A$11:$K$85</definedName>
    <definedName name="_xlnm.Print_Area" localSheetId="5">'Budget-Unrestricted MYP'!$A$11:$K$117</definedName>
    <definedName name="_xlnm.Print_Area" localSheetId="0">Instructions!$A$1:$J$88</definedName>
    <definedName name="_xlnm.Print_Area" localSheetId="12">'INTERIM-CHECKLIST'!$A$1:$B$29</definedName>
    <definedName name="_xlnm.Print_Titles" localSheetId="14">'1st Interim-ADA'!$1:$9</definedName>
    <definedName name="_xlnm.Print_Titles" localSheetId="15">'1st Interim-Assumptions'!$1:$6</definedName>
    <definedName name="_xlnm.Print_Titles" localSheetId="20">'1st Interim-Cash Flow Year 1'!$A:$C,'1st Interim-Cash Flow Year 1'!$1:$6</definedName>
    <definedName name="_xlnm.Print_Titles" localSheetId="21">'1st Interim-Cash Flow Year 2'!$A:$C</definedName>
    <definedName name="_xlnm.Print_Titles" localSheetId="17">'1st Interim-Restricted MYP'!$A:$D,'1st Interim-Restricted MYP'!$1:$10</definedName>
    <definedName name="_xlnm.Print_Titles" localSheetId="18">'1st Interim-Summary MYP'!$1:$10</definedName>
    <definedName name="_xlnm.Print_Titles" localSheetId="16">'1st Interim-Unrestricted MYP'!$1:$10</definedName>
    <definedName name="_xlnm.Print_Titles" localSheetId="24">'2nd Interim-ADA'!$1:$9</definedName>
    <definedName name="_xlnm.Print_Titles" localSheetId="25">'2nd Interim-Assumptions'!$1:$6</definedName>
    <definedName name="_xlnm.Print_Titles" localSheetId="30">'2nd Interim-Cash Flow Year 1'!$A:$C</definedName>
    <definedName name="_xlnm.Print_Titles" localSheetId="31">'2nd Interim-Cash Flow Year 2'!$A:$C</definedName>
    <definedName name="_xlnm.Print_Titles" localSheetId="27">'2nd Interim-Restricted MYP'!$1:$10</definedName>
    <definedName name="_xlnm.Print_Titles" localSheetId="28">'2nd Interim-Summary MYP'!$1:$10</definedName>
    <definedName name="_xlnm.Print_Titles" localSheetId="26">'2nd Interim-Unrestricted MYP'!$1:$10</definedName>
    <definedName name="_xlnm.Print_Titles" localSheetId="3">'Budget-ADA'!$1:$9</definedName>
    <definedName name="_xlnm.Print_Titles" localSheetId="4">'Budget-Assumptions'!$1:$6</definedName>
    <definedName name="_xlnm.Print_Titles" localSheetId="9">'Budget-Cash Flow Year 1'!$A:$C</definedName>
    <definedName name="_xlnm.Print_Titles" localSheetId="10">'Budget-Cash Flow Year 2'!$A:$C,'Budget-Cash Flow Year 2'!$1:$6</definedName>
    <definedName name="_xlnm.Print_Titles" localSheetId="6">'Budget-Restricted MYP'!$1:$10</definedName>
    <definedName name="_xlnm.Print_Titles" localSheetId="7">'Budget-Summary MYP'!$1:$10</definedName>
    <definedName name="_xlnm.Print_Titles" localSheetId="5">'Budget-Unrestricted MYP'!$1:$10</definedName>
    <definedName name="validbudgets">'Budget-Assumptions'!$B$61:$C$61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53" l="1"/>
  <c r="E27" i="53"/>
  <c r="E9" i="53"/>
  <c r="S6" i="53"/>
  <c r="M5" i="53"/>
  <c r="M4" i="53"/>
  <c r="M3" i="53"/>
  <c r="M2" i="53" a="1"/>
  <c r="Q2" i="53" s="1"/>
  <c r="M1" i="53"/>
  <c r="G53" i="41"/>
  <c r="P2" i="53" l="1"/>
  <c r="R2" i="53"/>
  <c r="M2" i="53"/>
  <c r="N2" i="53"/>
  <c r="O2" i="53"/>
  <c r="W18" i="45"/>
  <c r="Q18" i="45"/>
  <c r="L114" i="42" l="1"/>
  <c r="J114" i="42"/>
  <c r="H30" i="41"/>
  <c r="H33" i="41"/>
  <c r="H32" i="41"/>
  <c r="H31" i="41"/>
  <c r="H29" i="41"/>
  <c r="H33" i="42"/>
  <c r="H32" i="42"/>
  <c r="G50" i="17"/>
  <c r="G50" i="16"/>
  <c r="AA18" i="38"/>
  <c r="Y18" i="38"/>
  <c r="U18" i="38"/>
  <c r="U16" i="38"/>
  <c r="AA14" i="38"/>
  <c r="K88" i="16"/>
  <c r="I88" i="16"/>
  <c r="D46" i="37"/>
  <c r="F32" i="16"/>
  <c r="G31" i="17"/>
  <c r="G29" i="17"/>
  <c r="C92" i="50"/>
  <c r="W18" i="35"/>
  <c r="Q18" i="35"/>
  <c r="Y18" i="34"/>
  <c r="W18" i="34"/>
  <c r="U18" i="34"/>
  <c r="O18" i="34"/>
  <c r="M18" i="34"/>
  <c r="K18" i="34"/>
  <c r="G18" i="34"/>
  <c r="I18" i="34"/>
  <c r="Y18" i="35"/>
  <c r="U18" i="35"/>
  <c r="S18" i="35"/>
  <c r="O18" i="35"/>
  <c r="M18" i="35"/>
  <c r="K18" i="35"/>
  <c r="I18" i="35"/>
  <c r="G18" i="35"/>
  <c r="J39" i="29"/>
  <c r="H39" i="29"/>
  <c r="G33" i="30"/>
  <c r="E31" i="32"/>
  <c r="G30" i="30"/>
  <c r="AD55" i="46"/>
  <c r="AD54" i="46"/>
  <c r="AD53" i="46"/>
  <c r="AD52" i="46"/>
  <c r="AD51" i="46"/>
  <c r="AD56" i="46"/>
  <c r="AD47" i="46"/>
  <c r="AG47" i="46" s="1"/>
  <c r="AD46" i="46"/>
  <c r="AG46" i="46" s="1"/>
  <c r="AD45" i="46"/>
  <c r="AG45" i="46" s="1"/>
  <c r="AD44" i="46"/>
  <c r="AG44" i="46" s="1"/>
  <c r="AD43" i="46"/>
  <c r="AD55" i="45"/>
  <c r="AD54" i="45"/>
  <c r="AD53" i="45"/>
  <c r="AD52" i="45"/>
  <c r="AD51" i="45"/>
  <c r="AD47" i="45"/>
  <c r="AG47" i="45" s="1"/>
  <c r="AD46" i="45"/>
  <c r="AG46" i="45" s="1"/>
  <c r="AD45" i="45"/>
  <c r="AG45" i="45" s="1"/>
  <c r="AD44" i="45"/>
  <c r="AG44" i="45" s="1"/>
  <c r="AD43" i="45"/>
  <c r="AD55" i="38"/>
  <c r="AD54" i="38"/>
  <c r="AD53" i="38"/>
  <c r="AD52" i="38"/>
  <c r="AD51" i="38"/>
  <c r="AD47" i="38"/>
  <c r="AG47" i="38" s="1"/>
  <c r="AD46" i="38"/>
  <c r="AG46" i="38" s="1"/>
  <c r="AD45" i="38"/>
  <c r="AG45" i="38"/>
  <c r="AD44" i="38"/>
  <c r="AG44" i="38"/>
  <c r="AD43" i="38"/>
  <c r="AE43" i="38"/>
  <c r="AD55" i="37"/>
  <c r="AD54" i="37"/>
  <c r="AD53" i="37"/>
  <c r="AD52" i="37"/>
  <c r="AD51" i="37"/>
  <c r="AD47" i="37"/>
  <c r="AE47" i="37"/>
  <c r="AD46" i="37"/>
  <c r="AG46" i="37"/>
  <c r="AD45" i="37"/>
  <c r="AE45" i="37"/>
  <c r="AD44" i="37"/>
  <c r="AE44" i="37"/>
  <c r="AD43" i="37"/>
  <c r="AD43" i="34"/>
  <c r="AD44" i="34"/>
  <c r="AG44" i="34"/>
  <c r="AD45" i="34"/>
  <c r="AE45" i="34"/>
  <c r="AD46" i="34"/>
  <c r="AE46" i="34"/>
  <c r="AD47" i="34"/>
  <c r="AE47" i="34"/>
  <c r="AD51" i="34"/>
  <c r="AD52" i="34"/>
  <c r="AD53" i="34"/>
  <c r="AD54" i="34"/>
  <c r="AD55" i="34"/>
  <c r="AD55" i="35"/>
  <c r="AD54" i="35"/>
  <c r="AD53" i="35"/>
  <c r="AD52" i="35"/>
  <c r="AD51" i="35"/>
  <c r="AD56" i="35"/>
  <c r="AD47" i="35"/>
  <c r="AG47" i="35"/>
  <c r="AD46" i="35"/>
  <c r="AG46" i="35"/>
  <c r="AD45" i="35"/>
  <c r="AG45" i="35"/>
  <c r="AD44" i="35"/>
  <c r="AG44" i="35"/>
  <c r="AD43" i="35"/>
  <c r="AE43" i="35"/>
  <c r="A7" i="39"/>
  <c r="A7" i="14"/>
  <c r="F149" i="42"/>
  <c r="F147" i="42"/>
  <c r="F146" i="42"/>
  <c r="F143" i="42"/>
  <c r="E149" i="42"/>
  <c r="I149" i="42"/>
  <c r="E147" i="42"/>
  <c r="I147" i="42"/>
  <c r="E146" i="42"/>
  <c r="I146" i="42"/>
  <c r="E143" i="42"/>
  <c r="I143" i="42"/>
  <c r="G145" i="42"/>
  <c r="G148" i="42"/>
  <c r="M149" i="42"/>
  <c r="M147" i="42"/>
  <c r="M146" i="42"/>
  <c r="M143" i="42"/>
  <c r="K149" i="42"/>
  <c r="K147" i="42"/>
  <c r="K146" i="42"/>
  <c r="K143" i="42"/>
  <c r="L145" i="42"/>
  <c r="L148" i="42"/>
  <c r="E88" i="51"/>
  <c r="E150" i="16"/>
  <c r="H150" i="16"/>
  <c r="E148" i="16"/>
  <c r="H148" i="16"/>
  <c r="E147" i="16"/>
  <c r="H147" i="16"/>
  <c r="E144" i="16"/>
  <c r="H144" i="16"/>
  <c r="L150" i="16"/>
  <c r="L148" i="16"/>
  <c r="L147" i="16"/>
  <c r="J150" i="16"/>
  <c r="J148" i="16"/>
  <c r="J147" i="16"/>
  <c r="L144" i="16"/>
  <c r="J144" i="16"/>
  <c r="K146" i="16"/>
  <c r="E85" i="50"/>
  <c r="K149" i="16"/>
  <c r="I146" i="16"/>
  <c r="L146" i="16"/>
  <c r="I149" i="16"/>
  <c r="L149" i="16"/>
  <c r="G146" i="16"/>
  <c r="G149" i="16"/>
  <c r="J26" i="44"/>
  <c r="I26" i="44"/>
  <c r="H26" i="44"/>
  <c r="G26" i="44"/>
  <c r="F26" i="44"/>
  <c r="E26" i="44"/>
  <c r="D26" i="44"/>
  <c r="J26" i="15"/>
  <c r="I26" i="15"/>
  <c r="H26" i="15"/>
  <c r="G26" i="15"/>
  <c r="F26" i="15"/>
  <c r="E26" i="15"/>
  <c r="D26" i="15"/>
  <c r="M93" i="42"/>
  <c r="M92" i="42"/>
  <c r="M90" i="42"/>
  <c r="M89" i="42"/>
  <c r="M88" i="42"/>
  <c r="M74" i="42"/>
  <c r="C113" i="51"/>
  <c r="D113" i="51"/>
  <c r="E113" i="51"/>
  <c r="C114" i="51"/>
  <c r="C115" i="51"/>
  <c r="C116" i="51"/>
  <c r="D114" i="51"/>
  <c r="D115" i="51"/>
  <c r="D116" i="51"/>
  <c r="E114" i="51"/>
  <c r="E115" i="51"/>
  <c r="E116" i="51"/>
  <c r="E104" i="51"/>
  <c r="E105" i="51"/>
  <c r="E106" i="51"/>
  <c r="E107" i="51"/>
  <c r="E108" i="51"/>
  <c r="E109" i="51"/>
  <c r="E110" i="51"/>
  <c r="D104" i="51"/>
  <c r="D105" i="51"/>
  <c r="D106" i="51"/>
  <c r="D107" i="51"/>
  <c r="D108" i="51"/>
  <c r="D109" i="51"/>
  <c r="D110" i="51"/>
  <c r="C104" i="51"/>
  <c r="C105" i="51"/>
  <c r="C106" i="51"/>
  <c r="C107" i="51"/>
  <c r="C108" i="51"/>
  <c r="C109" i="51"/>
  <c r="C110" i="51"/>
  <c r="E103" i="51"/>
  <c r="D103" i="51"/>
  <c r="C103" i="51"/>
  <c r="E93" i="51"/>
  <c r="E94" i="51"/>
  <c r="E95" i="51"/>
  <c r="E96" i="51"/>
  <c r="E97" i="51"/>
  <c r="E98" i="51"/>
  <c r="E99" i="51"/>
  <c r="D93" i="51"/>
  <c r="D94" i="51"/>
  <c r="D95" i="51"/>
  <c r="D96" i="51"/>
  <c r="D97" i="51"/>
  <c r="D98" i="51"/>
  <c r="D99" i="51"/>
  <c r="C93" i="51"/>
  <c r="C94" i="51"/>
  <c r="C95" i="51"/>
  <c r="C96" i="51"/>
  <c r="C97" i="51"/>
  <c r="C98" i="51"/>
  <c r="C99" i="51"/>
  <c r="E92" i="51"/>
  <c r="D92" i="51"/>
  <c r="C92" i="51"/>
  <c r="E89" i="51"/>
  <c r="E87" i="51"/>
  <c r="E86" i="51"/>
  <c r="E85" i="51"/>
  <c r="E83" i="51"/>
  <c r="D89" i="51"/>
  <c r="D87" i="51"/>
  <c r="D86" i="51"/>
  <c r="D83" i="51"/>
  <c r="C89" i="51"/>
  <c r="C87" i="51"/>
  <c r="C86" i="51"/>
  <c r="C83" i="51"/>
  <c r="E72" i="51"/>
  <c r="D72" i="51"/>
  <c r="C72" i="51"/>
  <c r="E69" i="51"/>
  <c r="E68" i="51"/>
  <c r="E67" i="51"/>
  <c r="D69" i="51"/>
  <c r="D68" i="51"/>
  <c r="D67" i="51"/>
  <c r="C69" i="51"/>
  <c r="C68" i="51"/>
  <c r="C67" i="51"/>
  <c r="E62" i="51"/>
  <c r="E61" i="51"/>
  <c r="E59" i="51"/>
  <c r="E58" i="51"/>
  <c r="D62" i="51"/>
  <c r="D61" i="51"/>
  <c r="D59" i="51"/>
  <c r="D58" i="51"/>
  <c r="D60" i="51"/>
  <c r="C62" i="51"/>
  <c r="C61" i="51"/>
  <c r="E54" i="51"/>
  <c r="E53" i="51"/>
  <c r="E52" i="51"/>
  <c r="E51" i="51"/>
  <c r="E50" i="51"/>
  <c r="E49" i="51"/>
  <c r="E48" i="51"/>
  <c r="E47" i="51"/>
  <c r="D54" i="51"/>
  <c r="D53" i="51"/>
  <c r="D52" i="51"/>
  <c r="D51" i="51"/>
  <c r="D50" i="51"/>
  <c r="D49" i="51"/>
  <c r="D48" i="51"/>
  <c r="D47" i="51"/>
  <c r="C54" i="51"/>
  <c r="C53" i="51"/>
  <c r="C52" i="51"/>
  <c r="C51" i="51"/>
  <c r="C50" i="51"/>
  <c r="C49" i="51"/>
  <c r="C48" i="51"/>
  <c r="C47" i="51"/>
  <c r="E40" i="51"/>
  <c r="E41" i="51"/>
  <c r="E42" i="51"/>
  <c r="E43" i="51"/>
  <c r="E39" i="51"/>
  <c r="D43" i="51"/>
  <c r="D42" i="51"/>
  <c r="D41" i="51"/>
  <c r="D40" i="51"/>
  <c r="D39" i="51"/>
  <c r="E11" i="51"/>
  <c r="D11" i="51"/>
  <c r="C11" i="51"/>
  <c r="C136" i="51"/>
  <c r="A134" i="51"/>
  <c r="E133" i="51"/>
  <c r="D133" i="51"/>
  <c r="C133" i="51"/>
  <c r="A133" i="51"/>
  <c r="E132" i="51"/>
  <c r="D132" i="51"/>
  <c r="C132" i="51"/>
  <c r="A132" i="51"/>
  <c r="E131" i="51"/>
  <c r="D131" i="51"/>
  <c r="C131" i="51"/>
  <c r="A131" i="51"/>
  <c r="E130" i="51"/>
  <c r="D130" i="51"/>
  <c r="C130" i="51"/>
  <c r="A130" i="51"/>
  <c r="E129" i="51"/>
  <c r="D129" i="51"/>
  <c r="C129" i="51"/>
  <c r="A129" i="51"/>
  <c r="E128" i="51"/>
  <c r="D128" i="51"/>
  <c r="C128" i="51"/>
  <c r="A128" i="51"/>
  <c r="E127" i="51"/>
  <c r="D127" i="51"/>
  <c r="C127" i="51"/>
  <c r="A127" i="51"/>
  <c r="E126" i="51"/>
  <c r="D126" i="51"/>
  <c r="C126" i="51"/>
  <c r="A126" i="51"/>
  <c r="E125" i="51"/>
  <c r="D125" i="51"/>
  <c r="C125" i="51"/>
  <c r="A125" i="51"/>
  <c r="E124" i="51"/>
  <c r="D124" i="51"/>
  <c r="C124" i="51"/>
  <c r="A124" i="51"/>
  <c r="E123" i="51"/>
  <c r="D123" i="51"/>
  <c r="C123" i="51"/>
  <c r="A123" i="51"/>
  <c r="E120" i="51"/>
  <c r="D120" i="51"/>
  <c r="C120" i="51"/>
  <c r="E119" i="51"/>
  <c r="D119" i="51"/>
  <c r="C119" i="51"/>
  <c r="B84" i="51"/>
  <c r="B71" i="51"/>
  <c r="B63" i="51"/>
  <c r="B62" i="51"/>
  <c r="B61" i="51"/>
  <c r="B59" i="51"/>
  <c r="B44" i="51"/>
  <c r="B43" i="51"/>
  <c r="B42" i="51"/>
  <c r="B41" i="51"/>
  <c r="B40" i="51"/>
  <c r="E36" i="51"/>
  <c r="D36" i="51"/>
  <c r="C36" i="51"/>
  <c r="E35" i="51"/>
  <c r="D35" i="51"/>
  <c r="C35" i="51"/>
  <c r="E34" i="51"/>
  <c r="D34" i="51"/>
  <c r="C34" i="51"/>
  <c r="E33" i="51"/>
  <c r="D33" i="51"/>
  <c r="C33" i="51"/>
  <c r="E31" i="51"/>
  <c r="D31" i="51"/>
  <c r="C31" i="51"/>
  <c r="E30" i="51"/>
  <c r="D30" i="51"/>
  <c r="C30" i="51"/>
  <c r="E28" i="51"/>
  <c r="D28" i="51"/>
  <c r="C28" i="51"/>
  <c r="E27" i="51"/>
  <c r="D27" i="51"/>
  <c r="C27" i="51"/>
  <c r="E25" i="51"/>
  <c r="D25" i="51"/>
  <c r="C25" i="51"/>
  <c r="E24" i="51"/>
  <c r="D24" i="51"/>
  <c r="C24" i="51"/>
  <c r="E22" i="51"/>
  <c r="D22" i="51"/>
  <c r="C22" i="51"/>
  <c r="E21" i="51"/>
  <c r="D21" i="51"/>
  <c r="C21" i="51"/>
  <c r="E20" i="51"/>
  <c r="D20" i="51"/>
  <c r="C20" i="51"/>
  <c r="E18" i="51"/>
  <c r="D18" i="51"/>
  <c r="C18" i="51"/>
  <c r="E17" i="51"/>
  <c r="D17" i="51"/>
  <c r="C17" i="51"/>
  <c r="E15" i="51"/>
  <c r="D15" i="51"/>
  <c r="C15" i="51"/>
  <c r="E14" i="51"/>
  <c r="D14" i="51"/>
  <c r="C14" i="51"/>
  <c r="E13" i="51"/>
  <c r="D13" i="51"/>
  <c r="C13" i="51"/>
  <c r="E9" i="51"/>
  <c r="D9" i="51"/>
  <c r="C9" i="51"/>
  <c r="B9" i="51"/>
  <c r="E8" i="51"/>
  <c r="D8" i="51"/>
  <c r="C8" i="51"/>
  <c r="B8" i="51"/>
  <c r="E7" i="51"/>
  <c r="D7" i="51"/>
  <c r="C7" i="51"/>
  <c r="B7" i="51"/>
  <c r="A4" i="51"/>
  <c r="A3" i="51"/>
  <c r="A1" i="51"/>
  <c r="A5" i="47"/>
  <c r="K144" i="31"/>
  <c r="I144" i="31"/>
  <c r="G144" i="31"/>
  <c r="E61" i="50"/>
  <c r="D61" i="50"/>
  <c r="B61" i="50"/>
  <c r="C42" i="50"/>
  <c r="C61" i="50"/>
  <c r="D110" i="50"/>
  <c r="D109" i="50"/>
  <c r="D108" i="50"/>
  <c r="D107" i="50"/>
  <c r="D106" i="50"/>
  <c r="D105" i="50"/>
  <c r="D104" i="50"/>
  <c r="D103" i="50"/>
  <c r="C110" i="50"/>
  <c r="C109" i="50"/>
  <c r="C108" i="50"/>
  <c r="C107" i="50"/>
  <c r="C106" i="50"/>
  <c r="C105" i="50"/>
  <c r="C104" i="50"/>
  <c r="C103" i="50"/>
  <c r="C99" i="50"/>
  <c r="C98" i="50"/>
  <c r="D99" i="50"/>
  <c r="D98" i="50"/>
  <c r="E89" i="50"/>
  <c r="E87" i="50"/>
  <c r="E86" i="50"/>
  <c r="D89" i="50"/>
  <c r="D87" i="50"/>
  <c r="D86" i="50"/>
  <c r="D85" i="50"/>
  <c r="C89" i="50"/>
  <c r="C86" i="50"/>
  <c r="C87" i="50"/>
  <c r="B84" i="50"/>
  <c r="E84" i="50"/>
  <c r="D84" i="50"/>
  <c r="C84" i="50"/>
  <c r="E83" i="50"/>
  <c r="D83" i="50"/>
  <c r="C83" i="50"/>
  <c r="J145" i="42"/>
  <c r="H145" i="42"/>
  <c r="H148" i="42"/>
  <c r="E88" i="50"/>
  <c r="F146" i="16"/>
  <c r="A134" i="50"/>
  <c r="A133" i="50"/>
  <c r="A132" i="50"/>
  <c r="A131" i="50"/>
  <c r="A130" i="50"/>
  <c r="A129" i="50"/>
  <c r="A128" i="50"/>
  <c r="A127" i="50"/>
  <c r="A126" i="50"/>
  <c r="A125" i="50"/>
  <c r="A124" i="50"/>
  <c r="A123" i="50"/>
  <c r="C136" i="50"/>
  <c r="E133" i="50"/>
  <c r="D133" i="50"/>
  <c r="C133" i="50"/>
  <c r="E132" i="50"/>
  <c r="D132" i="50"/>
  <c r="C132" i="50"/>
  <c r="E131" i="50"/>
  <c r="D131" i="50"/>
  <c r="C131" i="50"/>
  <c r="E130" i="50"/>
  <c r="D130" i="50"/>
  <c r="C130" i="50"/>
  <c r="E129" i="50"/>
  <c r="D129" i="50"/>
  <c r="C129" i="50"/>
  <c r="E128" i="50"/>
  <c r="D128" i="50"/>
  <c r="C128" i="50"/>
  <c r="E127" i="50"/>
  <c r="D127" i="50"/>
  <c r="C127" i="50"/>
  <c r="E126" i="50"/>
  <c r="D126" i="50"/>
  <c r="C126" i="50"/>
  <c r="E125" i="50"/>
  <c r="D125" i="50"/>
  <c r="C125" i="50"/>
  <c r="E124" i="50"/>
  <c r="D124" i="50"/>
  <c r="C124" i="50"/>
  <c r="E123" i="50"/>
  <c r="D123" i="50"/>
  <c r="C123" i="50"/>
  <c r="E110" i="50"/>
  <c r="E109" i="50"/>
  <c r="E108" i="50"/>
  <c r="E107" i="50"/>
  <c r="E106" i="50"/>
  <c r="E105" i="50"/>
  <c r="E104" i="50"/>
  <c r="E103" i="50"/>
  <c r="E120" i="50"/>
  <c r="D120" i="50"/>
  <c r="C120" i="50"/>
  <c r="E119" i="50"/>
  <c r="D119" i="50"/>
  <c r="C119" i="50"/>
  <c r="E116" i="50"/>
  <c r="D116" i="50"/>
  <c r="C116" i="50"/>
  <c r="E115" i="50"/>
  <c r="D115" i="50"/>
  <c r="C115" i="50"/>
  <c r="E114" i="50"/>
  <c r="D114" i="50"/>
  <c r="C114" i="50"/>
  <c r="E113" i="50"/>
  <c r="D113" i="50"/>
  <c r="C113" i="50"/>
  <c r="E99" i="50"/>
  <c r="E98" i="50"/>
  <c r="E97" i="50"/>
  <c r="D97" i="50"/>
  <c r="C97" i="50"/>
  <c r="E96" i="50"/>
  <c r="D96" i="50"/>
  <c r="C96" i="50"/>
  <c r="E95" i="50"/>
  <c r="D95" i="50"/>
  <c r="C95" i="50"/>
  <c r="E94" i="50"/>
  <c r="D94" i="50"/>
  <c r="C94" i="50"/>
  <c r="E93" i="50"/>
  <c r="D93" i="50"/>
  <c r="C93" i="50"/>
  <c r="E92" i="50"/>
  <c r="D92" i="50"/>
  <c r="E72" i="50"/>
  <c r="D72" i="50"/>
  <c r="C72" i="50"/>
  <c r="E69" i="50"/>
  <c r="E68" i="50"/>
  <c r="E67" i="50"/>
  <c r="D69" i="50"/>
  <c r="D68" i="50"/>
  <c r="C69" i="50"/>
  <c r="C68" i="50"/>
  <c r="D67" i="50"/>
  <c r="C67" i="50"/>
  <c r="C62" i="50"/>
  <c r="E62" i="50"/>
  <c r="E59" i="50"/>
  <c r="E58" i="50"/>
  <c r="D62" i="50"/>
  <c r="D59" i="50"/>
  <c r="D58" i="50"/>
  <c r="D60" i="50" s="1"/>
  <c r="B63" i="50"/>
  <c r="C59" i="50"/>
  <c r="B59" i="50"/>
  <c r="E54" i="50"/>
  <c r="E53" i="50"/>
  <c r="E52" i="50"/>
  <c r="E51" i="50"/>
  <c r="E50" i="50"/>
  <c r="E49" i="50"/>
  <c r="E48" i="50"/>
  <c r="E47" i="50"/>
  <c r="D54" i="50"/>
  <c r="D53" i="50"/>
  <c r="D52" i="50"/>
  <c r="D51" i="50"/>
  <c r="D50" i="50"/>
  <c r="D49" i="50"/>
  <c r="D48" i="50"/>
  <c r="D47" i="50"/>
  <c r="C54" i="50"/>
  <c r="C53" i="50"/>
  <c r="C52" i="50"/>
  <c r="C51" i="50"/>
  <c r="C50" i="50"/>
  <c r="C49" i="50"/>
  <c r="C48" i="50"/>
  <c r="C47" i="50"/>
  <c r="E40" i="50"/>
  <c r="E41" i="50"/>
  <c r="E42" i="50"/>
  <c r="E43" i="50"/>
  <c r="D40" i="50"/>
  <c r="D41" i="50"/>
  <c r="D42" i="50"/>
  <c r="D43" i="50"/>
  <c r="C40" i="50"/>
  <c r="C43" i="50"/>
  <c r="B40" i="50"/>
  <c r="B41" i="50"/>
  <c r="B42" i="50"/>
  <c r="B43" i="50"/>
  <c r="B44" i="50"/>
  <c r="E39" i="50"/>
  <c r="D39" i="50"/>
  <c r="E36" i="50"/>
  <c r="D36" i="50"/>
  <c r="C36" i="50"/>
  <c r="E35" i="50"/>
  <c r="D35" i="50"/>
  <c r="C35" i="50"/>
  <c r="E34" i="50"/>
  <c r="D34" i="50"/>
  <c r="C34" i="50"/>
  <c r="E33" i="50"/>
  <c r="D33" i="50"/>
  <c r="C33" i="50"/>
  <c r="E31" i="50"/>
  <c r="D31" i="50"/>
  <c r="C31" i="50"/>
  <c r="E30" i="50"/>
  <c r="D30" i="50"/>
  <c r="C30" i="50"/>
  <c r="E28" i="50"/>
  <c r="D28" i="50"/>
  <c r="C28" i="50"/>
  <c r="E27" i="50"/>
  <c r="D27" i="50"/>
  <c r="C27" i="50"/>
  <c r="E25" i="50"/>
  <c r="D25" i="50"/>
  <c r="C25" i="50"/>
  <c r="E24" i="50"/>
  <c r="D24" i="50"/>
  <c r="C24" i="50"/>
  <c r="E22" i="50"/>
  <c r="D22" i="50"/>
  <c r="C22" i="50"/>
  <c r="E21" i="50"/>
  <c r="D21" i="50"/>
  <c r="C21" i="50"/>
  <c r="E20" i="50"/>
  <c r="D20" i="50"/>
  <c r="C20" i="50"/>
  <c r="E18" i="50"/>
  <c r="D18" i="50"/>
  <c r="C18" i="50"/>
  <c r="E17" i="50"/>
  <c r="D17" i="50"/>
  <c r="C17" i="50"/>
  <c r="E15" i="50"/>
  <c r="D15" i="50"/>
  <c r="C15" i="50"/>
  <c r="E14" i="50"/>
  <c r="D14" i="50"/>
  <c r="C14" i="50"/>
  <c r="E13" i="50"/>
  <c r="D13" i="50"/>
  <c r="C13" i="50"/>
  <c r="E11" i="50"/>
  <c r="D11" i="50"/>
  <c r="C11" i="50"/>
  <c r="E9" i="50"/>
  <c r="D9" i="50"/>
  <c r="C9" i="50"/>
  <c r="B9" i="50"/>
  <c r="E8" i="50"/>
  <c r="D8" i="50"/>
  <c r="C8" i="50"/>
  <c r="B8" i="50"/>
  <c r="E7" i="50"/>
  <c r="D7" i="50"/>
  <c r="C7" i="50"/>
  <c r="B7" i="50"/>
  <c r="A4" i="50"/>
  <c r="A3" i="50"/>
  <c r="A1" i="50"/>
  <c r="A3" i="47"/>
  <c r="A4" i="47"/>
  <c r="A10" i="47"/>
  <c r="M6" i="48"/>
  <c r="B9" i="48"/>
  <c r="B26" i="48"/>
  <c r="B40" i="48"/>
  <c r="I1" i="28"/>
  <c r="A2" i="28"/>
  <c r="I2" i="28"/>
  <c r="I4" i="28"/>
  <c r="A7" i="28"/>
  <c r="M12" i="28"/>
  <c r="M12" i="14"/>
  <c r="P12" i="28"/>
  <c r="S12" i="28"/>
  <c r="M13" i="28"/>
  <c r="P13" i="28"/>
  <c r="S13" i="28"/>
  <c r="M14" i="28"/>
  <c r="P14" i="28"/>
  <c r="S14" i="28"/>
  <c r="M15" i="28"/>
  <c r="P15" i="28"/>
  <c r="S15" i="28"/>
  <c r="M16" i="28"/>
  <c r="P16" i="28"/>
  <c r="S16" i="28"/>
  <c r="M17" i="28"/>
  <c r="P17" i="28"/>
  <c r="S17" i="28"/>
  <c r="M18" i="28"/>
  <c r="P18" i="28"/>
  <c r="S18" i="28"/>
  <c r="M19" i="28"/>
  <c r="P19" i="28"/>
  <c r="S19" i="28"/>
  <c r="I20" i="28"/>
  <c r="M20" i="28"/>
  <c r="K20" i="28"/>
  <c r="K20" i="14"/>
  <c r="N20" i="28"/>
  <c r="Q20" i="28"/>
  <c r="S20" i="28"/>
  <c r="I21" i="28"/>
  <c r="J21" i="28"/>
  <c r="K21" i="28"/>
  <c r="L21" i="28"/>
  <c r="M21" i="28"/>
  <c r="N21" i="28"/>
  <c r="N22" i="28" s="1"/>
  <c r="S22" i="28" s="1"/>
  <c r="O21" i="28"/>
  <c r="P21" i="28"/>
  <c r="Q21" i="28"/>
  <c r="R21" i="28"/>
  <c r="S21" i="28"/>
  <c r="O22" i="28"/>
  <c r="Q22" i="28"/>
  <c r="R22" i="28"/>
  <c r="M23" i="28"/>
  <c r="P23" i="28"/>
  <c r="S23" i="28"/>
  <c r="M26" i="28"/>
  <c r="M26" i="14"/>
  <c r="P26" i="28"/>
  <c r="S26" i="28"/>
  <c r="M27" i="28"/>
  <c r="P27" i="28"/>
  <c r="S27" i="28"/>
  <c r="M28" i="28"/>
  <c r="P28" i="28"/>
  <c r="S28" i="28"/>
  <c r="M29" i="28"/>
  <c r="P29" i="28"/>
  <c r="S29" i="28"/>
  <c r="M30" i="28"/>
  <c r="P30" i="28"/>
  <c r="S30" i="28"/>
  <c r="M31" i="28"/>
  <c r="P31" i="28"/>
  <c r="S31" i="28"/>
  <c r="M32" i="28"/>
  <c r="P32" i="28"/>
  <c r="S32" i="28"/>
  <c r="M33" i="28"/>
  <c r="P33" i="28"/>
  <c r="S33" i="28"/>
  <c r="I34" i="28"/>
  <c r="M34" i="28"/>
  <c r="K34" i="28"/>
  <c r="N34" i="28"/>
  <c r="S34" i="28"/>
  <c r="Q34" i="28"/>
  <c r="I35" i="28"/>
  <c r="J35" i="28"/>
  <c r="K35" i="28"/>
  <c r="K36" i="28" s="1"/>
  <c r="L35" i="28"/>
  <c r="M35" i="28"/>
  <c r="N35" i="28"/>
  <c r="O35" i="28"/>
  <c r="P35" i="28"/>
  <c r="Q35" i="28"/>
  <c r="Q36" i="28" s="1"/>
  <c r="R35" i="28"/>
  <c r="S35" i="28"/>
  <c r="L36" i="28"/>
  <c r="R36" i="28"/>
  <c r="M39" i="28"/>
  <c r="M39" i="14"/>
  <c r="P39" i="28"/>
  <c r="S39" i="28"/>
  <c r="M40" i="28"/>
  <c r="P40" i="28"/>
  <c r="S40" i="28"/>
  <c r="M41" i="28"/>
  <c r="P41" i="28"/>
  <c r="S41" i="28"/>
  <c r="M42" i="28"/>
  <c r="P42" i="28"/>
  <c r="S42" i="28"/>
  <c r="M43" i="28"/>
  <c r="P43" i="28"/>
  <c r="S43" i="28"/>
  <c r="M44" i="28"/>
  <c r="P44" i="28"/>
  <c r="S44" i="28"/>
  <c r="M45" i="28"/>
  <c r="P45" i="28"/>
  <c r="S45" i="28"/>
  <c r="M46" i="28"/>
  <c r="P46" i="28"/>
  <c r="S46" i="28"/>
  <c r="I47" i="28"/>
  <c r="K47" i="28"/>
  <c r="N47" i="28"/>
  <c r="P47" i="28" s="1"/>
  <c r="Q47" i="28"/>
  <c r="I48" i="28"/>
  <c r="I49" i="28" s="1"/>
  <c r="I49" i="39" s="1"/>
  <c r="J48" i="28"/>
  <c r="K48" i="28"/>
  <c r="L48" i="28"/>
  <c r="M48" i="28"/>
  <c r="N48" i="28"/>
  <c r="O48" i="28"/>
  <c r="P48" i="28"/>
  <c r="Q48" i="28"/>
  <c r="Q49" i="28" s="1"/>
  <c r="R48" i="28"/>
  <c r="S48" i="28"/>
  <c r="J49" i="28"/>
  <c r="J49" i="14"/>
  <c r="M52" i="28"/>
  <c r="M52" i="14"/>
  <c r="P52" i="28"/>
  <c r="S52" i="28"/>
  <c r="M53" i="28"/>
  <c r="P53" i="28"/>
  <c r="S53" i="28"/>
  <c r="M54" i="28"/>
  <c r="P54" i="28"/>
  <c r="S54" i="28"/>
  <c r="M55" i="28"/>
  <c r="P55" i="28"/>
  <c r="S55" i="28"/>
  <c r="M56" i="28"/>
  <c r="P56" i="28"/>
  <c r="S56" i="28"/>
  <c r="M57" i="28"/>
  <c r="P57" i="28"/>
  <c r="S57" i="28"/>
  <c r="M58" i="28"/>
  <c r="P58" i="28"/>
  <c r="S58" i="28"/>
  <c r="M59" i="28"/>
  <c r="P59" i="28"/>
  <c r="S59" i="28"/>
  <c r="I60" i="28"/>
  <c r="I60" i="39"/>
  <c r="K60" i="28"/>
  <c r="N60" i="28"/>
  <c r="Q60" i="28"/>
  <c r="I61" i="28"/>
  <c r="I62" i="28" s="1"/>
  <c r="J61" i="28"/>
  <c r="K61" i="28"/>
  <c r="L61" i="28"/>
  <c r="M61" i="28"/>
  <c r="N61" i="28"/>
  <c r="N62" i="28" s="1"/>
  <c r="O61" i="28"/>
  <c r="P61" i="28"/>
  <c r="Q61" i="28"/>
  <c r="R61" i="28"/>
  <c r="S61" i="28"/>
  <c r="J62" i="28"/>
  <c r="J62" i="39"/>
  <c r="K62" i="28"/>
  <c r="K62" i="14"/>
  <c r="Q62" i="28"/>
  <c r="R62" i="28"/>
  <c r="I65" i="28"/>
  <c r="K65" i="28"/>
  <c r="K65" i="39"/>
  <c r="N65" i="28"/>
  <c r="Q65" i="28"/>
  <c r="I66" i="28"/>
  <c r="K66" i="28"/>
  <c r="M66" i="28"/>
  <c r="N66" i="28"/>
  <c r="P66" i="28"/>
  <c r="Q66" i="28"/>
  <c r="S66" i="28"/>
  <c r="I67" i="28"/>
  <c r="K67" i="28"/>
  <c r="M67" i="28"/>
  <c r="M67" i="39"/>
  <c r="N67" i="28"/>
  <c r="P67" i="28"/>
  <c r="Q67" i="28"/>
  <c r="S67" i="28"/>
  <c r="I68" i="28"/>
  <c r="K68" i="28"/>
  <c r="M68" i="28"/>
  <c r="N68" i="28"/>
  <c r="P68" i="28"/>
  <c r="Q68" i="28"/>
  <c r="S68" i="28"/>
  <c r="I69" i="28"/>
  <c r="K69" i="28"/>
  <c r="M69" i="28"/>
  <c r="N69" i="28"/>
  <c r="P69" i="28"/>
  <c r="Q69" i="28"/>
  <c r="S69" i="28"/>
  <c r="I70" i="28"/>
  <c r="K70" i="28"/>
  <c r="M70" i="28"/>
  <c r="N70" i="28"/>
  <c r="P70" i="28"/>
  <c r="Q70" i="28"/>
  <c r="S70" i="28"/>
  <c r="I71" i="28"/>
  <c r="K71" i="28"/>
  <c r="M71" i="28"/>
  <c r="N71" i="28"/>
  <c r="P71" i="28"/>
  <c r="Q71" i="28"/>
  <c r="S71" i="28"/>
  <c r="I72" i="28"/>
  <c r="K72" i="28"/>
  <c r="M72" i="28"/>
  <c r="N72" i="28"/>
  <c r="P72" i="28"/>
  <c r="Q72" i="28"/>
  <c r="S72" i="28"/>
  <c r="I74" i="28"/>
  <c r="J74" i="28"/>
  <c r="K74" i="28"/>
  <c r="L74" i="28"/>
  <c r="M74" i="28"/>
  <c r="N74" i="28"/>
  <c r="O74" i="28"/>
  <c r="P74" i="28"/>
  <c r="Q74" i="28"/>
  <c r="R74" i="28"/>
  <c r="S74" i="28"/>
  <c r="A1" i="29"/>
  <c r="A2" i="29"/>
  <c r="A3" i="29"/>
  <c r="A4" i="29"/>
  <c r="A5" i="29"/>
  <c r="G6" i="29"/>
  <c r="H6" i="29"/>
  <c r="J6" i="29"/>
  <c r="I9" i="29"/>
  <c r="K9" i="29"/>
  <c r="I10" i="29"/>
  <c r="K10" i="29"/>
  <c r="I11" i="29"/>
  <c r="K11" i="29"/>
  <c r="I16" i="29"/>
  <c r="K16" i="29"/>
  <c r="I17" i="29"/>
  <c r="K17" i="29"/>
  <c r="G22" i="29"/>
  <c r="H22" i="29"/>
  <c r="I22" i="29"/>
  <c r="J22" i="29"/>
  <c r="K22" i="29"/>
  <c r="I24" i="29"/>
  <c r="K24" i="29"/>
  <c r="G25" i="29"/>
  <c r="H25" i="29"/>
  <c r="J25" i="29"/>
  <c r="E26" i="29"/>
  <c r="I27" i="29"/>
  <c r="K27" i="29"/>
  <c r="E28" i="29"/>
  <c r="I31" i="29"/>
  <c r="K31" i="29"/>
  <c r="I32" i="29"/>
  <c r="K32" i="29"/>
  <c r="I33" i="29"/>
  <c r="K33" i="29"/>
  <c r="G34" i="29"/>
  <c r="H34" i="29"/>
  <c r="J34" i="29"/>
  <c r="K34" i="29"/>
  <c r="I35" i="29"/>
  <c r="K35" i="29"/>
  <c r="I36" i="29"/>
  <c r="K36" i="29"/>
  <c r="I37" i="29"/>
  <c r="K37" i="29"/>
  <c r="I38" i="29"/>
  <c r="K38" i="29"/>
  <c r="I39" i="29"/>
  <c r="K39" i="29"/>
  <c r="I40" i="29"/>
  <c r="K40" i="29"/>
  <c r="I41" i="29"/>
  <c r="K41" i="29"/>
  <c r="I42" i="29"/>
  <c r="K42" i="29"/>
  <c r="I48" i="29"/>
  <c r="K48" i="29"/>
  <c r="I49" i="29"/>
  <c r="K49" i="29"/>
  <c r="I50" i="29"/>
  <c r="K50" i="29"/>
  <c r="I51" i="29"/>
  <c r="K51" i="29"/>
  <c r="I52" i="29"/>
  <c r="K52" i="29"/>
  <c r="I53" i="29"/>
  <c r="K53" i="29"/>
  <c r="I54" i="29"/>
  <c r="K54" i="29"/>
  <c r="I55" i="29"/>
  <c r="K55" i="29"/>
  <c r="I61" i="29"/>
  <c r="K61" i="29"/>
  <c r="I62" i="29"/>
  <c r="K62" i="29"/>
  <c r="I63" i="29"/>
  <c r="K63" i="29"/>
  <c r="I64" i="29"/>
  <c r="K64" i="29"/>
  <c r="I67" i="29"/>
  <c r="K67" i="29"/>
  <c r="I68" i="29"/>
  <c r="K68" i="29"/>
  <c r="I69" i="29"/>
  <c r="K69" i="29"/>
  <c r="I70" i="29"/>
  <c r="K70" i="29"/>
  <c r="I77" i="29"/>
  <c r="K77" i="29"/>
  <c r="I78" i="29"/>
  <c r="K78" i="29"/>
  <c r="I81" i="29"/>
  <c r="K81" i="29"/>
  <c r="I82" i="29"/>
  <c r="K82" i="29"/>
  <c r="I83" i="29"/>
  <c r="K83" i="29"/>
  <c r="I84" i="29"/>
  <c r="K84" i="29"/>
  <c r="I85" i="29"/>
  <c r="K85" i="29"/>
  <c r="I86" i="29"/>
  <c r="K86" i="29"/>
  <c r="I87" i="29"/>
  <c r="K87" i="29"/>
  <c r="I88" i="29"/>
  <c r="K88" i="29"/>
  <c r="A1" i="30"/>
  <c r="A2" i="30"/>
  <c r="A3" i="30"/>
  <c r="D4" i="30"/>
  <c r="A6" i="30"/>
  <c r="E10" i="30"/>
  <c r="F10" i="30"/>
  <c r="H10" i="30"/>
  <c r="J10" i="30"/>
  <c r="F13" i="30"/>
  <c r="E13" i="17"/>
  <c r="G13" i="30"/>
  <c r="H13" i="30"/>
  <c r="J13" i="30"/>
  <c r="G14" i="30"/>
  <c r="I14" i="30"/>
  <c r="K14" i="30"/>
  <c r="G16" i="30"/>
  <c r="I16" i="30"/>
  <c r="K16" i="30"/>
  <c r="G23" i="30"/>
  <c r="I23" i="30"/>
  <c r="K23" i="30"/>
  <c r="G29" i="30"/>
  <c r="I29" i="30"/>
  <c r="K29" i="30"/>
  <c r="I30" i="30"/>
  <c r="K30" i="30"/>
  <c r="I31" i="30"/>
  <c r="K31" i="30"/>
  <c r="G32" i="30"/>
  <c r="I32" i="30"/>
  <c r="K32" i="30"/>
  <c r="I33" i="30"/>
  <c r="K33" i="30"/>
  <c r="G34" i="30"/>
  <c r="I34" i="30"/>
  <c r="K34" i="30"/>
  <c r="G35" i="30"/>
  <c r="I35" i="30"/>
  <c r="K35" i="30"/>
  <c r="G36" i="30"/>
  <c r="I36" i="30"/>
  <c r="K36" i="30"/>
  <c r="F37" i="30"/>
  <c r="E37" i="17"/>
  <c r="H37" i="30"/>
  <c r="J37" i="30"/>
  <c r="K37" i="30"/>
  <c r="G42" i="30"/>
  <c r="I42" i="30"/>
  <c r="K42" i="30"/>
  <c r="G43" i="30"/>
  <c r="I43" i="30"/>
  <c r="K43" i="30"/>
  <c r="E44" i="30"/>
  <c r="F44" i="30"/>
  <c r="G44" i="30"/>
  <c r="H44" i="30"/>
  <c r="I44" i="30"/>
  <c r="J44" i="30"/>
  <c r="K44" i="30"/>
  <c r="G50" i="30"/>
  <c r="G52" i="30"/>
  <c r="E54" i="30"/>
  <c r="B44" i="49"/>
  <c r="G59" i="30"/>
  <c r="I59" i="30"/>
  <c r="K59" i="30"/>
  <c r="G60" i="30"/>
  <c r="I60" i="30"/>
  <c r="K60" i="30"/>
  <c r="G61" i="30"/>
  <c r="I61" i="30"/>
  <c r="K61" i="30"/>
  <c r="G62" i="30"/>
  <c r="I62" i="30"/>
  <c r="K62" i="30"/>
  <c r="G66" i="30"/>
  <c r="I66" i="30"/>
  <c r="K66" i="30"/>
  <c r="G67" i="30"/>
  <c r="I67" i="30"/>
  <c r="K67" i="30"/>
  <c r="G69" i="30"/>
  <c r="I69" i="30"/>
  <c r="K69" i="30"/>
  <c r="G75" i="30"/>
  <c r="I75" i="30"/>
  <c r="K75" i="30"/>
  <c r="G76" i="30"/>
  <c r="I76" i="30"/>
  <c r="K76" i="30"/>
  <c r="G77" i="30"/>
  <c r="I77" i="30"/>
  <c r="K77" i="30"/>
  <c r="G78" i="30"/>
  <c r="I78" i="30"/>
  <c r="K78" i="30"/>
  <c r="G79" i="30"/>
  <c r="I79" i="30"/>
  <c r="K79" i="30"/>
  <c r="G80" i="30"/>
  <c r="I80" i="30"/>
  <c r="K80" i="30"/>
  <c r="G81" i="30"/>
  <c r="I81" i="30"/>
  <c r="K81" i="30"/>
  <c r="G82" i="30"/>
  <c r="I82" i="30"/>
  <c r="K82" i="30"/>
  <c r="G83" i="30"/>
  <c r="I83" i="30"/>
  <c r="K83" i="30"/>
  <c r="E84" i="30"/>
  <c r="E17" i="30" s="1"/>
  <c r="G17" i="30" s="1"/>
  <c r="F84" i="30"/>
  <c r="F17" i="30" s="1"/>
  <c r="I17" i="30" s="1"/>
  <c r="G84" i="30"/>
  <c r="H84" i="30"/>
  <c r="H17" i="30" s="1"/>
  <c r="K17" i="30" s="1"/>
  <c r="I84" i="30"/>
  <c r="J84" i="30"/>
  <c r="J17" i="30" s="1"/>
  <c r="K84" i="30"/>
  <c r="F86" i="30"/>
  <c r="E86" i="41"/>
  <c r="G86" i="30"/>
  <c r="H86" i="30"/>
  <c r="J86" i="30"/>
  <c r="G90" i="30"/>
  <c r="I90" i="30"/>
  <c r="K90" i="30"/>
  <c r="G91" i="30"/>
  <c r="I91" i="30"/>
  <c r="K91" i="30"/>
  <c r="G92" i="30"/>
  <c r="I92" i="30"/>
  <c r="K92" i="30"/>
  <c r="G93" i="30"/>
  <c r="I93" i="30"/>
  <c r="K93" i="30"/>
  <c r="G94" i="30"/>
  <c r="I94" i="30"/>
  <c r="K94" i="30"/>
  <c r="G95" i="30"/>
  <c r="I95" i="30"/>
  <c r="K95" i="30"/>
  <c r="G96" i="30"/>
  <c r="I96" i="30"/>
  <c r="K96" i="30"/>
  <c r="G97" i="30"/>
  <c r="I97" i="30"/>
  <c r="K97" i="30"/>
  <c r="G98" i="30"/>
  <c r="I98" i="30"/>
  <c r="K98" i="30"/>
  <c r="G99" i="30"/>
  <c r="I99" i="30"/>
  <c r="K99" i="30"/>
  <c r="G100" i="30"/>
  <c r="I100" i="30"/>
  <c r="K100" i="30"/>
  <c r="G101" i="30"/>
  <c r="I101" i="30"/>
  <c r="K101" i="30"/>
  <c r="G102" i="30"/>
  <c r="I102" i="30"/>
  <c r="K102" i="30"/>
  <c r="G103" i="30"/>
  <c r="I103" i="30"/>
  <c r="K103" i="30"/>
  <c r="G104" i="30"/>
  <c r="I104" i="30"/>
  <c r="K104" i="30"/>
  <c r="G105" i="30"/>
  <c r="I105" i="30"/>
  <c r="K105" i="30"/>
  <c r="G106" i="30"/>
  <c r="I106" i="30"/>
  <c r="K106" i="30"/>
  <c r="G107" i="30"/>
  <c r="I107" i="30"/>
  <c r="K107" i="30"/>
  <c r="E108" i="30"/>
  <c r="E21" i="30"/>
  <c r="F108" i="30"/>
  <c r="F21" i="30"/>
  <c r="H108" i="30"/>
  <c r="H21" i="30"/>
  <c r="J108" i="30"/>
  <c r="J21" i="30"/>
  <c r="G111" i="30"/>
  <c r="I111" i="30"/>
  <c r="K111" i="30"/>
  <c r="G112" i="30"/>
  <c r="I112" i="30"/>
  <c r="K112" i="30"/>
  <c r="G113" i="30"/>
  <c r="I113" i="30"/>
  <c r="K113" i="30"/>
  <c r="G114" i="30"/>
  <c r="I114" i="30"/>
  <c r="K114" i="30"/>
  <c r="G115" i="30"/>
  <c r="I115" i="30"/>
  <c r="K115" i="30"/>
  <c r="G116" i="30"/>
  <c r="I116" i="30"/>
  <c r="K116" i="30"/>
  <c r="E117" i="30"/>
  <c r="E25" i="30"/>
  <c r="F117" i="30"/>
  <c r="F25" i="30"/>
  <c r="H117" i="30"/>
  <c r="H25" i="30"/>
  <c r="J117" i="30"/>
  <c r="A1" i="31"/>
  <c r="A2" i="31"/>
  <c r="A3" i="31"/>
  <c r="D4" i="31"/>
  <c r="A6" i="31"/>
  <c r="E10" i="31"/>
  <c r="E10" i="32"/>
  <c r="H10" i="31"/>
  <c r="H10" i="32"/>
  <c r="J10" i="31"/>
  <c r="J10" i="32"/>
  <c r="G13" i="31"/>
  <c r="I13" i="31"/>
  <c r="K13" i="31"/>
  <c r="G14" i="31"/>
  <c r="I14" i="31"/>
  <c r="K14" i="31"/>
  <c r="G15" i="31"/>
  <c r="I15" i="31"/>
  <c r="K15" i="31"/>
  <c r="G16" i="31"/>
  <c r="I16" i="31"/>
  <c r="K16" i="31"/>
  <c r="G19" i="31"/>
  <c r="I19" i="31"/>
  <c r="K19" i="31"/>
  <c r="G23" i="31"/>
  <c r="I23" i="31"/>
  <c r="K23" i="31"/>
  <c r="G24" i="31"/>
  <c r="I24" i="31"/>
  <c r="K24" i="31"/>
  <c r="G29" i="31"/>
  <c r="I29" i="31"/>
  <c r="K29" i="31"/>
  <c r="G30" i="31"/>
  <c r="I30" i="31"/>
  <c r="K30" i="31"/>
  <c r="G31" i="31"/>
  <c r="I31" i="31"/>
  <c r="K31" i="31"/>
  <c r="G32" i="31"/>
  <c r="I32" i="31"/>
  <c r="K32" i="31"/>
  <c r="G33" i="31"/>
  <c r="I33" i="31"/>
  <c r="K33" i="31"/>
  <c r="G34" i="31"/>
  <c r="I34" i="31"/>
  <c r="K34" i="31"/>
  <c r="G35" i="31"/>
  <c r="I35" i="31"/>
  <c r="K35" i="31"/>
  <c r="G36" i="31"/>
  <c r="I36" i="31"/>
  <c r="K36" i="31"/>
  <c r="E37" i="31"/>
  <c r="F37" i="31"/>
  <c r="H37" i="31"/>
  <c r="D81" i="49"/>
  <c r="J37" i="31"/>
  <c r="E81" i="49"/>
  <c r="G42" i="31"/>
  <c r="I42" i="31"/>
  <c r="K42" i="31"/>
  <c r="G43" i="31"/>
  <c r="I43" i="31"/>
  <c r="K43" i="31"/>
  <c r="E44" i="31"/>
  <c r="F44" i="31"/>
  <c r="G44" i="31" s="1"/>
  <c r="I44" i="31"/>
  <c r="H44" i="31"/>
  <c r="K44" i="31"/>
  <c r="J44" i="31"/>
  <c r="G50" i="31"/>
  <c r="G52" i="31"/>
  <c r="E54" i="31"/>
  <c r="G74" i="31"/>
  <c r="I74" i="31"/>
  <c r="K74" i="31"/>
  <c r="G78" i="31"/>
  <c r="I78" i="31"/>
  <c r="K78" i="31"/>
  <c r="G79" i="31"/>
  <c r="I79" i="31"/>
  <c r="K79" i="31"/>
  <c r="G80" i="31"/>
  <c r="I80" i="31"/>
  <c r="K80" i="31"/>
  <c r="G82" i="31"/>
  <c r="I82" i="31"/>
  <c r="K82" i="31"/>
  <c r="G83" i="31"/>
  <c r="I83" i="31"/>
  <c r="K83" i="31"/>
  <c r="G88" i="31"/>
  <c r="I88" i="31"/>
  <c r="K88" i="31"/>
  <c r="G89" i="31"/>
  <c r="I89" i="31"/>
  <c r="K89" i="31"/>
  <c r="G90" i="31"/>
  <c r="I90" i="31"/>
  <c r="K90" i="31"/>
  <c r="G102" i="31"/>
  <c r="I102" i="31"/>
  <c r="K102" i="31"/>
  <c r="G103" i="31"/>
  <c r="I103" i="31"/>
  <c r="K103" i="31"/>
  <c r="G104" i="31"/>
  <c r="I104" i="31"/>
  <c r="K104" i="31"/>
  <c r="G105" i="31"/>
  <c r="I105" i="31"/>
  <c r="K105" i="31"/>
  <c r="G106" i="31"/>
  <c r="I106" i="31"/>
  <c r="K106" i="31"/>
  <c r="G107" i="31"/>
  <c r="I107" i="31"/>
  <c r="K107" i="31"/>
  <c r="E108" i="31"/>
  <c r="F108" i="31"/>
  <c r="G108" i="31" s="1"/>
  <c r="F17" i="31"/>
  <c r="H108" i="31"/>
  <c r="J108" i="31"/>
  <c r="F110" i="31"/>
  <c r="H110" i="31"/>
  <c r="J110" i="31"/>
  <c r="G111" i="31"/>
  <c r="G114" i="31"/>
  <c r="I114" i="31"/>
  <c r="K114" i="31"/>
  <c r="G115" i="31"/>
  <c r="I115" i="31"/>
  <c r="K115" i="31"/>
  <c r="G116" i="31"/>
  <c r="I116" i="31"/>
  <c r="K116" i="31"/>
  <c r="G117" i="31"/>
  <c r="I117" i="31"/>
  <c r="K117" i="31"/>
  <c r="G118" i="31"/>
  <c r="I118" i="31"/>
  <c r="K118" i="31"/>
  <c r="G119" i="31"/>
  <c r="I119" i="31"/>
  <c r="K119" i="31"/>
  <c r="G120" i="31"/>
  <c r="I120" i="31"/>
  <c r="K120" i="31"/>
  <c r="G121" i="31"/>
  <c r="I121" i="31"/>
  <c r="K121" i="31"/>
  <c r="G122" i="31"/>
  <c r="I122" i="31"/>
  <c r="K122" i="31"/>
  <c r="G123" i="31"/>
  <c r="I123" i="31"/>
  <c r="K123" i="31"/>
  <c r="G124" i="31"/>
  <c r="I124" i="31"/>
  <c r="K124" i="31"/>
  <c r="G125" i="31"/>
  <c r="I125" i="31"/>
  <c r="K125" i="31"/>
  <c r="G126" i="31"/>
  <c r="I126" i="31"/>
  <c r="K126" i="31"/>
  <c r="G127" i="31"/>
  <c r="I127" i="31"/>
  <c r="K127" i="31"/>
  <c r="G128" i="31"/>
  <c r="I128" i="31"/>
  <c r="K128" i="31"/>
  <c r="G129" i="31"/>
  <c r="I129" i="31"/>
  <c r="K129" i="31"/>
  <c r="G130" i="31"/>
  <c r="I130" i="31"/>
  <c r="K130" i="31"/>
  <c r="G131" i="31"/>
  <c r="I131" i="31"/>
  <c r="K131" i="31"/>
  <c r="E132" i="31"/>
  <c r="F132" i="31"/>
  <c r="F21" i="31"/>
  <c r="H132" i="31"/>
  <c r="H21" i="31"/>
  <c r="J132" i="31"/>
  <c r="J21" i="31"/>
  <c r="G135" i="31"/>
  <c r="I135" i="31"/>
  <c r="K135" i="31"/>
  <c r="G136" i="31"/>
  <c r="I136" i="31"/>
  <c r="K136" i="31"/>
  <c r="G137" i="31"/>
  <c r="I137" i="31"/>
  <c r="K137" i="31"/>
  <c r="G138" i="31"/>
  <c r="I138" i="31"/>
  <c r="K138" i="31"/>
  <c r="G139" i="31"/>
  <c r="I139" i="31"/>
  <c r="K139" i="31"/>
  <c r="G140" i="31"/>
  <c r="I140" i="31"/>
  <c r="K140" i="31"/>
  <c r="E141" i="31"/>
  <c r="G141" i="31"/>
  <c r="F141" i="31"/>
  <c r="H141" i="31"/>
  <c r="H25" i="31"/>
  <c r="J141" i="31"/>
  <c r="J25" i="31"/>
  <c r="E146" i="31"/>
  <c r="E146" i="16"/>
  <c r="H146" i="16"/>
  <c r="F146" i="31"/>
  <c r="H146" i="31"/>
  <c r="J146" i="31"/>
  <c r="J149" i="31"/>
  <c r="E88" i="49"/>
  <c r="G147" i="31"/>
  <c r="I147" i="31"/>
  <c r="K147" i="31"/>
  <c r="G148" i="31"/>
  <c r="I148" i="31"/>
  <c r="K148" i="31"/>
  <c r="G150" i="31"/>
  <c r="I150" i="31"/>
  <c r="K150" i="31"/>
  <c r="A1" i="32"/>
  <c r="A2" i="32"/>
  <c r="A3" i="32"/>
  <c r="D4" i="32"/>
  <c r="A6" i="32"/>
  <c r="E13" i="32"/>
  <c r="E14" i="32"/>
  <c r="F14" i="32"/>
  <c r="G14" i="32" s="1"/>
  <c r="H14" i="32"/>
  <c r="AE11" i="35"/>
  <c r="J14" i="32"/>
  <c r="E15" i="32"/>
  <c r="G15" i="32"/>
  <c r="F15" i="32"/>
  <c r="AE12" i="34"/>
  <c r="H15" i="32"/>
  <c r="AE12" i="35"/>
  <c r="T12" i="35"/>
  <c r="J15" i="32"/>
  <c r="E16" i="32"/>
  <c r="F16" i="32"/>
  <c r="AE13" i="34"/>
  <c r="H16" i="32"/>
  <c r="J16" i="32"/>
  <c r="E19" i="32"/>
  <c r="E20" i="32"/>
  <c r="E23" i="32"/>
  <c r="F23" i="32"/>
  <c r="H23" i="32"/>
  <c r="AE20" i="35"/>
  <c r="K23" i="32"/>
  <c r="J23" i="32"/>
  <c r="E24" i="32"/>
  <c r="F24" i="32"/>
  <c r="G24" i="32"/>
  <c r="AE21" i="34"/>
  <c r="R21" i="34"/>
  <c r="H24" i="32"/>
  <c r="AE21" i="35"/>
  <c r="Z21" i="35"/>
  <c r="J24" i="32"/>
  <c r="E29" i="32"/>
  <c r="F29" i="32"/>
  <c r="G29" i="32" s="1"/>
  <c r="H29" i="32"/>
  <c r="AE26" i="35"/>
  <c r="J29" i="32"/>
  <c r="F30" i="32"/>
  <c r="AE27" i="34"/>
  <c r="H30" i="32"/>
  <c r="J30" i="32"/>
  <c r="F31" i="32"/>
  <c r="AE28" i="34"/>
  <c r="H31" i="32"/>
  <c r="J31" i="32"/>
  <c r="E32" i="32"/>
  <c r="F32" i="32"/>
  <c r="G32" i="32" s="1"/>
  <c r="AE29" i="34"/>
  <c r="H32" i="32"/>
  <c r="AE29" i="35"/>
  <c r="J32" i="32"/>
  <c r="F33" i="32"/>
  <c r="AE30" i="34"/>
  <c r="F30" i="34"/>
  <c r="H33" i="32"/>
  <c r="AE30" i="35"/>
  <c r="J33" i="32"/>
  <c r="E34" i="32"/>
  <c r="F34" i="32"/>
  <c r="AE31" i="34"/>
  <c r="X31" i="34"/>
  <c r="H34" i="32"/>
  <c r="AE31" i="35"/>
  <c r="J34" i="32"/>
  <c r="E35" i="32"/>
  <c r="G35" i="32"/>
  <c r="F35" i="32"/>
  <c r="I35" i="32"/>
  <c r="H35" i="32"/>
  <c r="AE32" i="35"/>
  <c r="X32" i="35"/>
  <c r="J35" i="32"/>
  <c r="E36" i="32"/>
  <c r="F36" i="32"/>
  <c r="AE33" i="34"/>
  <c r="H36" i="32"/>
  <c r="AE33" i="35"/>
  <c r="J36" i="32"/>
  <c r="E42" i="32"/>
  <c r="G42" i="32"/>
  <c r="F42" i="32"/>
  <c r="AE37" i="34"/>
  <c r="AB37" i="34"/>
  <c r="H42" i="32"/>
  <c r="AE37" i="35"/>
  <c r="J42" i="32"/>
  <c r="E43" i="32"/>
  <c r="G43" i="32"/>
  <c r="F43" i="32"/>
  <c r="I43" i="32"/>
  <c r="H43" i="32"/>
  <c r="K43" i="32"/>
  <c r="J43" i="32"/>
  <c r="J44" i="32"/>
  <c r="E49" i="32"/>
  <c r="E50" i="32"/>
  <c r="G50" i="32"/>
  <c r="F50" i="32"/>
  <c r="I50" i="32"/>
  <c r="H50" i="32"/>
  <c r="K50" i="32"/>
  <c r="J50" i="32"/>
  <c r="B51" i="32"/>
  <c r="E51" i="32"/>
  <c r="G51" i="32"/>
  <c r="F51" i="32"/>
  <c r="I51" i="32"/>
  <c r="H51" i="32"/>
  <c r="K51" i="32"/>
  <c r="J51" i="32"/>
  <c r="E52" i="32"/>
  <c r="G52" i="32"/>
  <c r="F52" i="32"/>
  <c r="H52" i="32"/>
  <c r="K52" i="32"/>
  <c r="I52" i="32"/>
  <c r="J52" i="32"/>
  <c r="E53" i="32"/>
  <c r="F53" i="32"/>
  <c r="G53" i="32" s="1"/>
  <c r="I53" i="32"/>
  <c r="H53" i="32"/>
  <c r="K53" i="32"/>
  <c r="J53" i="32"/>
  <c r="B54" i="32"/>
  <c r="F54" i="32"/>
  <c r="I54" i="32"/>
  <c r="H54" i="32"/>
  <c r="K54" i="32"/>
  <c r="J54" i="32"/>
  <c r="E59" i="32"/>
  <c r="G59" i="32"/>
  <c r="F59" i="32"/>
  <c r="I59" i="32"/>
  <c r="H59" i="32"/>
  <c r="K59" i="32"/>
  <c r="J59" i="32"/>
  <c r="E60" i="32"/>
  <c r="G60" i="32"/>
  <c r="F60" i="32"/>
  <c r="I60" i="32"/>
  <c r="H60" i="32"/>
  <c r="K60" i="32"/>
  <c r="J60" i="32"/>
  <c r="E61" i="32"/>
  <c r="G61" i="32"/>
  <c r="F61" i="32"/>
  <c r="I61" i="32"/>
  <c r="H61" i="32"/>
  <c r="K61" i="32"/>
  <c r="J61" i="32"/>
  <c r="E62" i="32"/>
  <c r="G62" i="32"/>
  <c r="F62" i="32"/>
  <c r="I62" i="32"/>
  <c r="H62" i="32"/>
  <c r="K62" i="32"/>
  <c r="J62" i="32"/>
  <c r="E65" i="32"/>
  <c r="G65" i="32"/>
  <c r="F65" i="32"/>
  <c r="I65" i="32"/>
  <c r="H65" i="32"/>
  <c r="K65" i="32"/>
  <c r="J65" i="32"/>
  <c r="E66" i="32"/>
  <c r="G66" i="32"/>
  <c r="F66" i="32"/>
  <c r="I66" i="32"/>
  <c r="H66" i="32"/>
  <c r="K66" i="32"/>
  <c r="J66" i="32"/>
  <c r="E67" i="32"/>
  <c r="G67" i="32"/>
  <c r="F67" i="32"/>
  <c r="I67" i="32"/>
  <c r="H67" i="32"/>
  <c r="K67" i="32"/>
  <c r="J67" i="32"/>
  <c r="E69" i="32"/>
  <c r="G69" i="32"/>
  <c r="F69" i="32"/>
  <c r="I69" i="32"/>
  <c r="H69" i="32"/>
  <c r="K69" i="32"/>
  <c r="J69" i="32"/>
  <c r="A2" i="36"/>
  <c r="A3" i="36"/>
  <c r="A4" i="36"/>
  <c r="E12" i="36"/>
  <c r="G12" i="36"/>
  <c r="I12" i="36"/>
  <c r="D26" i="36"/>
  <c r="E26" i="36"/>
  <c r="F26" i="36"/>
  <c r="G26" i="36"/>
  <c r="H26" i="36"/>
  <c r="I26" i="36"/>
  <c r="J26" i="36"/>
  <c r="F1" i="34"/>
  <c r="T1" i="34"/>
  <c r="G2" i="34"/>
  <c r="W2" i="34"/>
  <c r="A3" i="34"/>
  <c r="D6" i="34"/>
  <c r="E23" i="34"/>
  <c r="G23" i="34"/>
  <c r="I23" i="34"/>
  <c r="K23" i="34"/>
  <c r="M23" i="34"/>
  <c r="O23" i="34"/>
  <c r="Q23" i="34"/>
  <c r="S23" i="34"/>
  <c r="U23" i="34"/>
  <c r="W23" i="34"/>
  <c r="Y23" i="34"/>
  <c r="AA23" i="34"/>
  <c r="E34" i="34"/>
  <c r="G34" i="34"/>
  <c r="I34" i="34"/>
  <c r="K34" i="34"/>
  <c r="M34" i="34"/>
  <c r="O34" i="34"/>
  <c r="Q34" i="34"/>
  <c r="S34" i="34"/>
  <c r="U34" i="34"/>
  <c r="W34" i="34"/>
  <c r="Y34" i="34"/>
  <c r="AA34" i="34"/>
  <c r="E39" i="34"/>
  <c r="G39" i="34"/>
  <c r="I39" i="34"/>
  <c r="K39" i="34"/>
  <c r="M39" i="34"/>
  <c r="O39" i="34"/>
  <c r="Q39" i="34"/>
  <c r="S39" i="34"/>
  <c r="U39" i="34"/>
  <c r="W39" i="34"/>
  <c r="Y39" i="34"/>
  <c r="AA39" i="34"/>
  <c r="F43" i="34"/>
  <c r="H43" i="34"/>
  <c r="J43" i="34"/>
  <c r="L43" i="34"/>
  <c r="N43" i="34"/>
  <c r="P43" i="34"/>
  <c r="R43" i="34"/>
  <c r="T43" i="34"/>
  <c r="V43" i="34"/>
  <c r="X43" i="34"/>
  <c r="Z43" i="34"/>
  <c r="AB43" i="34"/>
  <c r="F44" i="34"/>
  <c r="H44" i="34"/>
  <c r="J44" i="34"/>
  <c r="L44" i="34"/>
  <c r="N44" i="34"/>
  <c r="P44" i="34"/>
  <c r="R44" i="34"/>
  <c r="T44" i="34"/>
  <c r="V44" i="34"/>
  <c r="X44" i="34"/>
  <c r="Z44" i="34"/>
  <c r="AB44" i="34"/>
  <c r="F45" i="34"/>
  <c r="H45" i="34"/>
  <c r="J45" i="34"/>
  <c r="L45" i="34"/>
  <c r="N45" i="34"/>
  <c r="P45" i="34"/>
  <c r="R45" i="34"/>
  <c r="T45" i="34"/>
  <c r="V45" i="34"/>
  <c r="X45" i="34"/>
  <c r="Z45" i="34"/>
  <c r="AB45" i="34"/>
  <c r="F46" i="34"/>
  <c r="H46" i="34"/>
  <c r="J46" i="34"/>
  <c r="L46" i="34"/>
  <c r="N46" i="34"/>
  <c r="P46" i="34"/>
  <c r="R46" i="34"/>
  <c r="T46" i="34"/>
  <c r="V46" i="34"/>
  <c r="X46" i="34"/>
  <c r="Z46" i="34"/>
  <c r="AB46" i="34"/>
  <c r="F47" i="34"/>
  <c r="H47" i="34"/>
  <c r="J47" i="34"/>
  <c r="L47" i="34"/>
  <c r="N47" i="34"/>
  <c r="P47" i="34"/>
  <c r="R47" i="34"/>
  <c r="T47" i="34"/>
  <c r="V47" i="34"/>
  <c r="X47" i="34"/>
  <c r="Z47" i="34"/>
  <c r="AB47" i="34"/>
  <c r="D48" i="34"/>
  <c r="E48" i="34"/>
  <c r="G48" i="34"/>
  <c r="I48" i="34"/>
  <c r="K48" i="34"/>
  <c r="M48" i="34"/>
  <c r="O48" i="34"/>
  <c r="Q48" i="34"/>
  <c r="S48" i="34"/>
  <c r="U48" i="34"/>
  <c r="W48" i="34"/>
  <c r="Y48" i="34"/>
  <c r="AA48" i="34"/>
  <c r="F51" i="34"/>
  <c r="H51" i="34"/>
  <c r="J51" i="34"/>
  <c r="L51" i="34"/>
  <c r="N51" i="34"/>
  <c r="P51" i="34"/>
  <c r="R51" i="34"/>
  <c r="T51" i="34"/>
  <c r="V51" i="34"/>
  <c r="X51" i="34"/>
  <c r="Z51" i="34"/>
  <c r="AB51" i="34"/>
  <c r="F52" i="34"/>
  <c r="H52" i="34"/>
  <c r="J52" i="34"/>
  <c r="L52" i="34"/>
  <c r="N52" i="34"/>
  <c r="P52" i="34"/>
  <c r="R52" i="34"/>
  <c r="T52" i="34"/>
  <c r="V52" i="34"/>
  <c r="X52" i="34"/>
  <c r="Z52" i="34"/>
  <c r="AB52" i="34"/>
  <c r="F53" i="34"/>
  <c r="H53" i="34"/>
  <c r="J53" i="34"/>
  <c r="L53" i="34"/>
  <c r="N53" i="34"/>
  <c r="P53" i="34"/>
  <c r="R53" i="34"/>
  <c r="T53" i="34"/>
  <c r="V53" i="34"/>
  <c r="X53" i="34"/>
  <c r="Z53" i="34"/>
  <c r="AB53" i="34"/>
  <c r="F54" i="34"/>
  <c r="H54" i="34"/>
  <c r="J54" i="34"/>
  <c r="L54" i="34"/>
  <c r="N54" i="34"/>
  <c r="P54" i="34"/>
  <c r="R54" i="34"/>
  <c r="T54" i="34"/>
  <c r="V54" i="34"/>
  <c r="X54" i="34"/>
  <c r="Z54" i="34"/>
  <c r="AB54" i="34"/>
  <c r="F55" i="34"/>
  <c r="H55" i="34"/>
  <c r="J55" i="34"/>
  <c r="L55" i="34"/>
  <c r="N55" i="34"/>
  <c r="P55" i="34"/>
  <c r="R55" i="34"/>
  <c r="T55" i="34"/>
  <c r="V55" i="34"/>
  <c r="X55" i="34"/>
  <c r="Z55" i="34"/>
  <c r="AB55" i="34"/>
  <c r="E56" i="34"/>
  <c r="G56" i="34"/>
  <c r="I56" i="34"/>
  <c r="K56" i="34"/>
  <c r="M56" i="34"/>
  <c r="O56" i="34"/>
  <c r="O58" i="34"/>
  <c r="Q56" i="34"/>
  <c r="S56" i="34"/>
  <c r="U56" i="34"/>
  <c r="W56" i="34"/>
  <c r="W58" i="34"/>
  <c r="Y56" i="34"/>
  <c r="AA56" i="34"/>
  <c r="F1" i="35"/>
  <c r="T1" i="35"/>
  <c r="G2" i="35"/>
  <c r="W2" i="35"/>
  <c r="A3" i="35"/>
  <c r="D6" i="35"/>
  <c r="AA23" i="35"/>
  <c r="E34" i="35"/>
  <c r="G34" i="35"/>
  <c r="I34" i="35"/>
  <c r="K34" i="35"/>
  <c r="M34" i="35"/>
  <c r="O34" i="35"/>
  <c r="Q34" i="35"/>
  <c r="S34" i="35"/>
  <c r="U34" i="35"/>
  <c r="W34" i="35"/>
  <c r="Y34" i="35"/>
  <c r="AA34" i="35"/>
  <c r="E39" i="35"/>
  <c r="G39" i="35"/>
  <c r="I39" i="35"/>
  <c r="K39" i="35"/>
  <c r="M39" i="35"/>
  <c r="O39" i="35"/>
  <c r="Q39" i="35"/>
  <c r="S39" i="35"/>
  <c r="U39" i="35"/>
  <c r="W39" i="35"/>
  <c r="Y39" i="35"/>
  <c r="AA39" i="35"/>
  <c r="F43" i="35"/>
  <c r="H43" i="35"/>
  <c r="J43" i="35"/>
  <c r="L43" i="35"/>
  <c r="N43" i="35"/>
  <c r="P43" i="35"/>
  <c r="R43" i="35"/>
  <c r="T43" i="35"/>
  <c r="V43" i="35"/>
  <c r="X43" i="35"/>
  <c r="Z43" i="35"/>
  <c r="AB43" i="35"/>
  <c r="F44" i="35"/>
  <c r="H44" i="35"/>
  <c r="J44" i="35"/>
  <c r="L44" i="35"/>
  <c r="N44" i="35"/>
  <c r="P44" i="35"/>
  <c r="R44" i="35"/>
  <c r="T44" i="35"/>
  <c r="V44" i="35"/>
  <c r="X44" i="35"/>
  <c r="Z44" i="35"/>
  <c r="AB44" i="35"/>
  <c r="F45" i="35"/>
  <c r="H45" i="35"/>
  <c r="J45" i="35"/>
  <c r="L45" i="35"/>
  <c r="N45" i="35"/>
  <c r="P45" i="35"/>
  <c r="R45" i="35"/>
  <c r="T45" i="35"/>
  <c r="V45" i="35"/>
  <c r="X45" i="35"/>
  <c r="Z45" i="35"/>
  <c r="AB45" i="35"/>
  <c r="F46" i="35"/>
  <c r="H46" i="35"/>
  <c r="J46" i="35"/>
  <c r="L46" i="35"/>
  <c r="N46" i="35"/>
  <c r="P46" i="35"/>
  <c r="R46" i="35"/>
  <c r="T46" i="35"/>
  <c r="V46" i="35"/>
  <c r="X46" i="35"/>
  <c r="Z46" i="35"/>
  <c r="AB46" i="35"/>
  <c r="F47" i="35"/>
  <c r="H47" i="35"/>
  <c r="J47" i="35"/>
  <c r="L47" i="35"/>
  <c r="N47" i="35"/>
  <c r="P47" i="35"/>
  <c r="R47" i="35"/>
  <c r="T47" i="35"/>
  <c r="V47" i="35"/>
  <c r="X47" i="35"/>
  <c r="Z47" i="35"/>
  <c r="AB47" i="35"/>
  <c r="D48" i="35"/>
  <c r="E48" i="35"/>
  <c r="G48" i="35"/>
  <c r="I48" i="35"/>
  <c r="K48" i="35"/>
  <c r="M48" i="35"/>
  <c r="O48" i="35"/>
  <c r="Q48" i="35"/>
  <c r="S48" i="35"/>
  <c r="U48" i="35"/>
  <c r="W48" i="35"/>
  <c r="Y48" i="35"/>
  <c r="AA48" i="35"/>
  <c r="F51" i="35"/>
  <c r="H51" i="35"/>
  <c r="J51" i="35"/>
  <c r="L51" i="35"/>
  <c r="N51" i="35"/>
  <c r="P51" i="35"/>
  <c r="R51" i="35"/>
  <c r="T51" i="35"/>
  <c r="V51" i="35"/>
  <c r="X51" i="35"/>
  <c r="Z51" i="35"/>
  <c r="AB51" i="35"/>
  <c r="F52" i="35"/>
  <c r="H52" i="35"/>
  <c r="J52" i="35"/>
  <c r="L52" i="35"/>
  <c r="N52" i="35"/>
  <c r="P52" i="35"/>
  <c r="R52" i="35"/>
  <c r="T52" i="35"/>
  <c r="V52" i="35"/>
  <c r="X52" i="35"/>
  <c r="Z52" i="35"/>
  <c r="AB52" i="35"/>
  <c r="F53" i="35"/>
  <c r="H53" i="35"/>
  <c r="J53" i="35"/>
  <c r="L53" i="35"/>
  <c r="N53" i="35"/>
  <c r="P53" i="35"/>
  <c r="R53" i="35"/>
  <c r="T53" i="35"/>
  <c r="V53" i="35"/>
  <c r="X53" i="35"/>
  <c r="Z53" i="35"/>
  <c r="AB53" i="35"/>
  <c r="F54" i="35"/>
  <c r="H54" i="35"/>
  <c r="J54" i="35"/>
  <c r="L54" i="35"/>
  <c r="N54" i="35"/>
  <c r="P54" i="35"/>
  <c r="R54" i="35"/>
  <c r="T54" i="35"/>
  <c r="V54" i="35"/>
  <c r="X54" i="35"/>
  <c r="Z54" i="35"/>
  <c r="AB54" i="35"/>
  <c r="F55" i="35"/>
  <c r="H55" i="35"/>
  <c r="J55" i="35"/>
  <c r="L55" i="35"/>
  <c r="N55" i="35"/>
  <c r="P55" i="35"/>
  <c r="R55" i="35"/>
  <c r="T55" i="35"/>
  <c r="V55" i="35"/>
  <c r="X55" i="35"/>
  <c r="Z55" i="35"/>
  <c r="AB55" i="35"/>
  <c r="E56" i="35"/>
  <c r="G56" i="35"/>
  <c r="I56" i="35"/>
  <c r="K56" i="35"/>
  <c r="M56" i="35"/>
  <c r="O56" i="35"/>
  <c r="Q56" i="35"/>
  <c r="S56" i="35"/>
  <c r="U56" i="35"/>
  <c r="W56" i="35"/>
  <c r="Y56" i="35"/>
  <c r="AA56" i="35"/>
  <c r="A1" i="49"/>
  <c r="A3" i="49"/>
  <c r="A4" i="49"/>
  <c r="B7" i="49"/>
  <c r="C7" i="49"/>
  <c r="D7" i="49"/>
  <c r="E7" i="49"/>
  <c r="B8" i="49"/>
  <c r="C8" i="49"/>
  <c r="D8" i="49"/>
  <c r="E8" i="49"/>
  <c r="B9" i="49"/>
  <c r="C9" i="49"/>
  <c r="D9" i="49"/>
  <c r="E9" i="49"/>
  <c r="B11" i="49"/>
  <c r="C11" i="49"/>
  <c r="D11" i="49"/>
  <c r="E11" i="49"/>
  <c r="C13" i="49"/>
  <c r="D13" i="49"/>
  <c r="E13" i="49"/>
  <c r="C14" i="49"/>
  <c r="D14" i="49"/>
  <c r="E14" i="49"/>
  <c r="C15" i="49"/>
  <c r="D15" i="49"/>
  <c r="E15" i="49"/>
  <c r="C17" i="49"/>
  <c r="D17" i="49"/>
  <c r="E17" i="49"/>
  <c r="C18" i="49"/>
  <c r="D18" i="49"/>
  <c r="E18" i="49"/>
  <c r="C20" i="49"/>
  <c r="D20" i="49"/>
  <c r="E20" i="49"/>
  <c r="C21" i="49"/>
  <c r="D21" i="49"/>
  <c r="E21" i="49"/>
  <c r="C22" i="49"/>
  <c r="D22" i="49"/>
  <c r="E22" i="49"/>
  <c r="C24" i="49"/>
  <c r="D24" i="49"/>
  <c r="E24" i="49"/>
  <c r="C25" i="49"/>
  <c r="D25" i="49"/>
  <c r="E25" i="49"/>
  <c r="C27" i="49"/>
  <c r="D27" i="49"/>
  <c r="E27" i="49"/>
  <c r="C28" i="49"/>
  <c r="D28" i="49"/>
  <c r="E28" i="49"/>
  <c r="C30" i="49"/>
  <c r="D30" i="49"/>
  <c r="E30" i="49"/>
  <c r="C31" i="49"/>
  <c r="D31" i="49"/>
  <c r="E31" i="49"/>
  <c r="C33" i="49"/>
  <c r="D33" i="49"/>
  <c r="E33" i="49"/>
  <c r="C34" i="49"/>
  <c r="D34" i="49"/>
  <c r="E34" i="49"/>
  <c r="C35" i="49"/>
  <c r="D35" i="49"/>
  <c r="E35" i="49"/>
  <c r="C36" i="49"/>
  <c r="D36" i="49"/>
  <c r="E36" i="49"/>
  <c r="B39" i="49"/>
  <c r="B40" i="49"/>
  <c r="B41" i="49" s="1"/>
  <c r="C40" i="49"/>
  <c r="D40" i="49"/>
  <c r="E40" i="49"/>
  <c r="B42" i="49"/>
  <c r="C42" i="49"/>
  <c r="D42" i="49"/>
  <c r="E42" i="49"/>
  <c r="B43" i="49"/>
  <c r="C43" i="49"/>
  <c r="D43" i="49"/>
  <c r="E43" i="49"/>
  <c r="C44" i="49"/>
  <c r="D44" i="49"/>
  <c r="E44" i="49"/>
  <c r="B47" i="49"/>
  <c r="C47" i="49"/>
  <c r="D47" i="49"/>
  <c r="E47" i="49"/>
  <c r="B48" i="49"/>
  <c r="C48" i="49"/>
  <c r="D48" i="49"/>
  <c r="E48" i="49"/>
  <c r="B49" i="49"/>
  <c r="C49" i="49"/>
  <c r="D49" i="49"/>
  <c r="E49" i="49"/>
  <c r="B50" i="49"/>
  <c r="C50" i="49"/>
  <c r="D50" i="49"/>
  <c r="E50" i="49"/>
  <c r="B51" i="49"/>
  <c r="C51" i="49"/>
  <c r="D51" i="49"/>
  <c r="E51" i="49"/>
  <c r="B52" i="49"/>
  <c r="C52" i="49"/>
  <c r="D52" i="49"/>
  <c r="E52" i="49"/>
  <c r="B53" i="49"/>
  <c r="C53" i="49"/>
  <c r="D53" i="49"/>
  <c r="E53" i="49"/>
  <c r="B54" i="49"/>
  <c r="C54" i="49"/>
  <c r="D54" i="49"/>
  <c r="E54" i="49"/>
  <c r="B58" i="49"/>
  <c r="B59" i="49"/>
  <c r="B60" i="49" s="1"/>
  <c r="C59" i="49"/>
  <c r="D59" i="49"/>
  <c r="E59" i="49"/>
  <c r="B61" i="49"/>
  <c r="C61" i="49"/>
  <c r="D61" i="49"/>
  <c r="E61" i="49"/>
  <c r="B62" i="49"/>
  <c r="C62" i="49"/>
  <c r="D62" i="49"/>
  <c r="E62" i="49"/>
  <c r="C63" i="49"/>
  <c r="D63" i="49"/>
  <c r="E63" i="49"/>
  <c r="B66" i="49"/>
  <c r="B67" i="49"/>
  <c r="C67" i="49"/>
  <c r="D67" i="49"/>
  <c r="E67" i="49"/>
  <c r="B68" i="49"/>
  <c r="C68" i="49"/>
  <c r="D68" i="49"/>
  <c r="E68" i="49"/>
  <c r="B69" i="49"/>
  <c r="C69" i="49"/>
  <c r="D69" i="49"/>
  <c r="E69" i="49"/>
  <c r="B72" i="49"/>
  <c r="C72" i="49"/>
  <c r="D72" i="49"/>
  <c r="E72" i="49"/>
  <c r="C78" i="49"/>
  <c r="D78" i="49"/>
  <c r="E78" i="49"/>
  <c r="B83" i="49"/>
  <c r="C83" i="49"/>
  <c r="D83" i="49"/>
  <c r="E83" i="49"/>
  <c r="B84" i="49"/>
  <c r="B86" i="49"/>
  <c r="C86" i="49"/>
  <c r="D86" i="49"/>
  <c r="E86" i="49"/>
  <c r="B87" i="49"/>
  <c r="C87" i="49"/>
  <c r="D87" i="49"/>
  <c r="E87" i="49"/>
  <c r="B89" i="49"/>
  <c r="C89" i="49"/>
  <c r="D89" i="49"/>
  <c r="E89" i="49"/>
  <c r="B92" i="49"/>
  <c r="C92" i="49"/>
  <c r="D92" i="49"/>
  <c r="E92" i="49"/>
  <c r="C93" i="49"/>
  <c r="D93" i="49"/>
  <c r="E93" i="49"/>
  <c r="C94" i="49"/>
  <c r="D94" i="49"/>
  <c r="E94" i="49"/>
  <c r="B95" i="49"/>
  <c r="C95" i="49"/>
  <c r="D95" i="49"/>
  <c r="E95" i="49"/>
  <c r="B96" i="49"/>
  <c r="C96" i="49"/>
  <c r="D96" i="49"/>
  <c r="E96" i="49"/>
  <c r="B97" i="49"/>
  <c r="C97" i="49"/>
  <c r="D97" i="49"/>
  <c r="E97" i="49"/>
  <c r="B98" i="49"/>
  <c r="C98" i="49"/>
  <c r="D98" i="49"/>
  <c r="E98" i="49"/>
  <c r="B99" i="49"/>
  <c r="C99" i="49"/>
  <c r="D99" i="49"/>
  <c r="E99" i="49"/>
  <c r="D100" i="49"/>
  <c r="E100" i="49"/>
  <c r="B103" i="49"/>
  <c r="C103" i="49"/>
  <c r="D103" i="49"/>
  <c r="E103" i="49"/>
  <c r="B104" i="49"/>
  <c r="C104" i="49"/>
  <c r="D104" i="49"/>
  <c r="E104" i="49"/>
  <c r="B105" i="49"/>
  <c r="C105" i="49"/>
  <c r="D105" i="49"/>
  <c r="E105" i="49"/>
  <c r="B106" i="49"/>
  <c r="C106" i="49"/>
  <c r="D106" i="49"/>
  <c r="E106" i="49"/>
  <c r="B107" i="49"/>
  <c r="C107" i="49"/>
  <c r="D107" i="49"/>
  <c r="E107" i="49"/>
  <c r="B108" i="49"/>
  <c r="C108" i="49"/>
  <c r="D108" i="49"/>
  <c r="E108" i="49"/>
  <c r="B109" i="49"/>
  <c r="C109" i="49"/>
  <c r="D109" i="49"/>
  <c r="E109" i="49"/>
  <c r="B110" i="49"/>
  <c r="C110" i="49"/>
  <c r="D110" i="49"/>
  <c r="E110" i="49"/>
  <c r="D111" i="49"/>
  <c r="C113" i="49"/>
  <c r="D113" i="49"/>
  <c r="E113" i="49"/>
  <c r="C114" i="49"/>
  <c r="D114" i="49"/>
  <c r="E114" i="49"/>
  <c r="C115" i="49"/>
  <c r="D115" i="49"/>
  <c r="E115" i="49"/>
  <c r="C116" i="49"/>
  <c r="D116" i="49"/>
  <c r="E116" i="49"/>
  <c r="C119" i="49"/>
  <c r="D119" i="49"/>
  <c r="E119" i="49"/>
  <c r="C120" i="49"/>
  <c r="D120" i="49"/>
  <c r="E120" i="49"/>
  <c r="A123" i="49"/>
  <c r="C123" i="49"/>
  <c r="D123" i="49"/>
  <c r="E123" i="49"/>
  <c r="A124" i="49"/>
  <c r="C124" i="49"/>
  <c r="D124" i="49"/>
  <c r="E124" i="49"/>
  <c r="A125" i="49"/>
  <c r="C125" i="49"/>
  <c r="D125" i="49"/>
  <c r="E125" i="49"/>
  <c r="A126" i="49"/>
  <c r="C126" i="49"/>
  <c r="D126" i="49"/>
  <c r="E126" i="49"/>
  <c r="A127" i="49"/>
  <c r="C127" i="49"/>
  <c r="D127" i="49"/>
  <c r="E127" i="49"/>
  <c r="A128" i="49"/>
  <c r="C128" i="49"/>
  <c r="D128" i="49"/>
  <c r="E128" i="49"/>
  <c r="A129" i="49"/>
  <c r="C129" i="49"/>
  <c r="D129" i="49"/>
  <c r="E129" i="49"/>
  <c r="A130" i="49"/>
  <c r="C130" i="49"/>
  <c r="D130" i="49"/>
  <c r="E130" i="49"/>
  <c r="A131" i="49"/>
  <c r="C131" i="49"/>
  <c r="D131" i="49"/>
  <c r="E131" i="49"/>
  <c r="A132" i="49"/>
  <c r="C132" i="49"/>
  <c r="D132" i="49"/>
  <c r="E132" i="49"/>
  <c r="A133" i="49"/>
  <c r="C133" i="49"/>
  <c r="D133" i="49"/>
  <c r="E133" i="49"/>
  <c r="A134" i="49"/>
  <c r="C136" i="49"/>
  <c r="A3" i="9"/>
  <c r="A11" i="9"/>
  <c r="M1" i="10"/>
  <c r="A1" i="16"/>
  <c r="A1" i="17"/>
  <c r="M2" i="10" a="1"/>
  <c r="M2" i="10" s="1"/>
  <c r="A2" i="43" s="1"/>
  <c r="N2" i="10"/>
  <c r="O2" i="10"/>
  <c r="P2" i="10"/>
  <c r="Q2" i="10"/>
  <c r="R2" i="10"/>
  <c r="M3" i="10"/>
  <c r="M4" i="10"/>
  <c r="M5" i="10"/>
  <c r="I2" i="14"/>
  <c r="S6" i="10"/>
  <c r="E9" i="10"/>
  <c r="E27" i="10"/>
  <c r="E41" i="10"/>
  <c r="J4" i="14"/>
  <c r="J5" i="14"/>
  <c r="A6" i="14"/>
  <c r="I7" i="14"/>
  <c r="L7" i="14"/>
  <c r="O7" i="14"/>
  <c r="R7" i="14"/>
  <c r="U7" i="14"/>
  <c r="I12" i="14"/>
  <c r="K12" i="14"/>
  <c r="P12" i="14"/>
  <c r="S12" i="14"/>
  <c r="V12" i="14"/>
  <c r="I13" i="14"/>
  <c r="K13" i="14"/>
  <c r="M13" i="14"/>
  <c r="P13" i="14"/>
  <c r="S13" i="14"/>
  <c r="V13" i="14"/>
  <c r="I14" i="14"/>
  <c r="K14" i="14"/>
  <c r="M14" i="14"/>
  <c r="P14" i="14"/>
  <c r="S14" i="14"/>
  <c r="V14" i="14"/>
  <c r="I15" i="14"/>
  <c r="K15" i="14"/>
  <c r="M15" i="14"/>
  <c r="P15" i="14"/>
  <c r="S15" i="14"/>
  <c r="V15" i="14"/>
  <c r="I16" i="14"/>
  <c r="K16" i="14"/>
  <c r="M16" i="14"/>
  <c r="P16" i="14"/>
  <c r="S16" i="14"/>
  <c r="V16" i="14"/>
  <c r="I17" i="14"/>
  <c r="K17" i="14"/>
  <c r="M17" i="14"/>
  <c r="P17" i="14"/>
  <c r="S17" i="14"/>
  <c r="V17" i="14"/>
  <c r="I18" i="14"/>
  <c r="K18" i="14"/>
  <c r="M18" i="14"/>
  <c r="P18" i="14"/>
  <c r="S18" i="14"/>
  <c r="V18" i="14"/>
  <c r="I19" i="14"/>
  <c r="K19" i="14"/>
  <c r="M19" i="14"/>
  <c r="P19" i="14"/>
  <c r="S19" i="14"/>
  <c r="V19" i="14"/>
  <c r="J20" i="14"/>
  <c r="L20" i="14"/>
  <c r="N20" i="14"/>
  <c r="Q20" i="14"/>
  <c r="T20" i="14"/>
  <c r="I21" i="14"/>
  <c r="J21" i="14"/>
  <c r="K21" i="14"/>
  <c r="L21" i="14"/>
  <c r="M21" i="14"/>
  <c r="N21" i="14"/>
  <c r="O21" i="14"/>
  <c r="P21" i="14"/>
  <c r="Q21" i="14"/>
  <c r="R21" i="14"/>
  <c r="S21" i="14"/>
  <c r="T21" i="14"/>
  <c r="T22" i="14" s="1"/>
  <c r="U21" i="14"/>
  <c r="V21" i="14"/>
  <c r="N22" i="14"/>
  <c r="O22" i="14"/>
  <c r="U22" i="14"/>
  <c r="I23" i="14"/>
  <c r="K23" i="14"/>
  <c r="M23" i="14"/>
  <c r="P23" i="14"/>
  <c r="S23" i="14"/>
  <c r="V23" i="14"/>
  <c r="I26" i="14"/>
  <c r="K26" i="14"/>
  <c r="P26" i="14"/>
  <c r="S26" i="14"/>
  <c r="V26" i="14"/>
  <c r="I27" i="14"/>
  <c r="K27" i="14"/>
  <c r="M27" i="14"/>
  <c r="P27" i="14"/>
  <c r="S27" i="14"/>
  <c r="V27" i="14"/>
  <c r="I28" i="14"/>
  <c r="K28" i="14"/>
  <c r="M28" i="14"/>
  <c r="P28" i="14"/>
  <c r="S28" i="14"/>
  <c r="V28" i="14"/>
  <c r="I29" i="14"/>
  <c r="K29" i="14"/>
  <c r="M29" i="14"/>
  <c r="P29" i="14"/>
  <c r="S29" i="14"/>
  <c r="V29" i="14"/>
  <c r="I30" i="14"/>
  <c r="K30" i="14"/>
  <c r="M30" i="14"/>
  <c r="P30" i="14"/>
  <c r="S30" i="14"/>
  <c r="V30" i="14"/>
  <c r="I31" i="14"/>
  <c r="K31" i="14"/>
  <c r="M31" i="14"/>
  <c r="P31" i="14"/>
  <c r="S31" i="14"/>
  <c r="V31" i="14"/>
  <c r="I32" i="14"/>
  <c r="K32" i="14"/>
  <c r="M32" i="14"/>
  <c r="P32" i="14"/>
  <c r="S32" i="14"/>
  <c r="V32" i="14"/>
  <c r="I33" i="14"/>
  <c r="K33" i="14"/>
  <c r="M33" i="14"/>
  <c r="P33" i="14"/>
  <c r="S33" i="14"/>
  <c r="V33" i="14"/>
  <c r="I34" i="14"/>
  <c r="J34" i="14"/>
  <c r="K34" i="14"/>
  <c r="P34" i="14"/>
  <c r="L34" i="14"/>
  <c r="N34" i="14"/>
  <c r="Q34" i="14"/>
  <c r="T34" i="14"/>
  <c r="I35" i="14"/>
  <c r="J35" i="14"/>
  <c r="K35" i="14"/>
  <c r="L35" i="14"/>
  <c r="M35" i="14"/>
  <c r="N35" i="14"/>
  <c r="N36" i="14" s="1"/>
  <c r="O35" i="14"/>
  <c r="P35" i="14"/>
  <c r="Q35" i="14"/>
  <c r="R35" i="14"/>
  <c r="S35" i="14"/>
  <c r="T35" i="14"/>
  <c r="T36" i="14" s="1"/>
  <c r="U36" i="14" s="1"/>
  <c r="U35" i="14"/>
  <c r="V35" i="14"/>
  <c r="L36" i="14"/>
  <c r="I39" i="14"/>
  <c r="K39" i="14"/>
  <c r="P39" i="14"/>
  <c r="S39" i="14"/>
  <c r="V39" i="14"/>
  <c r="I40" i="14"/>
  <c r="K40" i="14"/>
  <c r="M40" i="14"/>
  <c r="P40" i="14"/>
  <c r="S40" i="14"/>
  <c r="V40" i="14"/>
  <c r="I41" i="14"/>
  <c r="K41" i="14"/>
  <c r="M41" i="14"/>
  <c r="P41" i="14"/>
  <c r="S41" i="14"/>
  <c r="V41" i="14"/>
  <c r="I42" i="14"/>
  <c r="K42" i="14"/>
  <c r="M42" i="14"/>
  <c r="P42" i="14"/>
  <c r="S42" i="14"/>
  <c r="V42" i="14"/>
  <c r="I43" i="14"/>
  <c r="K43" i="14"/>
  <c r="M43" i="14"/>
  <c r="P43" i="14"/>
  <c r="S43" i="14"/>
  <c r="V43" i="14"/>
  <c r="I44" i="14"/>
  <c r="K44" i="14"/>
  <c r="M44" i="14"/>
  <c r="P44" i="14"/>
  <c r="S44" i="14"/>
  <c r="V44" i="14"/>
  <c r="I45" i="14"/>
  <c r="K45" i="14"/>
  <c r="M45" i="14"/>
  <c r="P45" i="14"/>
  <c r="S45" i="14"/>
  <c r="V45" i="14"/>
  <c r="I46" i="14"/>
  <c r="K46" i="14"/>
  <c r="M46" i="14"/>
  <c r="P46" i="14"/>
  <c r="S46" i="14"/>
  <c r="V46" i="14"/>
  <c r="I47" i="14"/>
  <c r="J47" i="14"/>
  <c r="L47" i="14"/>
  <c r="N47" i="14"/>
  <c r="Q47" i="14"/>
  <c r="T47" i="14"/>
  <c r="V47" i="14" s="1"/>
  <c r="I48" i="14"/>
  <c r="J48" i="14"/>
  <c r="K48" i="14"/>
  <c r="L48" i="14"/>
  <c r="M48" i="14"/>
  <c r="N48" i="14"/>
  <c r="O48" i="14"/>
  <c r="P48" i="14"/>
  <c r="Q48" i="14"/>
  <c r="R48" i="14"/>
  <c r="S48" i="14"/>
  <c r="T48" i="14"/>
  <c r="U48" i="14"/>
  <c r="V48" i="14"/>
  <c r="Q49" i="14"/>
  <c r="T49" i="14"/>
  <c r="U49" i="14"/>
  <c r="I52" i="14"/>
  <c r="K52" i="14"/>
  <c r="P52" i="14"/>
  <c r="S52" i="14"/>
  <c r="V52" i="14"/>
  <c r="I53" i="14"/>
  <c r="K53" i="14"/>
  <c r="M53" i="14"/>
  <c r="P53" i="14"/>
  <c r="S53" i="14"/>
  <c r="V53" i="14"/>
  <c r="I54" i="14"/>
  <c r="K54" i="14"/>
  <c r="M54" i="14"/>
  <c r="P54" i="14"/>
  <c r="S54" i="14"/>
  <c r="V54" i="14"/>
  <c r="I55" i="14"/>
  <c r="K55" i="14"/>
  <c r="M55" i="14"/>
  <c r="P55" i="14"/>
  <c r="S55" i="14"/>
  <c r="V55" i="14"/>
  <c r="I56" i="14"/>
  <c r="K56" i="14"/>
  <c r="M56" i="14"/>
  <c r="P56" i="14"/>
  <c r="S56" i="14"/>
  <c r="V56" i="14"/>
  <c r="I57" i="14"/>
  <c r="K57" i="14"/>
  <c r="M57" i="14"/>
  <c r="P57" i="14"/>
  <c r="S57" i="14"/>
  <c r="V57" i="14"/>
  <c r="I58" i="14"/>
  <c r="K58" i="14"/>
  <c r="M58" i="14"/>
  <c r="P58" i="14"/>
  <c r="S58" i="14"/>
  <c r="V58" i="14"/>
  <c r="I59" i="14"/>
  <c r="K59" i="14"/>
  <c r="M59" i="14"/>
  <c r="P59" i="14"/>
  <c r="S59" i="14"/>
  <c r="V59" i="14"/>
  <c r="I60" i="14"/>
  <c r="J60" i="14"/>
  <c r="K60" i="14"/>
  <c r="L60" i="14"/>
  <c r="N60" i="14"/>
  <c r="Q60" i="14"/>
  <c r="T60" i="14"/>
  <c r="I61" i="14"/>
  <c r="J61" i="14"/>
  <c r="K61" i="14"/>
  <c r="L61" i="14"/>
  <c r="M61" i="14"/>
  <c r="N61" i="14"/>
  <c r="O61" i="14"/>
  <c r="P61" i="14"/>
  <c r="Q61" i="14"/>
  <c r="Q62" i="14" s="1"/>
  <c r="R61" i="14"/>
  <c r="S61" i="14"/>
  <c r="T61" i="14"/>
  <c r="T62" i="14" s="1"/>
  <c r="U62" i="14" s="1"/>
  <c r="U61" i="14"/>
  <c r="V61" i="14"/>
  <c r="R62" i="14"/>
  <c r="I65" i="14"/>
  <c r="N65" i="14"/>
  <c r="Q65" i="14"/>
  <c r="T65" i="14"/>
  <c r="I66" i="14"/>
  <c r="K66" i="14"/>
  <c r="M66" i="14"/>
  <c r="N66" i="14"/>
  <c r="P66" i="14"/>
  <c r="Q66" i="14"/>
  <c r="S66" i="14"/>
  <c r="T66" i="14"/>
  <c r="V66" i="14"/>
  <c r="I67" i="14"/>
  <c r="K67" i="14"/>
  <c r="N67" i="14"/>
  <c r="P67" i="14"/>
  <c r="Q67" i="14"/>
  <c r="S67" i="14"/>
  <c r="T67" i="14"/>
  <c r="V67" i="14"/>
  <c r="I68" i="14"/>
  <c r="K68" i="14"/>
  <c r="M68" i="14"/>
  <c r="N68" i="14"/>
  <c r="P68" i="14"/>
  <c r="Q68" i="14"/>
  <c r="S68" i="14"/>
  <c r="T68" i="14"/>
  <c r="V68" i="14"/>
  <c r="I69" i="14"/>
  <c r="K69" i="14"/>
  <c r="M69" i="14"/>
  <c r="N69" i="14"/>
  <c r="P69" i="14"/>
  <c r="Q69" i="14"/>
  <c r="S69" i="14"/>
  <c r="T69" i="14"/>
  <c r="V69" i="14"/>
  <c r="I70" i="14"/>
  <c r="K70" i="14"/>
  <c r="M70" i="14"/>
  <c r="N70" i="14"/>
  <c r="P70" i="14"/>
  <c r="Q70" i="14"/>
  <c r="S70" i="14"/>
  <c r="T70" i="14"/>
  <c r="V70" i="14"/>
  <c r="I71" i="14"/>
  <c r="K71" i="14"/>
  <c r="M71" i="14"/>
  <c r="N71" i="14"/>
  <c r="P71" i="14"/>
  <c r="Q71" i="14"/>
  <c r="S71" i="14"/>
  <c r="T71" i="14"/>
  <c r="V71" i="14"/>
  <c r="I72" i="14"/>
  <c r="K72" i="14"/>
  <c r="M72" i="14"/>
  <c r="N72" i="14"/>
  <c r="P72" i="14"/>
  <c r="Q72" i="14"/>
  <c r="S72" i="14"/>
  <c r="T72" i="14"/>
  <c r="V72" i="14"/>
  <c r="J73" i="14"/>
  <c r="L73" i="14"/>
  <c r="I74" i="14"/>
  <c r="J74" i="14"/>
  <c r="K74" i="14"/>
  <c r="L74" i="14"/>
  <c r="M74" i="14"/>
  <c r="N74" i="14"/>
  <c r="O74" i="14"/>
  <c r="P74" i="14"/>
  <c r="Q74" i="14"/>
  <c r="R74" i="14"/>
  <c r="S74" i="14"/>
  <c r="T74" i="14"/>
  <c r="U74" i="14"/>
  <c r="V74" i="14"/>
  <c r="I76" i="14"/>
  <c r="K76" i="14"/>
  <c r="A3" i="21"/>
  <c r="A4" i="21"/>
  <c r="A5" i="21"/>
  <c r="G6" i="21"/>
  <c r="H6" i="21"/>
  <c r="G12" i="15"/>
  <c r="J6" i="21"/>
  <c r="I9" i="21"/>
  <c r="K9" i="21"/>
  <c r="I10" i="21"/>
  <c r="K10" i="21"/>
  <c r="I11" i="21"/>
  <c r="K11" i="21"/>
  <c r="I16" i="21"/>
  <c r="K16" i="21"/>
  <c r="I17" i="21"/>
  <c r="K17" i="21"/>
  <c r="G22" i="21"/>
  <c r="H22" i="21"/>
  <c r="I22" i="21"/>
  <c r="J22" i="21"/>
  <c r="K22" i="21"/>
  <c r="I24" i="21"/>
  <c r="K24" i="21"/>
  <c r="G25" i="21"/>
  <c r="H25" i="21"/>
  <c r="J25" i="21"/>
  <c r="E26" i="21"/>
  <c r="I27" i="21"/>
  <c r="K27" i="21"/>
  <c r="E28" i="21"/>
  <c r="I31" i="21"/>
  <c r="K31" i="21"/>
  <c r="I32" i="21"/>
  <c r="K32" i="21"/>
  <c r="I33" i="21"/>
  <c r="K33" i="21"/>
  <c r="G34" i="21"/>
  <c r="H34" i="21"/>
  <c r="J34" i="21"/>
  <c r="I35" i="21"/>
  <c r="K35" i="21"/>
  <c r="I36" i="21"/>
  <c r="K36" i="21"/>
  <c r="I37" i="21"/>
  <c r="K37" i="21"/>
  <c r="I38" i="21"/>
  <c r="K38" i="21"/>
  <c r="I39" i="21"/>
  <c r="K39" i="21"/>
  <c r="I40" i="21"/>
  <c r="K40" i="21"/>
  <c r="I41" i="21"/>
  <c r="K41" i="21"/>
  <c r="I42" i="21"/>
  <c r="K42" i="21"/>
  <c r="I48" i="21"/>
  <c r="K48" i="21"/>
  <c r="I49" i="21"/>
  <c r="K49" i="21"/>
  <c r="I50" i="21"/>
  <c r="K50" i="21"/>
  <c r="I51" i="21"/>
  <c r="K51" i="21"/>
  <c r="I52" i="21"/>
  <c r="K52" i="21"/>
  <c r="I53" i="21"/>
  <c r="K53" i="21"/>
  <c r="I54" i="21"/>
  <c r="K54" i="21"/>
  <c r="I55" i="21"/>
  <c r="K55" i="21"/>
  <c r="I61" i="21"/>
  <c r="K61" i="21"/>
  <c r="I62" i="21"/>
  <c r="K62" i="21"/>
  <c r="I63" i="21"/>
  <c r="K63" i="21"/>
  <c r="I64" i="21"/>
  <c r="K64" i="21"/>
  <c r="I67" i="21"/>
  <c r="K67" i="21"/>
  <c r="I68" i="21"/>
  <c r="K68" i="21"/>
  <c r="I69" i="21"/>
  <c r="K69" i="21"/>
  <c r="I70" i="21"/>
  <c r="K70" i="21"/>
  <c r="I77" i="21"/>
  <c r="K77" i="21"/>
  <c r="I78" i="21"/>
  <c r="K78" i="21"/>
  <c r="I81" i="21"/>
  <c r="K81" i="21"/>
  <c r="I82" i="21"/>
  <c r="K82" i="21"/>
  <c r="I83" i="21"/>
  <c r="K83" i="21"/>
  <c r="I84" i="21"/>
  <c r="K84" i="21"/>
  <c r="I85" i="21"/>
  <c r="K85" i="21"/>
  <c r="I86" i="21"/>
  <c r="K86" i="21"/>
  <c r="I87" i="21"/>
  <c r="K87" i="21"/>
  <c r="I88" i="21"/>
  <c r="K88" i="21"/>
  <c r="D4" i="17"/>
  <c r="A6" i="17"/>
  <c r="G7" i="17"/>
  <c r="I7" i="17"/>
  <c r="K7" i="17"/>
  <c r="E10" i="17"/>
  <c r="G10" i="17"/>
  <c r="F10" i="17"/>
  <c r="I10" i="17"/>
  <c r="I10" i="16"/>
  <c r="I10" i="2"/>
  <c r="K10" i="17"/>
  <c r="K10" i="16"/>
  <c r="K10" i="2"/>
  <c r="G13" i="17"/>
  <c r="I13" i="17"/>
  <c r="I13" i="2"/>
  <c r="K13" i="17"/>
  <c r="E66" i="50"/>
  <c r="E14" i="17"/>
  <c r="B67" i="50"/>
  <c r="J14" i="17"/>
  <c r="L14" i="17"/>
  <c r="E15" i="17"/>
  <c r="B68" i="50"/>
  <c r="H15" i="17"/>
  <c r="J15" i="17"/>
  <c r="L15" i="17"/>
  <c r="E16" i="17"/>
  <c r="B69" i="50"/>
  <c r="J16" i="17"/>
  <c r="L16" i="17"/>
  <c r="E17" i="17"/>
  <c r="H17" i="17"/>
  <c r="E23" i="17"/>
  <c r="J23" i="17"/>
  <c r="L23" i="17"/>
  <c r="E29" i="17"/>
  <c r="L29" i="17"/>
  <c r="E30" i="17"/>
  <c r="B93" i="50"/>
  <c r="J30" i="17"/>
  <c r="L30" i="17"/>
  <c r="E31" i="17"/>
  <c r="H31" i="17"/>
  <c r="J31" i="17"/>
  <c r="L31" i="17"/>
  <c r="E32" i="17"/>
  <c r="H32" i="17"/>
  <c r="J32" i="17"/>
  <c r="L32" i="17"/>
  <c r="E33" i="17"/>
  <c r="B96" i="50"/>
  <c r="J33" i="17"/>
  <c r="L33" i="17"/>
  <c r="E34" i="17"/>
  <c r="H34" i="17"/>
  <c r="J34" i="17"/>
  <c r="L34" i="17"/>
  <c r="E35" i="17"/>
  <c r="J35" i="17"/>
  <c r="L35" i="17"/>
  <c r="E36" i="17"/>
  <c r="H36" i="17"/>
  <c r="J36" i="17"/>
  <c r="L36" i="17"/>
  <c r="F37" i="17"/>
  <c r="I37" i="17"/>
  <c r="D78" i="50"/>
  <c r="K37" i="17"/>
  <c r="E100" i="50"/>
  <c r="E42" i="17"/>
  <c r="H42" i="17"/>
  <c r="J42" i="17"/>
  <c r="L42" i="17"/>
  <c r="E43" i="17"/>
  <c r="H43" i="17"/>
  <c r="J43" i="17"/>
  <c r="L43" i="17"/>
  <c r="E44" i="17"/>
  <c r="F44" i="17"/>
  <c r="G44" i="17"/>
  <c r="J44" i="17"/>
  <c r="H44" i="17"/>
  <c r="I44" i="17"/>
  <c r="K44" i="17"/>
  <c r="L44" i="17"/>
  <c r="F50" i="17"/>
  <c r="E59" i="17"/>
  <c r="E59" i="2"/>
  <c r="H59" i="2"/>
  <c r="J59" i="17"/>
  <c r="L59" i="17"/>
  <c r="E60" i="17"/>
  <c r="B48" i="50"/>
  <c r="J60" i="17"/>
  <c r="L60" i="17"/>
  <c r="E61" i="17"/>
  <c r="B49" i="50"/>
  <c r="J61" i="17"/>
  <c r="L61" i="17"/>
  <c r="E62" i="17"/>
  <c r="B50" i="50"/>
  <c r="J62" i="17"/>
  <c r="L62" i="17"/>
  <c r="E65" i="17"/>
  <c r="E65" i="2"/>
  <c r="H65" i="2"/>
  <c r="J65" i="17"/>
  <c r="L65" i="17"/>
  <c r="E66" i="17"/>
  <c r="H66" i="17"/>
  <c r="J66" i="17"/>
  <c r="L66" i="17"/>
  <c r="E67" i="17"/>
  <c r="H67" i="17"/>
  <c r="J67" i="17"/>
  <c r="L67" i="17"/>
  <c r="E69" i="17"/>
  <c r="B54" i="50"/>
  <c r="H69" i="17"/>
  <c r="J69" i="17"/>
  <c r="L69" i="17"/>
  <c r="E75" i="17"/>
  <c r="H75" i="17"/>
  <c r="J75" i="17"/>
  <c r="L75" i="17"/>
  <c r="E76" i="17"/>
  <c r="H76" i="17"/>
  <c r="J76" i="17"/>
  <c r="L76" i="17"/>
  <c r="E77" i="17"/>
  <c r="H77" i="17"/>
  <c r="J77" i="17"/>
  <c r="L77" i="17"/>
  <c r="E78" i="17"/>
  <c r="H78" i="17"/>
  <c r="J78" i="17"/>
  <c r="L78" i="17"/>
  <c r="E79" i="17"/>
  <c r="H79" i="17"/>
  <c r="J79" i="17"/>
  <c r="L79" i="17"/>
  <c r="E80" i="17"/>
  <c r="H80" i="17"/>
  <c r="J80" i="17"/>
  <c r="L80" i="17"/>
  <c r="E81" i="17"/>
  <c r="H81" i="17"/>
  <c r="J81" i="17"/>
  <c r="L81" i="17"/>
  <c r="E82" i="17"/>
  <c r="H82" i="17"/>
  <c r="J82" i="17"/>
  <c r="L82" i="17"/>
  <c r="E83" i="17"/>
  <c r="H83" i="17"/>
  <c r="J83" i="17"/>
  <c r="L83" i="17"/>
  <c r="E84" i="17"/>
  <c r="H84" i="17"/>
  <c r="F84" i="17"/>
  <c r="F17" i="17"/>
  <c r="G84" i="17"/>
  <c r="J84" i="17"/>
  <c r="I84" i="17"/>
  <c r="I17" i="17"/>
  <c r="K84" i="17"/>
  <c r="K17" i="17"/>
  <c r="G86" i="17"/>
  <c r="F86" i="41"/>
  <c r="I86" i="17"/>
  <c r="K86" i="17"/>
  <c r="H87" i="17"/>
  <c r="E90" i="17"/>
  <c r="H90" i="17"/>
  <c r="J90" i="17"/>
  <c r="L90" i="17"/>
  <c r="E91" i="17"/>
  <c r="H91" i="17"/>
  <c r="J91" i="17"/>
  <c r="L91" i="17"/>
  <c r="E92" i="17"/>
  <c r="H92" i="17"/>
  <c r="J92" i="17"/>
  <c r="L92" i="17"/>
  <c r="E93" i="17"/>
  <c r="H93" i="17"/>
  <c r="J93" i="17"/>
  <c r="L93" i="17"/>
  <c r="E94" i="17"/>
  <c r="H94" i="17"/>
  <c r="J94" i="17"/>
  <c r="L94" i="17"/>
  <c r="E95" i="17"/>
  <c r="H95" i="17"/>
  <c r="J95" i="17"/>
  <c r="L95" i="17"/>
  <c r="E96" i="17"/>
  <c r="H96" i="17"/>
  <c r="J96" i="17"/>
  <c r="L96" i="17"/>
  <c r="E97" i="17"/>
  <c r="H97" i="17"/>
  <c r="J97" i="17"/>
  <c r="L97" i="17"/>
  <c r="E98" i="17"/>
  <c r="H98" i="17"/>
  <c r="J98" i="17"/>
  <c r="L98" i="17"/>
  <c r="E99" i="17"/>
  <c r="H99" i="17"/>
  <c r="J99" i="17"/>
  <c r="L99" i="17"/>
  <c r="E100" i="17"/>
  <c r="H100" i="17"/>
  <c r="J100" i="17"/>
  <c r="L100" i="17"/>
  <c r="E101" i="17"/>
  <c r="H101" i="17"/>
  <c r="J101" i="17"/>
  <c r="L101" i="17"/>
  <c r="E102" i="17"/>
  <c r="H102" i="17"/>
  <c r="J102" i="17"/>
  <c r="L102" i="17"/>
  <c r="E103" i="17"/>
  <c r="H103" i="17"/>
  <c r="J103" i="17"/>
  <c r="L103" i="17"/>
  <c r="E104" i="17"/>
  <c r="H104" i="17"/>
  <c r="J104" i="17"/>
  <c r="L104" i="17"/>
  <c r="E105" i="17"/>
  <c r="H105" i="17"/>
  <c r="J105" i="17"/>
  <c r="L105" i="17"/>
  <c r="E106" i="17"/>
  <c r="H106" i="17"/>
  <c r="J106" i="17"/>
  <c r="L106" i="17"/>
  <c r="E107" i="17"/>
  <c r="H107" i="17"/>
  <c r="J107" i="17"/>
  <c r="L107" i="17"/>
  <c r="F108" i="17"/>
  <c r="F21" i="17"/>
  <c r="G108" i="17"/>
  <c r="I108" i="17"/>
  <c r="K108" i="17"/>
  <c r="K21" i="17"/>
  <c r="E111" i="17"/>
  <c r="H111" i="17"/>
  <c r="J111" i="17"/>
  <c r="L111" i="17"/>
  <c r="E112" i="17"/>
  <c r="H112" i="17"/>
  <c r="J112" i="17"/>
  <c r="L112" i="17"/>
  <c r="E113" i="17"/>
  <c r="H113" i="17"/>
  <c r="J113" i="17"/>
  <c r="L113" i="17"/>
  <c r="E114" i="17"/>
  <c r="H114" i="17"/>
  <c r="J114" i="17"/>
  <c r="L114" i="17"/>
  <c r="E115" i="17"/>
  <c r="H115" i="17"/>
  <c r="J115" i="17"/>
  <c r="L115" i="17"/>
  <c r="E116" i="17"/>
  <c r="H116" i="17"/>
  <c r="J116" i="17"/>
  <c r="L116" i="17"/>
  <c r="E117" i="17"/>
  <c r="F117" i="17"/>
  <c r="F25" i="17"/>
  <c r="G117" i="17"/>
  <c r="G25" i="17"/>
  <c r="I117" i="17"/>
  <c r="I25" i="17"/>
  <c r="K117" i="17"/>
  <c r="K25" i="17"/>
  <c r="A2" i="16"/>
  <c r="A3" i="16"/>
  <c r="D4" i="16"/>
  <c r="A6" i="16"/>
  <c r="G7" i="16"/>
  <c r="I7" i="16"/>
  <c r="K7" i="16"/>
  <c r="E10" i="16"/>
  <c r="G10" i="16"/>
  <c r="G10" i="2"/>
  <c r="F10" i="16"/>
  <c r="F10" i="2"/>
  <c r="E23" i="16"/>
  <c r="H23" i="16"/>
  <c r="J23" i="16"/>
  <c r="L23" i="16"/>
  <c r="E24" i="16"/>
  <c r="H24" i="16"/>
  <c r="J24" i="16"/>
  <c r="L24" i="16"/>
  <c r="E29" i="16"/>
  <c r="H29" i="16"/>
  <c r="J29" i="16"/>
  <c r="L29" i="16"/>
  <c r="E30" i="16"/>
  <c r="J30" i="16"/>
  <c r="L30" i="16"/>
  <c r="E31" i="16"/>
  <c r="B105" i="50"/>
  <c r="J31" i="16"/>
  <c r="L31" i="16"/>
  <c r="E32" i="16"/>
  <c r="B106" i="50"/>
  <c r="J32" i="16"/>
  <c r="L32" i="16"/>
  <c r="E33" i="16"/>
  <c r="B107" i="50"/>
  <c r="J33" i="16"/>
  <c r="L33" i="16"/>
  <c r="E34" i="16"/>
  <c r="B108" i="50"/>
  <c r="J34" i="16"/>
  <c r="L34" i="16"/>
  <c r="E35" i="16"/>
  <c r="E35" i="2"/>
  <c r="J35" i="16"/>
  <c r="L35" i="16"/>
  <c r="E36" i="16"/>
  <c r="J36" i="16"/>
  <c r="L36" i="16"/>
  <c r="F37" i="16"/>
  <c r="G37" i="16"/>
  <c r="I37" i="16"/>
  <c r="D81" i="50"/>
  <c r="K37" i="16"/>
  <c r="E111" i="50"/>
  <c r="E42" i="16"/>
  <c r="H42" i="16"/>
  <c r="J42" i="16"/>
  <c r="L42" i="16"/>
  <c r="E43" i="16"/>
  <c r="H43" i="16"/>
  <c r="J43" i="16"/>
  <c r="L43" i="16"/>
  <c r="F44" i="16"/>
  <c r="G44" i="16"/>
  <c r="J44" i="16"/>
  <c r="I44" i="16"/>
  <c r="L44" i="16"/>
  <c r="K44" i="16"/>
  <c r="F50" i="16"/>
  <c r="F50" i="2"/>
  <c r="E53" i="16"/>
  <c r="B62" i="50"/>
  <c r="E88" i="16"/>
  <c r="J88" i="16"/>
  <c r="L88" i="16"/>
  <c r="E89" i="16"/>
  <c r="H89" i="16"/>
  <c r="J89" i="16"/>
  <c r="L89" i="16"/>
  <c r="E101" i="16"/>
  <c r="H101" i="16"/>
  <c r="J101" i="16"/>
  <c r="L101" i="16"/>
  <c r="E102" i="16"/>
  <c r="H102" i="16"/>
  <c r="J102" i="16"/>
  <c r="L102" i="16"/>
  <c r="E103" i="16"/>
  <c r="H103" i="16"/>
  <c r="J103" i="16"/>
  <c r="L103" i="16"/>
  <c r="E104" i="16"/>
  <c r="H104" i="16"/>
  <c r="J104" i="16"/>
  <c r="L104" i="16"/>
  <c r="E105" i="16"/>
  <c r="H105" i="16"/>
  <c r="J105" i="16"/>
  <c r="L105" i="16"/>
  <c r="E106" i="16"/>
  <c r="H106" i="16"/>
  <c r="J106" i="16"/>
  <c r="L106" i="16"/>
  <c r="E107" i="16"/>
  <c r="H107" i="16"/>
  <c r="J107" i="16"/>
  <c r="L107" i="16"/>
  <c r="F108" i="16"/>
  <c r="F17" i="16"/>
  <c r="G108" i="16"/>
  <c r="G17" i="16"/>
  <c r="I108" i="16"/>
  <c r="I17" i="16"/>
  <c r="K108" i="16"/>
  <c r="K17" i="16"/>
  <c r="K17" i="2"/>
  <c r="G110" i="16"/>
  <c r="F109" i="42"/>
  <c r="I110" i="16"/>
  <c r="K110" i="16"/>
  <c r="E114" i="16"/>
  <c r="H114" i="16"/>
  <c r="J114" i="16"/>
  <c r="L114" i="16"/>
  <c r="E115" i="16"/>
  <c r="J115" i="16"/>
  <c r="L115" i="16"/>
  <c r="E116" i="16"/>
  <c r="H116" i="16"/>
  <c r="J116" i="16"/>
  <c r="L116" i="16"/>
  <c r="E117" i="16"/>
  <c r="H117" i="16"/>
  <c r="J117" i="16"/>
  <c r="L117" i="16"/>
  <c r="E118" i="16"/>
  <c r="H118" i="16"/>
  <c r="J118" i="16"/>
  <c r="L118" i="16"/>
  <c r="E119" i="16"/>
  <c r="H119" i="16"/>
  <c r="J119" i="16"/>
  <c r="L119" i="16"/>
  <c r="E120" i="16"/>
  <c r="H120" i="16"/>
  <c r="J120" i="16"/>
  <c r="L120" i="16"/>
  <c r="E121" i="16"/>
  <c r="H121" i="16"/>
  <c r="J121" i="16"/>
  <c r="L121" i="16"/>
  <c r="E122" i="16"/>
  <c r="H122" i="16"/>
  <c r="J122" i="16"/>
  <c r="L122" i="16"/>
  <c r="E123" i="16"/>
  <c r="H123" i="16"/>
  <c r="J123" i="16"/>
  <c r="L123" i="16"/>
  <c r="E124" i="16"/>
  <c r="H124" i="16"/>
  <c r="J124" i="16"/>
  <c r="L124" i="16"/>
  <c r="E125" i="16"/>
  <c r="H125" i="16"/>
  <c r="J125" i="16"/>
  <c r="L125" i="16"/>
  <c r="E126" i="16"/>
  <c r="H126" i="16"/>
  <c r="J126" i="16"/>
  <c r="L126" i="16"/>
  <c r="E127" i="16"/>
  <c r="H127" i="16"/>
  <c r="J127" i="16"/>
  <c r="L127" i="16"/>
  <c r="E128" i="16"/>
  <c r="H128" i="16"/>
  <c r="J128" i="16"/>
  <c r="L128" i="16"/>
  <c r="E129" i="16"/>
  <c r="H129" i="16"/>
  <c r="J129" i="16"/>
  <c r="L129" i="16"/>
  <c r="E130" i="16"/>
  <c r="H130" i="16"/>
  <c r="J130" i="16"/>
  <c r="L130" i="16"/>
  <c r="E131" i="16"/>
  <c r="H131" i="16"/>
  <c r="J131" i="16"/>
  <c r="L131" i="16"/>
  <c r="F132" i="16"/>
  <c r="F21" i="16" s="1"/>
  <c r="G132" i="16"/>
  <c r="G21" i="16"/>
  <c r="I132" i="16"/>
  <c r="K132" i="16"/>
  <c r="K21" i="16"/>
  <c r="E135" i="16"/>
  <c r="J135" i="16"/>
  <c r="L135" i="16"/>
  <c r="E136" i="16"/>
  <c r="H136" i="16"/>
  <c r="J136" i="16"/>
  <c r="L136" i="16"/>
  <c r="E137" i="16"/>
  <c r="H137" i="16"/>
  <c r="J137" i="16"/>
  <c r="L137" i="16"/>
  <c r="E138" i="16"/>
  <c r="H138" i="16"/>
  <c r="J138" i="16"/>
  <c r="L138" i="16"/>
  <c r="E139" i="16"/>
  <c r="H139" i="16"/>
  <c r="J139" i="16"/>
  <c r="L139" i="16"/>
  <c r="E140" i="16"/>
  <c r="H140" i="16"/>
  <c r="J140" i="16"/>
  <c r="L140" i="16"/>
  <c r="F141" i="16"/>
  <c r="F25" i="16"/>
  <c r="G141" i="16"/>
  <c r="G25" i="16"/>
  <c r="I141" i="16"/>
  <c r="K141" i="16"/>
  <c r="K25" i="16"/>
  <c r="A3" i="2"/>
  <c r="D4" i="2"/>
  <c r="A6" i="2"/>
  <c r="G7" i="2"/>
  <c r="I7" i="2"/>
  <c r="K7" i="2"/>
  <c r="F13" i="2"/>
  <c r="AE10" i="37"/>
  <c r="E14" i="2"/>
  <c r="F14" i="2"/>
  <c r="AE11" i="37"/>
  <c r="G14" i="2"/>
  <c r="H14" i="2" s="1"/>
  <c r="I14" i="2"/>
  <c r="AE11" i="38"/>
  <c r="K14" i="2"/>
  <c r="E15" i="2"/>
  <c r="H15" i="2"/>
  <c r="F15" i="2"/>
  <c r="AE12" i="37"/>
  <c r="G15" i="2"/>
  <c r="J15" i="2"/>
  <c r="I15" i="2"/>
  <c r="K15" i="2"/>
  <c r="F16" i="2"/>
  <c r="AE13" i="37"/>
  <c r="G16" i="2"/>
  <c r="I16" i="2"/>
  <c r="AE13" i="38"/>
  <c r="K16" i="2"/>
  <c r="F19" i="2"/>
  <c r="AE16" i="37"/>
  <c r="F20" i="2"/>
  <c r="AE17" i="37"/>
  <c r="F23" i="2"/>
  <c r="AE20" i="37"/>
  <c r="G23" i="2"/>
  <c r="J23" i="2"/>
  <c r="I23" i="2"/>
  <c r="L23" i="2"/>
  <c r="K23" i="2"/>
  <c r="E24" i="2"/>
  <c r="F24" i="2"/>
  <c r="AE21" i="37"/>
  <c r="H21" i="37"/>
  <c r="G24" i="2"/>
  <c r="I24" i="2"/>
  <c r="AE21" i="38"/>
  <c r="K24" i="2"/>
  <c r="F29" i="2"/>
  <c r="AE26" i="37"/>
  <c r="G29" i="2"/>
  <c r="I29" i="2"/>
  <c r="K29" i="2"/>
  <c r="F30" i="2"/>
  <c r="AE27" i="37"/>
  <c r="G30" i="2"/>
  <c r="I30" i="2"/>
  <c r="K30" i="2"/>
  <c r="F31" i="2"/>
  <c r="AE28" i="37"/>
  <c r="G31" i="2"/>
  <c r="I31" i="2"/>
  <c r="J31" i="2"/>
  <c r="K31" i="2"/>
  <c r="F32" i="2"/>
  <c r="AE29" i="37"/>
  <c r="G32" i="2"/>
  <c r="I32" i="2"/>
  <c r="AE29" i="38"/>
  <c r="K32" i="2"/>
  <c r="L32" i="2"/>
  <c r="F33" i="2"/>
  <c r="AE30" i="37"/>
  <c r="G33" i="2"/>
  <c r="I33" i="2"/>
  <c r="K33" i="2"/>
  <c r="F34" i="2"/>
  <c r="AE31" i="37"/>
  <c r="G34" i="2"/>
  <c r="I34" i="2"/>
  <c r="AE31" i="38"/>
  <c r="K34" i="2"/>
  <c r="L34" i="2"/>
  <c r="F35" i="2"/>
  <c r="G35" i="2"/>
  <c r="J35" i="2"/>
  <c r="I35" i="2"/>
  <c r="L35" i="2"/>
  <c r="K35" i="2"/>
  <c r="F36" i="2"/>
  <c r="AE33" i="37"/>
  <c r="G36" i="2"/>
  <c r="I36" i="2"/>
  <c r="J36" i="2"/>
  <c r="K36" i="2"/>
  <c r="F42" i="2"/>
  <c r="AE37" i="37"/>
  <c r="G42" i="2"/>
  <c r="J42" i="2"/>
  <c r="I42" i="2"/>
  <c r="L42" i="2"/>
  <c r="K42" i="2"/>
  <c r="F43" i="2"/>
  <c r="AE38" i="37"/>
  <c r="G43" i="2"/>
  <c r="I43" i="2"/>
  <c r="K43" i="2"/>
  <c r="K44" i="2"/>
  <c r="L49" i="2"/>
  <c r="G50" i="2"/>
  <c r="B51" i="2"/>
  <c r="F52" i="2"/>
  <c r="G52" i="2"/>
  <c r="E53" i="2"/>
  <c r="F53" i="2"/>
  <c r="G53" i="2"/>
  <c r="B54" i="2"/>
  <c r="E54" i="2"/>
  <c r="H54" i="2"/>
  <c r="F59" i="2"/>
  <c r="G59" i="2"/>
  <c r="J59" i="2"/>
  <c r="I59" i="2"/>
  <c r="L59" i="2"/>
  <c r="K59" i="2"/>
  <c r="E60" i="2"/>
  <c r="H60" i="2"/>
  <c r="F60" i="2"/>
  <c r="G60" i="2"/>
  <c r="J60" i="2"/>
  <c r="I60" i="2"/>
  <c r="L60" i="2"/>
  <c r="K60" i="2"/>
  <c r="E61" i="2"/>
  <c r="H61" i="2"/>
  <c r="F61" i="2"/>
  <c r="G61" i="2"/>
  <c r="J61" i="2"/>
  <c r="I61" i="2"/>
  <c r="L61" i="2"/>
  <c r="K61" i="2"/>
  <c r="F62" i="2"/>
  <c r="G62" i="2"/>
  <c r="J62" i="2"/>
  <c r="I62" i="2"/>
  <c r="L62" i="2"/>
  <c r="K62" i="2"/>
  <c r="F65" i="2"/>
  <c r="G65" i="2"/>
  <c r="J65" i="2"/>
  <c r="I65" i="2"/>
  <c r="L65" i="2"/>
  <c r="K65" i="2"/>
  <c r="E66" i="2"/>
  <c r="H66" i="2"/>
  <c r="F66" i="2"/>
  <c r="G66" i="2"/>
  <c r="J66" i="2"/>
  <c r="I66" i="2"/>
  <c r="L66" i="2"/>
  <c r="K66" i="2"/>
  <c r="F67" i="2"/>
  <c r="G67" i="2"/>
  <c r="J67" i="2"/>
  <c r="I67" i="2"/>
  <c r="L67" i="2"/>
  <c r="K67" i="2"/>
  <c r="E69" i="2"/>
  <c r="H69" i="2"/>
  <c r="F69" i="2"/>
  <c r="G69" i="2"/>
  <c r="I69" i="2"/>
  <c r="J69" i="2" s="1"/>
  <c r="L69" i="2"/>
  <c r="K69" i="2"/>
  <c r="E74" i="2"/>
  <c r="B72" i="50"/>
  <c r="A2" i="15"/>
  <c r="A4" i="15"/>
  <c r="E12" i="15"/>
  <c r="I12" i="15"/>
  <c r="D13" i="15"/>
  <c r="G1" i="37"/>
  <c r="U1" i="37"/>
  <c r="G2" i="37"/>
  <c r="W2" i="37"/>
  <c r="A3" i="37"/>
  <c r="E23" i="37"/>
  <c r="G23" i="37"/>
  <c r="I23" i="37"/>
  <c r="K23" i="37"/>
  <c r="M23" i="37"/>
  <c r="O23" i="37"/>
  <c r="Q23" i="37"/>
  <c r="S23" i="37"/>
  <c r="U23" i="37"/>
  <c r="W23" i="37"/>
  <c r="Y23" i="37"/>
  <c r="AA23" i="37"/>
  <c r="E34" i="37"/>
  <c r="G34" i="37"/>
  <c r="I34" i="37"/>
  <c r="K34" i="37"/>
  <c r="M34" i="37"/>
  <c r="O34" i="37"/>
  <c r="Q34" i="37"/>
  <c r="S34" i="37"/>
  <c r="U34" i="37"/>
  <c r="W34" i="37"/>
  <c r="Y34" i="37"/>
  <c r="AA34" i="37"/>
  <c r="E39" i="37"/>
  <c r="G39" i="37"/>
  <c r="I39" i="37"/>
  <c r="K39" i="37"/>
  <c r="M39" i="37"/>
  <c r="O39" i="37"/>
  <c r="Q39" i="37"/>
  <c r="S39" i="37"/>
  <c r="U39" i="37"/>
  <c r="W39" i="37"/>
  <c r="Y39" i="37"/>
  <c r="AA39" i="37"/>
  <c r="F43" i="37"/>
  <c r="H43" i="37"/>
  <c r="J43" i="37"/>
  <c r="L43" i="37"/>
  <c r="N43" i="37"/>
  <c r="P43" i="37"/>
  <c r="R43" i="37"/>
  <c r="T43" i="37"/>
  <c r="V43" i="37"/>
  <c r="X43" i="37"/>
  <c r="Z43" i="37"/>
  <c r="AB43" i="37"/>
  <c r="F44" i="37"/>
  <c r="H44" i="37"/>
  <c r="J44" i="37"/>
  <c r="L44" i="37"/>
  <c r="N44" i="37"/>
  <c r="P44" i="37"/>
  <c r="R44" i="37"/>
  <c r="T44" i="37"/>
  <c r="V44" i="37"/>
  <c r="X44" i="37"/>
  <c r="Z44" i="37"/>
  <c r="AB44" i="37"/>
  <c r="F45" i="37"/>
  <c r="H45" i="37"/>
  <c r="J45" i="37"/>
  <c r="L45" i="37"/>
  <c r="N45" i="37"/>
  <c r="P45" i="37"/>
  <c r="R45" i="37"/>
  <c r="T45" i="37"/>
  <c r="V45" i="37"/>
  <c r="X45" i="37"/>
  <c r="Z45" i="37"/>
  <c r="AB45" i="37"/>
  <c r="F46" i="37"/>
  <c r="H46" i="37"/>
  <c r="J46" i="37"/>
  <c r="L46" i="37"/>
  <c r="N46" i="37"/>
  <c r="P46" i="37"/>
  <c r="R46" i="37"/>
  <c r="T46" i="37"/>
  <c r="V46" i="37"/>
  <c r="X46" i="37"/>
  <c r="Z46" i="37"/>
  <c r="AB46" i="37"/>
  <c r="F47" i="37"/>
  <c r="H47" i="37"/>
  <c r="J47" i="37"/>
  <c r="L47" i="37"/>
  <c r="N47" i="37"/>
  <c r="P47" i="37"/>
  <c r="R47" i="37"/>
  <c r="T47" i="37"/>
  <c r="V47" i="37"/>
  <c r="X47" i="37"/>
  <c r="Z47" i="37"/>
  <c r="AB47" i="37"/>
  <c r="D48" i="37"/>
  <c r="E48" i="37"/>
  <c r="G48" i="37"/>
  <c r="I48" i="37"/>
  <c r="K48" i="37"/>
  <c r="M48" i="37"/>
  <c r="O48" i="37"/>
  <c r="Q48" i="37"/>
  <c r="S48" i="37"/>
  <c r="U48" i="37"/>
  <c r="W48" i="37"/>
  <c r="Y48" i="37"/>
  <c r="AA48" i="37"/>
  <c r="F51" i="37"/>
  <c r="H51" i="37"/>
  <c r="J51" i="37"/>
  <c r="L51" i="37"/>
  <c r="N51" i="37"/>
  <c r="P51" i="37"/>
  <c r="R51" i="37"/>
  <c r="T51" i="37"/>
  <c r="V51" i="37"/>
  <c r="X51" i="37"/>
  <c r="Z51" i="37"/>
  <c r="AB51" i="37"/>
  <c r="F52" i="37"/>
  <c r="H52" i="37"/>
  <c r="J52" i="37"/>
  <c r="L52" i="37"/>
  <c r="N52" i="37"/>
  <c r="P52" i="37"/>
  <c r="R52" i="37"/>
  <c r="T52" i="37"/>
  <c r="V52" i="37"/>
  <c r="X52" i="37"/>
  <c r="Z52" i="37"/>
  <c r="AB52" i="37"/>
  <c r="F53" i="37"/>
  <c r="H53" i="37"/>
  <c r="J53" i="37"/>
  <c r="L53" i="37"/>
  <c r="N53" i="37"/>
  <c r="P53" i="37"/>
  <c r="R53" i="37"/>
  <c r="T53" i="37"/>
  <c r="V53" i="37"/>
  <c r="X53" i="37"/>
  <c r="Z53" i="37"/>
  <c r="AB53" i="37"/>
  <c r="F54" i="37"/>
  <c r="H54" i="37"/>
  <c r="J54" i="37"/>
  <c r="L54" i="37"/>
  <c r="N54" i="37"/>
  <c r="P54" i="37"/>
  <c r="R54" i="37"/>
  <c r="T54" i="37"/>
  <c r="V54" i="37"/>
  <c r="X54" i="37"/>
  <c r="Z54" i="37"/>
  <c r="AB54" i="37"/>
  <c r="F55" i="37"/>
  <c r="H55" i="37"/>
  <c r="J55" i="37"/>
  <c r="L55" i="37"/>
  <c r="N55" i="37"/>
  <c r="P55" i="37"/>
  <c r="R55" i="37"/>
  <c r="T55" i="37"/>
  <c r="V55" i="37"/>
  <c r="X55" i="37"/>
  <c r="Z55" i="37"/>
  <c r="AB55" i="37"/>
  <c r="E56" i="37"/>
  <c r="G56" i="37"/>
  <c r="I56" i="37"/>
  <c r="K56" i="37"/>
  <c r="M56" i="37"/>
  <c r="O56" i="37"/>
  <c r="Q56" i="37"/>
  <c r="S56" i="37"/>
  <c r="U56" i="37"/>
  <c r="W56" i="37"/>
  <c r="Y56" i="37"/>
  <c r="AA56" i="37"/>
  <c r="G1" i="38"/>
  <c r="H1" i="38"/>
  <c r="U1" i="38"/>
  <c r="V1" i="38"/>
  <c r="G2" i="38"/>
  <c r="H2" i="38"/>
  <c r="W2" i="38"/>
  <c r="A3" i="38"/>
  <c r="E23" i="38"/>
  <c r="G23" i="38"/>
  <c r="I23" i="38"/>
  <c r="K23" i="38"/>
  <c r="M23" i="38"/>
  <c r="O23" i="38"/>
  <c r="Q23" i="38"/>
  <c r="S23" i="38"/>
  <c r="U23" i="38"/>
  <c r="W23" i="38"/>
  <c r="Y23" i="38"/>
  <c r="AA23" i="38"/>
  <c r="E34" i="38"/>
  <c r="G34" i="38"/>
  <c r="I34" i="38"/>
  <c r="K34" i="38"/>
  <c r="M34" i="38"/>
  <c r="O34" i="38"/>
  <c r="Q34" i="38"/>
  <c r="S34" i="38"/>
  <c r="U34" i="38"/>
  <c r="W34" i="38"/>
  <c r="Y34" i="38"/>
  <c r="AA34" i="38"/>
  <c r="E39" i="38"/>
  <c r="G39" i="38"/>
  <c r="I39" i="38"/>
  <c r="K39" i="38"/>
  <c r="M39" i="38"/>
  <c r="O39" i="38"/>
  <c r="Q39" i="38"/>
  <c r="S39" i="38"/>
  <c r="U39" i="38"/>
  <c r="W39" i="38"/>
  <c r="Y39" i="38"/>
  <c r="AA39" i="38"/>
  <c r="F43" i="38"/>
  <c r="H43" i="38"/>
  <c r="J43" i="38"/>
  <c r="L43" i="38"/>
  <c r="N43" i="38"/>
  <c r="P43" i="38"/>
  <c r="R43" i="38"/>
  <c r="T43" i="38"/>
  <c r="V43" i="38"/>
  <c r="X43" i="38"/>
  <c r="Z43" i="38"/>
  <c r="AB43" i="38"/>
  <c r="F44" i="38"/>
  <c r="H44" i="38"/>
  <c r="J44" i="38"/>
  <c r="L44" i="38"/>
  <c r="N44" i="38"/>
  <c r="P44" i="38"/>
  <c r="R44" i="38"/>
  <c r="T44" i="38"/>
  <c r="V44" i="38"/>
  <c r="X44" i="38"/>
  <c r="Z44" i="38"/>
  <c r="AB44" i="38"/>
  <c r="AE44" i="38"/>
  <c r="F45" i="38"/>
  <c r="H45" i="38"/>
  <c r="J45" i="38"/>
  <c r="L45" i="38"/>
  <c r="N45" i="38"/>
  <c r="P45" i="38"/>
  <c r="R45" i="38"/>
  <c r="T45" i="38"/>
  <c r="V45" i="38"/>
  <c r="X45" i="38"/>
  <c r="Z45" i="38"/>
  <c r="AB45" i="38"/>
  <c r="AE45" i="38"/>
  <c r="F46" i="38"/>
  <c r="H46" i="38"/>
  <c r="J46" i="38"/>
  <c r="L46" i="38"/>
  <c r="N46" i="38"/>
  <c r="P46" i="38"/>
  <c r="R46" i="38"/>
  <c r="T46" i="38"/>
  <c r="V46" i="38"/>
  <c r="X46" i="38"/>
  <c r="Z46" i="38"/>
  <c r="AB46" i="38"/>
  <c r="AE46" i="38"/>
  <c r="F47" i="38"/>
  <c r="H47" i="38"/>
  <c r="J47" i="38"/>
  <c r="L47" i="38"/>
  <c r="N47" i="38"/>
  <c r="P47" i="38"/>
  <c r="R47" i="38"/>
  <c r="T47" i="38"/>
  <c r="V47" i="38"/>
  <c r="X47" i="38"/>
  <c r="Z47" i="38"/>
  <c r="AB47" i="38"/>
  <c r="AE47" i="38"/>
  <c r="D48" i="38"/>
  <c r="E48" i="38"/>
  <c r="G48" i="38"/>
  <c r="I48" i="38"/>
  <c r="K48" i="38"/>
  <c r="M48" i="38"/>
  <c r="O48" i="38"/>
  <c r="Q48" i="38"/>
  <c r="S48" i="38"/>
  <c r="U48" i="38"/>
  <c r="W48" i="38"/>
  <c r="Y48" i="38"/>
  <c r="AA48" i="38"/>
  <c r="F51" i="38"/>
  <c r="H51" i="38"/>
  <c r="J51" i="38"/>
  <c r="L51" i="38"/>
  <c r="N51" i="38"/>
  <c r="P51" i="38"/>
  <c r="R51" i="38"/>
  <c r="T51" i="38"/>
  <c r="V51" i="38"/>
  <c r="X51" i="38"/>
  <c r="Z51" i="38"/>
  <c r="AB51" i="38"/>
  <c r="F52" i="38"/>
  <c r="H52" i="38"/>
  <c r="J52" i="38"/>
  <c r="L52" i="38"/>
  <c r="N52" i="38"/>
  <c r="P52" i="38"/>
  <c r="R52" i="38"/>
  <c r="T52" i="38"/>
  <c r="V52" i="38"/>
  <c r="X52" i="38"/>
  <c r="Z52" i="38"/>
  <c r="AB52" i="38"/>
  <c r="F53" i="38"/>
  <c r="H53" i="38"/>
  <c r="J53" i="38"/>
  <c r="L53" i="38"/>
  <c r="N53" i="38"/>
  <c r="P53" i="38"/>
  <c r="R53" i="38"/>
  <c r="T53" i="38"/>
  <c r="V53" i="38"/>
  <c r="X53" i="38"/>
  <c r="Z53" i="38"/>
  <c r="AB53" i="38"/>
  <c r="F54" i="38"/>
  <c r="H54" i="38"/>
  <c r="J54" i="38"/>
  <c r="L54" i="38"/>
  <c r="N54" i="38"/>
  <c r="P54" i="38"/>
  <c r="R54" i="38"/>
  <c r="T54" i="38"/>
  <c r="V54" i="38"/>
  <c r="X54" i="38"/>
  <c r="Z54" i="38"/>
  <c r="AB54" i="38"/>
  <c r="F55" i="38"/>
  <c r="H55" i="38"/>
  <c r="J55" i="38"/>
  <c r="L55" i="38"/>
  <c r="N55" i="38"/>
  <c r="P55" i="38"/>
  <c r="R55" i="38"/>
  <c r="T55" i="38"/>
  <c r="V55" i="38"/>
  <c r="X55" i="38"/>
  <c r="Z55" i="38"/>
  <c r="AB55" i="38"/>
  <c r="E56" i="38"/>
  <c r="G56" i="38"/>
  <c r="I56" i="38"/>
  <c r="K56" i="38"/>
  <c r="M56" i="38"/>
  <c r="O56" i="38"/>
  <c r="Q56" i="38"/>
  <c r="S56" i="38"/>
  <c r="U56" i="38"/>
  <c r="W56" i="38"/>
  <c r="Y56" i="38"/>
  <c r="AA56" i="38"/>
  <c r="I2" i="39"/>
  <c r="J4" i="39"/>
  <c r="J5" i="39"/>
  <c r="A6" i="39"/>
  <c r="I7" i="39"/>
  <c r="L7" i="39"/>
  <c r="O7" i="39"/>
  <c r="R7" i="39"/>
  <c r="U7" i="39"/>
  <c r="I12" i="39"/>
  <c r="K12" i="39"/>
  <c r="P12" i="39"/>
  <c r="M12" i="39"/>
  <c r="S12" i="39"/>
  <c r="V12" i="39"/>
  <c r="I13" i="39"/>
  <c r="K13" i="39"/>
  <c r="M13" i="39"/>
  <c r="P13" i="39"/>
  <c r="S13" i="39"/>
  <c r="V13" i="39"/>
  <c r="I14" i="39"/>
  <c r="K14" i="39"/>
  <c r="M14" i="39"/>
  <c r="P14" i="39"/>
  <c r="S14" i="39"/>
  <c r="V14" i="39"/>
  <c r="I15" i="39"/>
  <c r="K15" i="39"/>
  <c r="M15" i="39"/>
  <c r="P15" i="39"/>
  <c r="S15" i="39"/>
  <c r="V15" i="39"/>
  <c r="I16" i="39"/>
  <c r="K16" i="39"/>
  <c r="M16" i="39"/>
  <c r="P16" i="39"/>
  <c r="S16" i="39"/>
  <c r="V16" i="39"/>
  <c r="I17" i="39"/>
  <c r="K17" i="39"/>
  <c r="M17" i="39"/>
  <c r="P17" i="39"/>
  <c r="S17" i="39"/>
  <c r="V17" i="39"/>
  <c r="I18" i="39"/>
  <c r="K18" i="39"/>
  <c r="M18" i="39"/>
  <c r="P18" i="39"/>
  <c r="S18" i="39"/>
  <c r="V18" i="39"/>
  <c r="I19" i="39"/>
  <c r="K19" i="39"/>
  <c r="M19" i="39"/>
  <c r="P19" i="39"/>
  <c r="S19" i="39"/>
  <c r="V19" i="39"/>
  <c r="I20" i="39"/>
  <c r="J20" i="39"/>
  <c r="K20" i="39"/>
  <c r="L20" i="39"/>
  <c r="N20" i="39"/>
  <c r="P20" i="39"/>
  <c r="Q20" i="39"/>
  <c r="S20" i="39"/>
  <c r="T20" i="39"/>
  <c r="V20" i="39"/>
  <c r="I21" i="39"/>
  <c r="J21" i="39"/>
  <c r="K21" i="39"/>
  <c r="L21" i="39"/>
  <c r="M21" i="39"/>
  <c r="N21" i="39"/>
  <c r="O21" i="39"/>
  <c r="P21" i="39"/>
  <c r="Q21" i="39"/>
  <c r="R21" i="39"/>
  <c r="S21" i="39"/>
  <c r="T21" i="39"/>
  <c r="U21" i="39"/>
  <c r="V21" i="39"/>
  <c r="N22" i="39"/>
  <c r="O22" i="39"/>
  <c r="Q22" i="39"/>
  <c r="R22" i="39"/>
  <c r="S22" i="39"/>
  <c r="T22" i="39"/>
  <c r="U22" i="39"/>
  <c r="V22" i="39"/>
  <c r="I23" i="39"/>
  <c r="K23" i="39"/>
  <c r="M23" i="39"/>
  <c r="P23" i="39"/>
  <c r="S23" i="39"/>
  <c r="V23" i="39"/>
  <c r="I26" i="39"/>
  <c r="K26" i="39"/>
  <c r="P26" i="39"/>
  <c r="M26" i="39"/>
  <c r="S26" i="39"/>
  <c r="V26" i="39"/>
  <c r="I27" i="39"/>
  <c r="K27" i="39"/>
  <c r="M27" i="39"/>
  <c r="P27" i="39"/>
  <c r="S27" i="39"/>
  <c r="V27" i="39"/>
  <c r="I28" i="39"/>
  <c r="K28" i="39"/>
  <c r="M28" i="39"/>
  <c r="P28" i="39"/>
  <c r="S28" i="39"/>
  <c r="V28" i="39"/>
  <c r="I29" i="39"/>
  <c r="K29" i="39"/>
  <c r="M29" i="39"/>
  <c r="P29" i="39"/>
  <c r="S29" i="39"/>
  <c r="V29" i="39"/>
  <c r="I30" i="39"/>
  <c r="K30" i="39"/>
  <c r="M30" i="39"/>
  <c r="P30" i="39"/>
  <c r="S30" i="39"/>
  <c r="V30" i="39"/>
  <c r="I31" i="39"/>
  <c r="K31" i="39"/>
  <c r="M31" i="39"/>
  <c r="P31" i="39"/>
  <c r="S31" i="39"/>
  <c r="V31" i="39"/>
  <c r="I32" i="39"/>
  <c r="K32" i="39"/>
  <c r="M32" i="39"/>
  <c r="P32" i="39"/>
  <c r="S32" i="39"/>
  <c r="V32" i="39"/>
  <c r="I33" i="39"/>
  <c r="K33" i="39"/>
  <c r="M33" i="39"/>
  <c r="P33" i="39"/>
  <c r="S33" i="39"/>
  <c r="V33" i="39"/>
  <c r="I34" i="39"/>
  <c r="J34" i="39"/>
  <c r="K34" i="39"/>
  <c r="L34" i="39"/>
  <c r="N34" i="39"/>
  <c r="P34" i="39"/>
  <c r="Q34" i="39"/>
  <c r="S34" i="39"/>
  <c r="T34" i="39"/>
  <c r="V34" i="39"/>
  <c r="I35" i="39"/>
  <c r="J35" i="39"/>
  <c r="K35" i="39"/>
  <c r="L35" i="39"/>
  <c r="M35" i="39"/>
  <c r="N35" i="39"/>
  <c r="O35" i="39"/>
  <c r="P35" i="39"/>
  <c r="Q35" i="39"/>
  <c r="R35" i="39"/>
  <c r="S35" i="39"/>
  <c r="T35" i="39"/>
  <c r="U35" i="39"/>
  <c r="V35" i="39"/>
  <c r="L36" i="39"/>
  <c r="N36" i="39"/>
  <c r="O36" i="39"/>
  <c r="Q36" i="39"/>
  <c r="R36" i="39"/>
  <c r="S36" i="39"/>
  <c r="T36" i="39"/>
  <c r="U36" i="39"/>
  <c r="V36" i="39"/>
  <c r="I39" i="39"/>
  <c r="K39" i="39"/>
  <c r="P39" i="39"/>
  <c r="M39" i="39"/>
  <c r="S39" i="39"/>
  <c r="V39" i="39"/>
  <c r="I40" i="39"/>
  <c r="K40" i="39"/>
  <c r="M40" i="39"/>
  <c r="P40" i="39"/>
  <c r="S40" i="39"/>
  <c r="V40" i="39"/>
  <c r="I41" i="39"/>
  <c r="K41" i="39"/>
  <c r="M41" i="39"/>
  <c r="P41" i="39"/>
  <c r="S41" i="39"/>
  <c r="V41" i="39"/>
  <c r="I42" i="39"/>
  <c r="K42" i="39"/>
  <c r="M42" i="39"/>
  <c r="P42" i="39"/>
  <c r="S42" i="39"/>
  <c r="V42" i="39"/>
  <c r="I43" i="39"/>
  <c r="K43" i="39"/>
  <c r="M43" i="39"/>
  <c r="P43" i="39"/>
  <c r="S43" i="39"/>
  <c r="V43" i="39"/>
  <c r="I44" i="39"/>
  <c r="K44" i="39"/>
  <c r="M44" i="39"/>
  <c r="P44" i="39"/>
  <c r="S44" i="39"/>
  <c r="V44" i="39"/>
  <c r="I45" i="39"/>
  <c r="K45" i="39"/>
  <c r="M45" i="39"/>
  <c r="P45" i="39"/>
  <c r="S45" i="39"/>
  <c r="V45" i="39"/>
  <c r="I46" i="39"/>
  <c r="K46" i="39"/>
  <c r="M46" i="39"/>
  <c r="P46" i="39"/>
  <c r="S46" i="39"/>
  <c r="V46" i="39"/>
  <c r="I47" i="39"/>
  <c r="J47" i="39"/>
  <c r="L47" i="39"/>
  <c r="N47" i="39"/>
  <c r="Q47" i="39"/>
  <c r="T47" i="39"/>
  <c r="I48" i="39"/>
  <c r="J48" i="39"/>
  <c r="K48" i="39"/>
  <c r="L48" i="39"/>
  <c r="M48" i="39"/>
  <c r="N48" i="39"/>
  <c r="O48" i="39"/>
  <c r="P48" i="39"/>
  <c r="Q48" i="39"/>
  <c r="R48" i="39"/>
  <c r="S48" i="39"/>
  <c r="T48" i="39"/>
  <c r="U48" i="39"/>
  <c r="V48" i="39"/>
  <c r="J49" i="39"/>
  <c r="I52" i="39"/>
  <c r="K52" i="39"/>
  <c r="P52" i="39"/>
  <c r="M52" i="39"/>
  <c r="S52" i="39"/>
  <c r="V52" i="39"/>
  <c r="I53" i="39"/>
  <c r="K53" i="39"/>
  <c r="M53" i="39"/>
  <c r="P53" i="39"/>
  <c r="S53" i="39"/>
  <c r="V53" i="39"/>
  <c r="I54" i="39"/>
  <c r="K54" i="39"/>
  <c r="M54" i="39"/>
  <c r="P54" i="39"/>
  <c r="S54" i="39"/>
  <c r="V54" i="39"/>
  <c r="I55" i="39"/>
  <c r="K55" i="39"/>
  <c r="M55" i="39"/>
  <c r="P55" i="39"/>
  <c r="S55" i="39"/>
  <c r="V55" i="39"/>
  <c r="I56" i="39"/>
  <c r="K56" i="39"/>
  <c r="M56" i="39"/>
  <c r="P56" i="39"/>
  <c r="S56" i="39"/>
  <c r="V56" i="39"/>
  <c r="I57" i="39"/>
  <c r="K57" i="39"/>
  <c r="M57" i="39"/>
  <c r="P57" i="39"/>
  <c r="S57" i="39"/>
  <c r="V57" i="39"/>
  <c r="I58" i="39"/>
  <c r="K58" i="39"/>
  <c r="M58" i="39"/>
  <c r="P58" i="39"/>
  <c r="S58" i="39"/>
  <c r="V58" i="39"/>
  <c r="I59" i="39"/>
  <c r="K59" i="39"/>
  <c r="M59" i="39"/>
  <c r="P59" i="39"/>
  <c r="S59" i="39"/>
  <c r="V59" i="39"/>
  <c r="J60" i="39"/>
  <c r="K60" i="39"/>
  <c r="L60" i="39"/>
  <c r="N60" i="39"/>
  <c r="Q60" i="39"/>
  <c r="T60" i="39"/>
  <c r="I61" i="39"/>
  <c r="J61" i="39"/>
  <c r="K61" i="39"/>
  <c r="L61" i="39"/>
  <c r="M61" i="39"/>
  <c r="N61" i="39"/>
  <c r="O61" i="39"/>
  <c r="P61" i="39"/>
  <c r="Q61" i="39"/>
  <c r="R61" i="39"/>
  <c r="S61" i="39"/>
  <c r="T61" i="39"/>
  <c r="U61" i="39"/>
  <c r="V61" i="39"/>
  <c r="T62" i="39"/>
  <c r="U62" i="39"/>
  <c r="I65" i="39"/>
  <c r="N65" i="39"/>
  <c r="P65" i="39" s="1"/>
  <c r="Q65" i="39"/>
  <c r="T65" i="39"/>
  <c r="I66" i="39"/>
  <c r="K66" i="39"/>
  <c r="M66" i="39"/>
  <c r="N66" i="39"/>
  <c r="P66" i="39"/>
  <c r="Q66" i="39"/>
  <c r="S66" i="39"/>
  <c r="T66" i="39"/>
  <c r="V66" i="39"/>
  <c r="I67" i="39"/>
  <c r="K67" i="39"/>
  <c r="N67" i="39"/>
  <c r="P67" i="39"/>
  <c r="Q67" i="39"/>
  <c r="S67" i="39"/>
  <c r="T67" i="39"/>
  <c r="V67" i="39"/>
  <c r="I68" i="39"/>
  <c r="K68" i="39"/>
  <c r="M68" i="39"/>
  <c r="N68" i="39"/>
  <c r="P68" i="39"/>
  <c r="Q68" i="39"/>
  <c r="S68" i="39"/>
  <c r="T68" i="39"/>
  <c r="V68" i="39"/>
  <c r="I69" i="39"/>
  <c r="K69" i="39"/>
  <c r="M69" i="39"/>
  <c r="N69" i="39"/>
  <c r="P69" i="39"/>
  <c r="Q69" i="39"/>
  <c r="S69" i="39"/>
  <c r="T69" i="39"/>
  <c r="V69" i="39"/>
  <c r="I70" i="39"/>
  <c r="K70" i="39"/>
  <c r="M70" i="39"/>
  <c r="N70" i="39"/>
  <c r="P70" i="39"/>
  <c r="Q70" i="39"/>
  <c r="S70" i="39"/>
  <c r="T70" i="39"/>
  <c r="V70" i="39"/>
  <c r="I71" i="39"/>
  <c r="K71" i="39"/>
  <c r="M71" i="39"/>
  <c r="N71" i="39"/>
  <c r="P71" i="39"/>
  <c r="Q71" i="39"/>
  <c r="S71" i="39"/>
  <c r="T71" i="39"/>
  <c r="V71" i="39"/>
  <c r="I72" i="39"/>
  <c r="K72" i="39"/>
  <c r="M72" i="39"/>
  <c r="N72" i="39"/>
  <c r="P72" i="39"/>
  <c r="Q72" i="39"/>
  <c r="S72" i="39"/>
  <c r="T72" i="39"/>
  <c r="V72" i="39"/>
  <c r="J73" i="39"/>
  <c r="L73" i="39"/>
  <c r="T73" i="39"/>
  <c r="I74" i="39"/>
  <c r="J74" i="39"/>
  <c r="K74" i="39"/>
  <c r="L74" i="39"/>
  <c r="M74" i="39"/>
  <c r="N74" i="39"/>
  <c r="O74" i="39"/>
  <c r="P74" i="39"/>
  <c r="Q74" i="39"/>
  <c r="R74" i="39"/>
  <c r="S74" i="39"/>
  <c r="T74" i="39"/>
  <c r="U74" i="39"/>
  <c r="V74" i="39"/>
  <c r="I76" i="39"/>
  <c r="K76" i="39"/>
  <c r="A3" i="40"/>
  <c r="A4" i="40"/>
  <c r="A5" i="40"/>
  <c r="G6" i="40"/>
  <c r="H6" i="40"/>
  <c r="J6" i="40"/>
  <c r="I12" i="44"/>
  <c r="I9" i="40"/>
  <c r="K9" i="40"/>
  <c r="I10" i="40"/>
  <c r="K10" i="40"/>
  <c r="I11" i="40"/>
  <c r="K11" i="40"/>
  <c r="I16" i="40"/>
  <c r="K16" i="40"/>
  <c r="I17" i="40"/>
  <c r="K17" i="40"/>
  <c r="G22" i="40"/>
  <c r="H22" i="40"/>
  <c r="I22" i="40"/>
  <c r="J22" i="40"/>
  <c r="K22" i="40"/>
  <c r="I24" i="40"/>
  <c r="K24" i="40"/>
  <c r="G25" i="40"/>
  <c r="H25" i="40"/>
  <c r="J25" i="40"/>
  <c r="E26" i="40"/>
  <c r="I27" i="40"/>
  <c r="K27" i="40"/>
  <c r="E28" i="40"/>
  <c r="I31" i="40"/>
  <c r="K31" i="40"/>
  <c r="I32" i="40"/>
  <c r="K32" i="40"/>
  <c r="I33" i="40"/>
  <c r="K33" i="40"/>
  <c r="G34" i="40"/>
  <c r="H34" i="40"/>
  <c r="J34" i="40"/>
  <c r="I35" i="40"/>
  <c r="K35" i="40"/>
  <c r="I36" i="40"/>
  <c r="K36" i="40"/>
  <c r="I37" i="40"/>
  <c r="K37" i="40"/>
  <c r="I38" i="40"/>
  <c r="K38" i="40"/>
  <c r="I39" i="40"/>
  <c r="K39" i="40"/>
  <c r="I40" i="40"/>
  <c r="K40" i="40"/>
  <c r="I41" i="40"/>
  <c r="K41" i="40"/>
  <c r="I42" i="40"/>
  <c r="K42" i="40"/>
  <c r="I48" i="40"/>
  <c r="K48" i="40"/>
  <c r="I49" i="40"/>
  <c r="K49" i="40"/>
  <c r="I50" i="40"/>
  <c r="K50" i="40"/>
  <c r="I51" i="40"/>
  <c r="K51" i="40"/>
  <c r="I52" i="40"/>
  <c r="K52" i="40"/>
  <c r="I53" i="40"/>
  <c r="K53" i="40"/>
  <c r="I54" i="40"/>
  <c r="K54" i="40"/>
  <c r="I55" i="40"/>
  <c r="K55" i="40"/>
  <c r="I61" i="40"/>
  <c r="K61" i="40"/>
  <c r="I62" i="40"/>
  <c r="K62" i="40"/>
  <c r="I63" i="40"/>
  <c r="K63" i="40"/>
  <c r="I64" i="40"/>
  <c r="K64" i="40"/>
  <c r="I67" i="40"/>
  <c r="K67" i="40"/>
  <c r="I68" i="40"/>
  <c r="K68" i="40"/>
  <c r="I69" i="40"/>
  <c r="K69" i="40"/>
  <c r="I70" i="40"/>
  <c r="K70" i="40"/>
  <c r="I77" i="40"/>
  <c r="K77" i="40"/>
  <c r="I78" i="40"/>
  <c r="K78" i="40"/>
  <c r="I81" i="40"/>
  <c r="K81" i="40"/>
  <c r="I82" i="40"/>
  <c r="K82" i="40"/>
  <c r="I83" i="40"/>
  <c r="K83" i="40"/>
  <c r="I84" i="40"/>
  <c r="K84" i="40"/>
  <c r="I85" i="40"/>
  <c r="K85" i="40"/>
  <c r="I86" i="40"/>
  <c r="K86" i="40"/>
  <c r="I87" i="40"/>
  <c r="K87" i="40"/>
  <c r="I88" i="40"/>
  <c r="K88" i="40"/>
  <c r="A2" i="41"/>
  <c r="A3" i="41"/>
  <c r="D4" i="41"/>
  <c r="A6" i="41"/>
  <c r="H7" i="41"/>
  <c r="J7" i="41"/>
  <c r="L7" i="41"/>
  <c r="G10" i="41"/>
  <c r="J10" i="41"/>
  <c r="L10" i="41"/>
  <c r="F13" i="41"/>
  <c r="H13" i="41"/>
  <c r="C66" i="51" s="1"/>
  <c r="J13" i="41"/>
  <c r="D66" i="51" s="1"/>
  <c r="L13" i="41"/>
  <c r="E66" i="51" s="1"/>
  <c r="E14" i="41"/>
  <c r="B67" i="51"/>
  <c r="F14" i="41"/>
  <c r="I14" i="41"/>
  <c r="K14" i="41"/>
  <c r="M14" i="41"/>
  <c r="E15" i="41"/>
  <c r="F15" i="41"/>
  <c r="F15" i="43" s="1"/>
  <c r="K15" i="41"/>
  <c r="M15" i="41"/>
  <c r="E16" i="41"/>
  <c r="B69" i="51" s="1"/>
  <c r="F16" i="41"/>
  <c r="F16" i="43"/>
  <c r="K16" i="41"/>
  <c r="M16" i="41"/>
  <c r="E17" i="41"/>
  <c r="I17" i="41" s="1"/>
  <c r="E23" i="41"/>
  <c r="I23" i="41" s="1"/>
  <c r="F23" i="41"/>
  <c r="K23" i="41"/>
  <c r="M23" i="41"/>
  <c r="E29" i="41"/>
  <c r="B92" i="51"/>
  <c r="F29" i="41"/>
  <c r="I29" i="41"/>
  <c r="K29" i="41"/>
  <c r="M29" i="41"/>
  <c r="E30" i="41"/>
  <c r="F30" i="41"/>
  <c r="K30" i="41"/>
  <c r="M30" i="41"/>
  <c r="E31" i="41"/>
  <c r="I31" i="41" s="1"/>
  <c r="F31" i="41"/>
  <c r="K31" i="41"/>
  <c r="M31" i="41"/>
  <c r="E32" i="41"/>
  <c r="B95" i="51" s="1"/>
  <c r="F32" i="41"/>
  <c r="K32" i="41"/>
  <c r="M32" i="41"/>
  <c r="E33" i="41"/>
  <c r="I33" i="41" s="1"/>
  <c r="F33" i="41"/>
  <c r="K33" i="41"/>
  <c r="M33" i="41"/>
  <c r="E34" i="41"/>
  <c r="B97" i="51"/>
  <c r="F34" i="41"/>
  <c r="K34" i="41"/>
  <c r="M34" i="41"/>
  <c r="E35" i="41"/>
  <c r="B98" i="51"/>
  <c r="F35" i="41"/>
  <c r="K35" i="41"/>
  <c r="M35" i="41"/>
  <c r="E36" i="41"/>
  <c r="I36" i="41"/>
  <c r="F36" i="41"/>
  <c r="K36" i="41"/>
  <c r="M36" i="41"/>
  <c r="E37" i="41"/>
  <c r="G37" i="41"/>
  <c r="H37" i="41"/>
  <c r="J37" i="41"/>
  <c r="K37" i="41" s="1"/>
  <c r="L37" i="41"/>
  <c r="E100" i="51" s="1"/>
  <c r="E42" i="41"/>
  <c r="I42" i="41" s="1"/>
  <c r="F42" i="41"/>
  <c r="K42" i="41"/>
  <c r="M42" i="41"/>
  <c r="E43" i="41"/>
  <c r="B78" i="51" s="1"/>
  <c r="F43" i="41"/>
  <c r="K43" i="41"/>
  <c r="M43" i="41"/>
  <c r="E44" i="41"/>
  <c r="G44" i="41"/>
  <c r="H44" i="41"/>
  <c r="K44" i="41" s="1"/>
  <c r="I44" i="41"/>
  <c r="J44" i="41"/>
  <c r="M44" i="41" s="1"/>
  <c r="L44" i="41"/>
  <c r="F50" i="41"/>
  <c r="G50" i="41" s="1"/>
  <c r="F52" i="41"/>
  <c r="F53" i="41"/>
  <c r="E59" i="41"/>
  <c r="B47" i="51" s="1"/>
  <c r="F59" i="41"/>
  <c r="F59" i="43" s="1"/>
  <c r="I59" i="41"/>
  <c r="K59" i="41"/>
  <c r="M59" i="41"/>
  <c r="E60" i="41"/>
  <c r="F60" i="41"/>
  <c r="F60" i="43" s="1"/>
  <c r="I60" i="41"/>
  <c r="K60" i="41"/>
  <c r="M60" i="41"/>
  <c r="E61" i="41"/>
  <c r="B49" i="51" s="1"/>
  <c r="F61" i="41"/>
  <c r="F61" i="43"/>
  <c r="I61" i="41"/>
  <c r="K61" i="41"/>
  <c r="M61" i="41"/>
  <c r="E62" i="41"/>
  <c r="I62" i="41" s="1"/>
  <c r="F62" i="41"/>
  <c r="F62" i="43"/>
  <c r="K62" i="41"/>
  <c r="M62" i="41"/>
  <c r="E65" i="41"/>
  <c r="B51" i="51" s="1"/>
  <c r="F65" i="41"/>
  <c r="F65" i="43"/>
  <c r="I65" i="41"/>
  <c r="K65" i="41"/>
  <c r="M65" i="41"/>
  <c r="E66" i="41"/>
  <c r="F66" i="41"/>
  <c r="K66" i="41"/>
  <c r="M66" i="41"/>
  <c r="E67" i="41"/>
  <c r="F67" i="41"/>
  <c r="F67" i="43" s="1"/>
  <c r="I67" i="41"/>
  <c r="K67" i="41"/>
  <c r="M67" i="41"/>
  <c r="E69" i="41"/>
  <c r="F69" i="41"/>
  <c r="F69" i="43" s="1"/>
  <c r="K69" i="41"/>
  <c r="M69" i="41"/>
  <c r="E75" i="41"/>
  <c r="F75" i="41"/>
  <c r="K75" i="41"/>
  <c r="M75" i="41"/>
  <c r="E76" i="41"/>
  <c r="F76" i="41"/>
  <c r="I76" i="41"/>
  <c r="K76" i="41"/>
  <c r="M76" i="41"/>
  <c r="E77" i="41"/>
  <c r="I77" i="41" s="1"/>
  <c r="F77" i="41"/>
  <c r="K77" i="41"/>
  <c r="M77" i="41"/>
  <c r="E78" i="41"/>
  <c r="I78" i="41" s="1"/>
  <c r="F78" i="41"/>
  <c r="K78" i="41"/>
  <c r="M78" i="41"/>
  <c r="E79" i="41"/>
  <c r="F79" i="41"/>
  <c r="I79" i="41"/>
  <c r="K79" i="41"/>
  <c r="M79" i="41"/>
  <c r="E80" i="41"/>
  <c r="I80" i="41" s="1"/>
  <c r="F80" i="41"/>
  <c r="K80" i="41"/>
  <c r="M80" i="41"/>
  <c r="E81" i="41"/>
  <c r="I81" i="41" s="1"/>
  <c r="F81" i="41"/>
  <c r="K81" i="41"/>
  <c r="M81" i="41"/>
  <c r="E82" i="41"/>
  <c r="F82" i="41"/>
  <c r="I82" i="41"/>
  <c r="K82" i="41"/>
  <c r="M82" i="41"/>
  <c r="E83" i="41"/>
  <c r="F83" i="41"/>
  <c r="I83" i="41"/>
  <c r="K83" i="41"/>
  <c r="M83" i="41"/>
  <c r="G84" i="41"/>
  <c r="G17" i="41" s="1"/>
  <c r="H84" i="41"/>
  <c r="H17" i="41" s="1"/>
  <c r="K17" i="41" s="1"/>
  <c r="J84" i="41"/>
  <c r="M84" i="41" s="1"/>
  <c r="K84" i="41"/>
  <c r="L84" i="41"/>
  <c r="L17" i="41" s="1"/>
  <c r="H86" i="41"/>
  <c r="J86" i="41"/>
  <c r="L86" i="41"/>
  <c r="E90" i="41"/>
  <c r="I90" i="41"/>
  <c r="F90" i="41"/>
  <c r="K90" i="41"/>
  <c r="M90" i="41"/>
  <c r="E91" i="41"/>
  <c r="F91" i="41"/>
  <c r="I91" i="41"/>
  <c r="K91" i="41"/>
  <c r="M91" i="41"/>
  <c r="E92" i="41"/>
  <c r="I92" i="41" s="1"/>
  <c r="F92" i="41"/>
  <c r="K92" i="41"/>
  <c r="M92" i="41"/>
  <c r="E93" i="41"/>
  <c r="I93" i="41" s="1"/>
  <c r="F93" i="41"/>
  <c r="K93" i="41"/>
  <c r="M93" i="41"/>
  <c r="E94" i="41"/>
  <c r="F94" i="41"/>
  <c r="I94" i="41"/>
  <c r="K94" i="41"/>
  <c r="M94" i="41"/>
  <c r="E95" i="41"/>
  <c r="I95" i="41" s="1"/>
  <c r="F95" i="41"/>
  <c r="K95" i="41"/>
  <c r="M95" i="41"/>
  <c r="E96" i="41"/>
  <c r="I96" i="41" s="1"/>
  <c r="F96" i="41"/>
  <c r="K96" i="41"/>
  <c r="M96" i="41"/>
  <c r="E97" i="41"/>
  <c r="F97" i="41"/>
  <c r="I97" i="41"/>
  <c r="K97" i="41"/>
  <c r="M97" i="41"/>
  <c r="E98" i="41"/>
  <c r="F98" i="41"/>
  <c r="I98" i="41"/>
  <c r="K98" i="41"/>
  <c r="M98" i="41"/>
  <c r="E99" i="41"/>
  <c r="F99" i="41"/>
  <c r="I99" i="41"/>
  <c r="K99" i="41"/>
  <c r="M99" i="41"/>
  <c r="E100" i="41"/>
  <c r="I100" i="41" s="1"/>
  <c r="F100" i="41"/>
  <c r="K100" i="41"/>
  <c r="M100" i="41"/>
  <c r="E101" i="41"/>
  <c r="I101" i="41" s="1"/>
  <c r="F101" i="41"/>
  <c r="K101" i="41"/>
  <c r="M101" i="41"/>
  <c r="E102" i="41"/>
  <c r="F102" i="41"/>
  <c r="I102" i="41"/>
  <c r="K102" i="41"/>
  <c r="M102" i="41"/>
  <c r="E103" i="41"/>
  <c r="I103" i="41" s="1"/>
  <c r="F103" i="41"/>
  <c r="K103" i="41"/>
  <c r="M103" i="41"/>
  <c r="E104" i="41"/>
  <c r="I104" i="41" s="1"/>
  <c r="F104" i="41"/>
  <c r="K104" i="41"/>
  <c r="M104" i="41"/>
  <c r="E105" i="41"/>
  <c r="F105" i="41"/>
  <c r="I105" i="41"/>
  <c r="K105" i="41"/>
  <c r="M105" i="41"/>
  <c r="E106" i="41"/>
  <c r="F106" i="41"/>
  <c r="I106" i="41"/>
  <c r="K106" i="41"/>
  <c r="M106" i="41"/>
  <c r="E107" i="41"/>
  <c r="F107" i="41"/>
  <c r="I107" i="41"/>
  <c r="K107" i="41"/>
  <c r="M107" i="41"/>
  <c r="G108" i="41"/>
  <c r="G21" i="41" s="1"/>
  <c r="H108" i="41"/>
  <c r="H21" i="41" s="1"/>
  <c r="K21" i="41" s="1"/>
  <c r="J108" i="41"/>
  <c r="J21" i="41" s="1"/>
  <c r="K108" i="41"/>
  <c r="L108" i="41"/>
  <c r="L21" i="41" s="1"/>
  <c r="E111" i="41"/>
  <c r="F111" i="41"/>
  <c r="I111" i="41"/>
  <c r="K111" i="41"/>
  <c r="M111" i="41"/>
  <c r="E112" i="41"/>
  <c r="F112" i="41"/>
  <c r="I112" i="41"/>
  <c r="K112" i="41"/>
  <c r="M112" i="41"/>
  <c r="E113" i="41"/>
  <c r="F113" i="41"/>
  <c r="I113" i="41"/>
  <c r="K113" i="41"/>
  <c r="M113" i="41"/>
  <c r="E114" i="41"/>
  <c r="I114" i="41" s="1"/>
  <c r="F114" i="41"/>
  <c r="K114" i="41"/>
  <c r="M114" i="41"/>
  <c r="E115" i="41"/>
  <c r="I115" i="41" s="1"/>
  <c r="F115" i="41"/>
  <c r="K115" i="41"/>
  <c r="M115" i="41"/>
  <c r="E116" i="41"/>
  <c r="F116" i="41"/>
  <c r="I116" i="41"/>
  <c r="K116" i="41"/>
  <c r="M116" i="41"/>
  <c r="G117" i="41"/>
  <c r="G25" i="41" s="1"/>
  <c r="H117" i="41"/>
  <c r="J117" i="41"/>
  <c r="L117" i="41"/>
  <c r="L25" i="41" s="1"/>
  <c r="A2" i="42"/>
  <c r="A3" i="42"/>
  <c r="D4" i="42"/>
  <c r="H7" i="42"/>
  <c r="J7" i="42"/>
  <c r="L7" i="42"/>
  <c r="G9" i="42"/>
  <c r="A10" i="42"/>
  <c r="G10" i="42"/>
  <c r="J10" i="42"/>
  <c r="L10" i="42"/>
  <c r="E23" i="42"/>
  <c r="E23" i="43"/>
  <c r="I23" i="43" s="1"/>
  <c r="F23" i="42"/>
  <c r="F23" i="43"/>
  <c r="K23" i="42"/>
  <c r="M23" i="42"/>
  <c r="E24" i="42"/>
  <c r="I24" i="42"/>
  <c r="J148" i="42"/>
  <c r="F24" i="42"/>
  <c r="F24" i="43"/>
  <c r="K24" i="42"/>
  <c r="M24" i="42"/>
  <c r="F25" i="42"/>
  <c r="E29" i="42"/>
  <c r="B103" i="51"/>
  <c r="F29" i="42"/>
  <c r="K29" i="42"/>
  <c r="M29" i="42"/>
  <c r="E30" i="42"/>
  <c r="F30" i="42"/>
  <c r="F30" i="43"/>
  <c r="K30" i="42"/>
  <c r="M30" i="42"/>
  <c r="E31" i="42"/>
  <c r="F31" i="42"/>
  <c r="K31" i="42"/>
  <c r="M31" i="42"/>
  <c r="E32" i="42"/>
  <c r="I32" i="42"/>
  <c r="F32" i="42"/>
  <c r="K32" i="42"/>
  <c r="M32" i="42"/>
  <c r="E33" i="42"/>
  <c r="B107" i="51"/>
  <c r="F33" i="42"/>
  <c r="K33" i="42"/>
  <c r="M33" i="42"/>
  <c r="E34" i="42"/>
  <c r="F34" i="42"/>
  <c r="F34" i="43"/>
  <c r="K34" i="42"/>
  <c r="M34" i="42"/>
  <c r="E35" i="42"/>
  <c r="I35" i="42"/>
  <c r="F35" i="42"/>
  <c r="K35" i="42"/>
  <c r="M35" i="42"/>
  <c r="E36" i="42"/>
  <c r="B110" i="51"/>
  <c r="F36" i="42"/>
  <c r="F36" i="43"/>
  <c r="K36" i="42"/>
  <c r="M36" i="42"/>
  <c r="G37" i="42"/>
  <c r="H37" i="42"/>
  <c r="J37" i="42"/>
  <c r="L37" i="42"/>
  <c r="E42" i="42"/>
  <c r="F42" i="42"/>
  <c r="F42" i="43"/>
  <c r="K42" i="42"/>
  <c r="M42" i="42"/>
  <c r="E43" i="42"/>
  <c r="F43" i="42"/>
  <c r="K43" i="42"/>
  <c r="M43" i="42"/>
  <c r="G44" i="42"/>
  <c r="H44" i="42"/>
  <c r="K44" i="42"/>
  <c r="J44" i="42"/>
  <c r="M44" i="42"/>
  <c r="L44" i="42"/>
  <c r="F50" i="42"/>
  <c r="G50" i="42"/>
  <c r="F52" i="42"/>
  <c r="F53" i="42"/>
  <c r="G74" i="42"/>
  <c r="I74" i="42"/>
  <c r="K74" i="42"/>
  <c r="G88" i="42"/>
  <c r="I88" i="42"/>
  <c r="K88" i="42"/>
  <c r="G89" i="42"/>
  <c r="I89" i="42"/>
  <c r="K89" i="42"/>
  <c r="G90" i="42"/>
  <c r="I90" i="42"/>
  <c r="K90" i="42"/>
  <c r="G92" i="42"/>
  <c r="I92" i="42"/>
  <c r="K92" i="42"/>
  <c r="G93" i="42"/>
  <c r="I93" i="42"/>
  <c r="K93" i="42"/>
  <c r="E98" i="42"/>
  <c r="F98" i="42"/>
  <c r="K98" i="42"/>
  <c r="M98" i="42"/>
  <c r="E99" i="42"/>
  <c r="F99" i="42"/>
  <c r="K99" i="42"/>
  <c r="M99" i="42"/>
  <c r="E100" i="42"/>
  <c r="F100" i="42"/>
  <c r="K100" i="42"/>
  <c r="M100" i="42"/>
  <c r="E101" i="42"/>
  <c r="F101" i="42"/>
  <c r="K101" i="42"/>
  <c r="M101" i="42"/>
  <c r="E102" i="42"/>
  <c r="F102" i="42"/>
  <c r="K102" i="42"/>
  <c r="M102" i="42"/>
  <c r="E103" i="42"/>
  <c r="F103" i="42"/>
  <c r="K103" i="42"/>
  <c r="M103" i="42"/>
  <c r="E104" i="42"/>
  <c r="F104" i="42"/>
  <c r="K104" i="42"/>
  <c r="M104" i="42"/>
  <c r="E105" i="42"/>
  <c r="F105" i="42"/>
  <c r="K105" i="42"/>
  <c r="M105" i="42"/>
  <c r="E106" i="42"/>
  <c r="F106" i="42"/>
  <c r="K106" i="42"/>
  <c r="M106" i="42"/>
  <c r="G107" i="42"/>
  <c r="G17" i="42" s="1"/>
  <c r="H107" i="42"/>
  <c r="J107" i="42"/>
  <c r="L107" i="42"/>
  <c r="L17" i="42" s="1"/>
  <c r="H109" i="42"/>
  <c r="J109" i="42"/>
  <c r="L109" i="42"/>
  <c r="E113" i="42"/>
  <c r="F113" i="42"/>
  <c r="K113" i="42"/>
  <c r="M113" i="42"/>
  <c r="E114" i="42"/>
  <c r="F114" i="42"/>
  <c r="K114" i="42"/>
  <c r="M114" i="42"/>
  <c r="E115" i="42"/>
  <c r="F115" i="42"/>
  <c r="K115" i="42"/>
  <c r="M115" i="42"/>
  <c r="E116" i="42"/>
  <c r="F116" i="42"/>
  <c r="K116" i="42"/>
  <c r="M116" i="42"/>
  <c r="E117" i="42"/>
  <c r="F117" i="42"/>
  <c r="K117" i="42"/>
  <c r="M117" i="42"/>
  <c r="E118" i="42"/>
  <c r="F118" i="42"/>
  <c r="K118" i="42"/>
  <c r="M118" i="42"/>
  <c r="E119" i="42"/>
  <c r="F119" i="42"/>
  <c r="K119" i="42"/>
  <c r="M119" i="42"/>
  <c r="E120" i="42"/>
  <c r="F120" i="42"/>
  <c r="K120" i="42"/>
  <c r="M120" i="42"/>
  <c r="E121" i="42"/>
  <c r="F121" i="42"/>
  <c r="K121" i="42"/>
  <c r="M121" i="42"/>
  <c r="E122" i="42"/>
  <c r="F122" i="42"/>
  <c r="K122" i="42"/>
  <c r="M122" i="42"/>
  <c r="E123" i="42"/>
  <c r="F123" i="42"/>
  <c r="K123" i="42"/>
  <c r="M123" i="42"/>
  <c r="E124" i="42"/>
  <c r="F124" i="42"/>
  <c r="K124" i="42"/>
  <c r="M124" i="42"/>
  <c r="E125" i="42"/>
  <c r="F125" i="42"/>
  <c r="K125" i="42"/>
  <c r="M125" i="42"/>
  <c r="E126" i="42"/>
  <c r="F126" i="42"/>
  <c r="K126" i="42"/>
  <c r="M126" i="42"/>
  <c r="E127" i="42"/>
  <c r="F127" i="42"/>
  <c r="K127" i="42"/>
  <c r="M127" i="42"/>
  <c r="E128" i="42"/>
  <c r="F128" i="42"/>
  <c r="K128" i="42"/>
  <c r="M128" i="42"/>
  <c r="E129" i="42"/>
  <c r="F129" i="42"/>
  <c r="K129" i="42"/>
  <c r="M129" i="42"/>
  <c r="E130" i="42"/>
  <c r="F130" i="42"/>
  <c r="K130" i="42"/>
  <c r="M130" i="42"/>
  <c r="G131" i="42"/>
  <c r="G21" i="42" s="1"/>
  <c r="H131" i="42"/>
  <c r="H21" i="42" s="1"/>
  <c r="J131" i="42"/>
  <c r="J21" i="42" s="1"/>
  <c r="L131" i="42"/>
  <c r="L21" i="42" s="1"/>
  <c r="E134" i="42"/>
  <c r="F134" i="42"/>
  <c r="K134" i="42"/>
  <c r="M134" i="42"/>
  <c r="E135" i="42"/>
  <c r="F135" i="42"/>
  <c r="K135" i="42"/>
  <c r="M135" i="42"/>
  <c r="E136" i="42"/>
  <c r="F136" i="42"/>
  <c r="K136" i="42"/>
  <c r="M136" i="42"/>
  <c r="E137" i="42"/>
  <c r="F137" i="42"/>
  <c r="K137" i="42"/>
  <c r="M137" i="42"/>
  <c r="E138" i="42"/>
  <c r="F138" i="42"/>
  <c r="K138" i="42"/>
  <c r="M138" i="42"/>
  <c r="E139" i="42"/>
  <c r="F139" i="42"/>
  <c r="K139" i="42"/>
  <c r="M139" i="42"/>
  <c r="G140" i="42"/>
  <c r="G25" i="42" s="1"/>
  <c r="H140" i="42"/>
  <c r="H25" i="42"/>
  <c r="J140" i="42"/>
  <c r="M140" i="42"/>
  <c r="L140" i="42"/>
  <c r="L25" i="42"/>
  <c r="A1" i="43"/>
  <c r="A3" i="43"/>
  <c r="D4" i="43"/>
  <c r="H7" i="43"/>
  <c r="J7" i="43"/>
  <c r="L7" i="43"/>
  <c r="G9" i="43"/>
  <c r="A10" i="43"/>
  <c r="G10" i="43"/>
  <c r="J10" i="43"/>
  <c r="L10" i="43"/>
  <c r="G13" i="43"/>
  <c r="E14" i="43"/>
  <c r="F14" i="43"/>
  <c r="G14" i="43"/>
  <c r="H14" i="43"/>
  <c r="J14" i="43"/>
  <c r="M14" i="43" s="1"/>
  <c r="L14" i="43"/>
  <c r="E15" i="43"/>
  <c r="I15" i="43"/>
  <c r="G15" i="43"/>
  <c r="H15" i="43"/>
  <c r="K15" i="43" s="1"/>
  <c r="J15" i="43"/>
  <c r="M15" i="43" s="1"/>
  <c r="L15" i="43"/>
  <c r="G16" i="43"/>
  <c r="H16" i="43"/>
  <c r="AE13" i="45" s="1"/>
  <c r="J16" i="43"/>
  <c r="L16" i="43"/>
  <c r="G19" i="43"/>
  <c r="G20" i="43"/>
  <c r="G23" i="43"/>
  <c r="H23" i="43"/>
  <c r="K23" i="43" s="1"/>
  <c r="J23" i="43"/>
  <c r="AE20" i="46" s="1"/>
  <c r="L23" i="43"/>
  <c r="E24" i="43"/>
  <c r="G24" i="43"/>
  <c r="H24" i="43"/>
  <c r="AE21" i="45"/>
  <c r="J24" i="43"/>
  <c r="M24" i="43"/>
  <c r="AE21" i="46"/>
  <c r="L24" i="43"/>
  <c r="G29" i="43"/>
  <c r="H29" i="43"/>
  <c r="J29" i="43"/>
  <c r="L29" i="43"/>
  <c r="G30" i="43"/>
  <c r="H30" i="43"/>
  <c r="AE27" i="45" s="1"/>
  <c r="J30" i="43"/>
  <c r="L30" i="43"/>
  <c r="G31" i="43"/>
  <c r="H31" i="43"/>
  <c r="AE28" i="45"/>
  <c r="J31" i="43"/>
  <c r="L31" i="43"/>
  <c r="G32" i="43"/>
  <c r="H32" i="43"/>
  <c r="J32" i="43"/>
  <c r="AE29" i="46" s="1"/>
  <c r="L32" i="43"/>
  <c r="G33" i="43"/>
  <c r="H33" i="43"/>
  <c r="AE30" i="45" s="1"/>
  <c r="J33" i="43"/>
  <c r="L33" i="43"/>
  <c r="G34" i="43"/>
  <c r="H34" i="43"/>
  <c r="J34" i="43"/>
  <c r="AE31" i="46" s="1"/>
  <c r="L34" i="43"/>
  <c r="G35" i="43"/>
  <c r="H35" i="43"/>
  <c r="K35" i="43" s="1"/>
  <c r="J35" i="43"/>
  <c r="AE32" i="46" s="1"/>
  <c r="L35" i="43"/>
  <c r="E36" i="43"/>
  <c r="G36" i="43"/>
  <c r="H36" i="43"/>
  <c r="J36" i="43"/>
  <c r="M36" i="43" s="1"/>
  <c r="L36" i="43"/>
  <c r="G42" i="43"/>
  <c r="H42" i="43"/>
  <c r="J42" i="43"/>
  <c r="L42" i="43"/>
  <c r="G43" i="43"/>
  <c r="H43" i="43"/>
  <c r="H44" i="43" s="1"/>
  <c r="K44" i="43" s="1"/>
  <c r="J43" i="43"/>
  <c r="L43" i="43"/>
  <c r="L44" i="43" s="1"/>
  <c r="B51" i="43"/>
  <c r="I51" i="43"/>
  <c r="B54" i="43"/>
  <c r="E54" i="43"/>
  <c r="I54" i="43"/>
  <c r="E59" i="43"/>
  <c r="I59" i="43" s="1"/>
  <c r="G59" i="43"/>
  <c r="H59" i="43"/>
  <c r="K59" i="43"/>
  <c r="J59" i="43"/>
  <c r="M59" i="43" s="1"/>
  <c r="L59" i="43"/>
  <c r="G60" i="43"/>
  <c r="H60" i="43"/>
  <c r="K60" i="43" s="1"/>
  <c r="J60" i="43"/>
  <c r="M60" i="43" s="1"/>
  <c r="L60" i="43"/>
  <c r="E61" i="43"/>
  <c r="I61" i="43" s="1"/>
  <c r="G61" i="43"/>
  <c r="H61" i="43"/>
  <c r="K61" i="43"/>
  <c r="J61" i="43"/>
  <c r="M61" i="43" s="1"/>
  <c r="L61" i="43"/>
  <c r="G62" i="43"/>
  <c r="H62" i="43"/>
  <c r="K62" i="43"/>
  <c r="J62" i="43"/>
  <c r="M62" i="43" s="1"/>
  <c r="L62" i="43"/>
  <c r="E65" i="43"/>
  <c r="I65" i="43" s="1"/>
  <c r="G65" i="43"/>
  <c r="H65" i="43"/>
  <c r="K65" i="43" s="1"/>
  <c r="J65" i="43"/>
  <c r="M65" i="43" s="1"/>
  <c r="L65" i="43"/>
  <c r="F66" i="43"/>
  <c r="G66" i="43"/>
  <c r="H66" i="43"/>
  <c r="K66" i="43" s="1"/>
  <c r="J66" i="43"/>
  <c r="M66" i="43"/>
  <c r="L66" i="43"/>
  <c r="E67" i="43"/>
  <c r="I67" i="43" s="1"/>
  <c r="G67" i="43"/>
  <c r="H67" i="43"/>
  <c r="K67" i="43" s="1"/>
  <c r="J67" i="43"/>
  <c r="M67" i="43" s="1"/>
  <c r="L67" i="43"/>
  <c r="E69" i="43"/>
  <c r="I69" i="43" s="1"/>
  <c r="G69" i="43"/>
  <c r="H69" i="43"/>
  <c r="K69" i="43" s="1"/>
  <c r="J69" i="43"/>
  <c r="M69" i="43"/>
  <c r="L69" i="43"/>
  <c r="H73" i="43"/>
  <c r="C71" i="51"/>
  <c r="J73" i="43"/>
  <c r="D71" i="51"/>
  <c r="L73" i="43"/>
  <c r="E71" i="51"/>
  <c r="E74" i="43"/>
  <c r="B72" i="51"/>
  <c r="F80" i="43"/>
  <c r="F81" i="43"/>
  <c r="F82" i="43"/>
  <c r="A2" i="44"/>
  <c r="A4" i="44"/>
  <c r="E12" i="44"/>
  <c r="G12" i="44"/>
  <c r="D13" i="44"/>
  <c r="G1" i="45"/>
  <c r="V1" i="45"/>
  <c r="G2" i="45"/>
  <c r="U2" i="45"/>
  <c r="A3" i="45"/>
  <c r="E23" i="45"/>
  <c r="G23" i="45"/>
  <c r="I23" i="45"/>
  <c r="K23" i="45"/>
  <c r="M23" i="45"/>
  <c r="O23" i="45"/>
  <c r="Q23" i="45"/>
  <c r="S23" i="45"/>
  <c r="U23" i="45"/>
  <c r="W23" i="45"/>
  <c r="Y23" i="45"/>
  <c r="AA23" i="45"/>
  <c r="E34" i="45"/>
  <c r="G34" i="45"/>
  <c r="I34" i="45"/>
  <c r="K34" i="45"/>
  <c r="M34" i="45"/>
  <c r="O34" i="45"/>
  <c r="Q34" i="45"/>
  <c r="S34" i="45"/>
  <c r="U34" i="45"/>
  <c r="W34" i="45"/>
  <c r="Y34" i="45"/>
  <c r="AA34" i="45"/>
  <c r="E39" i="45"/>
  <c r="G39" i="45"/>
  <c r="I39" i="45"/>
  <c r="K39" i="45"/>
  <c r="M39" i="45"/>
  <c r="O39" i="45"/>
  <c r="Q39" i="45"/>
  <c r="S39" i="45"/>
  <c r="U39" i="45"/>
  <c r="W39" i="45"/>
  <c r="Y39" i="45"/>
  <c r="AA39" i="45"/>
  <c r="F43" i="45"/>
  <c r="H43" i="45"/>
  <c r="J43" i="45"/>
  <c r="L43" i="45"/>
  <c r="N43" i="45"/>
  <c r="P43" i="45"/>
  <c r="R43" i="45"/>
  <c r="T43" i="45"/>
  <c r="V43" i="45"/>
  <c r="X43" i="45"/>
  <c r="Z43" i="45"/>
  <c r="AB43" i="45"/>
  <c r="AE43" i="45"/>
  <c r="F44" i="45"/>
  <c r="H44" i="45"/>
  <c r="J44" i="45"/>
  <c r="L44" i="45"/>
  <c r="N44" i="45"/>
  <c r="P44" i="45"/>
  <c r="R44" i="45"/>
  <c r="T44" i="45"/>
  <c r="V44" i="45"/>
  <c r="X44" i="45"/>
  <c r="Z44" i="45"/>
  <c r="AB44" i="45"/>
  <c r="AE44" i="45"/>
  <c r="F45" i="45"/>
  <c r="H45" i="45"/>
  <c r="J45" i="45"/>
  <c r="L45" i="45"/>
  <c r="N45" i="45"/>
  <c r="P45" i="45"/>
  <c r="R45" i="45"/>
  <c r="T45" i="45"/>
  <c r="V45" i="45"/>
  <c r="X45" i="45"/>
  <c r="Z45" i="45"/>
  <c r="AB45" i="45"/>
  <c r="F46" i="45"/>
  <c r="H46" i="45"/>
  <c r="J46" i="45"/>
  <c r="L46" i="45"/>
  <c r="N46" i="45"/>
  <c r="P46" i="45"/>
  <c r="R46" i="45"/>
  <c r="T46" i="45"/>
  <c r="V46" i="45"/>
  <c r="X46" i="45"/>
  <c r="Z46" i="45"/>
  <c r="AB46" i="45"/>
  <c r="AE46" i="45"/>
  <c r="F47" i="45"/>
  <c r="H47" i="45"/>
  <c r="J47" i="45"/>
  <c r="L47" i="45"/>
  <c r="N47" i="45"/>
  <c r="P47" i="45"/>
  <c r="R47" i="45"/>
  <c r="T47" i="45"/>
  <c r="V47" i="45"/>
  <c r="X47" i="45"/>
  <c r="Z47" i="45"/>
  <c r="AB47" i="45"/>
  <c r="AE47" i="45"/>
  <c r="D48" i="45"/>
  <c r="E48" i="45"/>
  <c r="G48" i="45"/>
  <c r="I48" i="45"/>
  <c r="K48" i="45"/>
  <c r="M48" i="45"/>
  <c r="O48" i="45"/>
  <c r="Q48" i="45"/>
  <c r="S48" i="45"/>
  <c r="U48" i="45"/>
  <c r="W48" i="45"/>
  <c r="Y48" i="45"/>
  <c r="AA48" i="45"/>
  <c r="F51" i="45"/>
  <c r="H51" i="45"/>
  <c r="J51" i="45"/>
  <c r="L51" i="45"/>
  <c r="N51" i="45"/>
  <c r="P51" i="45"/>
  <c r="R51" i="45"/>
  <c r="T51" i="45"/>
  <c r="V51" i="45"/>
  <c r="X51" i="45"/>
  <c r="Z51" i="45"/>
  <c r="AB51" i="45"/>
  <c r="F52" i="45"/>
  <c r="H52" i="45"/>
  <c r="J52" i="45"/>
  <c r="L52" i="45"/>
  <c r="N52" i="45"/>
  <c r="P52" i="45"/>
  <c r="R52" i="45"/>
  <c r="T52" i="45"/>
  <c r="V52" i="45"/>
  <c r="X52" i="45"/>
  <c r="Z52" i="45"/>
  <c r="AB52" i="45"/>
  <c r="F53" i="45"/>
  <c r="H53" i="45"/>
  <c r="J53" i="45"/>
  <c r="L53" i="45"/>
  <c r="N53" i="45"/>
  <c r="P53" i="45"/>
  <c r="R53" i="45"/>
  <c r="T53" i="45"/>
  <c r="V53" i="45"/>
  <c r="X53" i="45"/>
  <c r="Z53" i="45"/>
  <c r="AB53" i="45"/>
  <c r="F54" i="45"/>
  <c r="H54" i="45"/>
  <c r="J54" i="45"/>
  <c r="L54" i="45"/>
  <c r="N54" i="45"/>
  <c r="P54" i="45"/>
  <c r="R54" i="45"/>
  <c r="T54" i="45"/>
  <c r="V54" i="45"/>
  <c r="X54" i="45"/>
  <c r="Z54" i="45"/>
  <c r="AB54" i="45"/>
  <c r="F55" i="45"/>
  <c r="H55" i="45"/>
  <c r="J55" i="45"/>
  <c r="L55" i="45"/>
  <c r="N55" i="45"/>
  <c r="P55" i="45"/>
  <c r="R55" i="45"/>
  <c r="T55" i="45"/>
  <c r="V55" i="45"/>
  <c r="X55" i="45"/>
  <c r="Z55" i="45"/>
  <c r="AB55" i="45"/>
  <c r="E56" i="45"/>
  <c r="G56" i="45"/>
  <c r="I56" i="45"/>
  <c r="K56" i="45"/>
  <c r="M56" i="45"/>
  <c r="O56" i="45"/>
  <c r="Q56" i="45"/>
  <c r="S56" i="45"/>
  <c r="U56" i="45"/>
  <c r="W56" i="45"/>
  <c r="Y56" i="45"/>
  <c r="AA56" i="45"/>
  <c r="F1" i="46"/>
  <c r="T1" i="46"/>
  <c r="G1" i="46"/>
  <c r="H1" i="46"/>
  <c r="U1" i="46"/>
  <c r="V1" i="46"/>
  <c r="G2" i="46"/>
  <c r="H2" i="46"/>
  <c r="T2" i="46"/>
  <c r="A3" i="46"/>
  <c r="E23" i="46"/>
  <c r="G23" i="46"/>
  <c r="I23" i="46"/>
  <c r="K23" i="46"/>
  <c r="M23" i="46"/>
  <c r="O23" i="46"/>
  <c r="Q23" i="46"/>
  <c r="S23" i="46"/>
  <c r="U23" i="46"/>
  <c r="W23" i="46"/>
  <c r="Y23" i="46"/>
  <c r="AA23" i="46"/>
  <c r="E34" i="46"/>
  <c r="G34" i="46"/>
  <c r="I34" i="46"/>
  <c r="K34" i="46"/>
  <c r="M34" i="46"/>
  <c r="O34" i="46"/>
  <c r="Q34" i="46"/>
  <c r="S34" i="46"/>
  <c r="U34" i="46"/>
  <c r="W34" i="46"/>
  <c r="Y34" i="46"/>
  <c r="AA34" i="46"/>
  <c r="G39" i="46"/>
  <c r="I39" i="46"/>
  <c r="K39" i="46"/>
  <c r="M39" i="46"/>
  <c r="O39" i="46"/>
  <c r="Q39" i="46"/>
  <c r="S39" i="46"/>
  <c r="U39" i="46"/>
  <c r="W39" i="46"/>
  <c r="Y39" i="46"/>
  <c r="AA39" i="46"/>
  <c r="F43" i="46"/>
  <c r="H43" i="46"/>
  <c r="J43" i="46"/>
  <c r="L43" i="46"/>
  <c r="N43" i="46"/>
  <c r="P43" i="46"/>
  <c r="R43" i="46"/>
  <c r="T43" i="46"/>
  <c r="V43" i="46"/>
  <c r="X43" i="46"/>
  <c r="Z43" i="46"/>
  <c r="AB43" i="46"/>
  <c r="AE43" i="46"/>
  <c r="F44" i="46"/>
  <c r="H44" i="46"/>
  <c r="J44" i="46"/>
  <c r="L44" i="46"/>
  <c r="N44" i="46"/>
  <c r="P44" i="46"/>
  <c r="R44" i="46"/>
  <c r="T44" i="46"/>
  <c r="V44" i="46"/>
  <c r="X44" i="46"/>
  <c r="Z44" i="46"/>
  <c r="AB44" i="46"/>
  <c r="AE44" i="46"/>
  <c r="F45" i="46"/>
  <c r="H45" i="46"/>
  <c r="J45" i="46"/>
  <c r="L45" i="46"/>
  <c r="N45" i="46"/>
  <c r="P45" i="46"/>
  <c r="R45" i="46"/>
  <c r="T45" i="46"/>
  <c r="V45" i="46"/>
  <c r="X45" i="46"/>
  <c r="Z45" i="46"/>
  <c r="AB45" i="46"/>
  <c r="AE45" i="46"/>
  <c r="F46" i="46"/>
  <c r="H46" i="46"/>
  <c r="J46" i="46"/>
  <c r="L46" i="46"/>
  <c r="N46" i="46"/>
  <c r="P46" i="46"/>
  <c r="R46" i="46"/>
  <c r="T46" i="46"/>
  <c r="V46" i="46"/>
  <c r="X46" i="46"/>
  <c r="Z46" i="46"/>
  <c r="AB46" i="46"/>
  <c r="AE46" i="46"/>
  <c r="F47" i="46"/>
  <c r="H47" i="46"/>
  <c r="J47" i="46"/>
  <c r="L47" i="46"/>
  <c r="N47" i="46"/>
  <c r="P47" i="46"/>
  <c r="R47" i="46"/>
  <c r="T47" i="46"/>
  <c r="V47" i="46"/>
  <c r="X47" i="46"/>
  <c r="Z47" i="46"/>
  <c r="AB47" i="46"/>
  <c r="AE47" i="46"/>
  <c r="D48" i="46"/>
  <c r="E48" i="46"/>
  <c r="G48" i="46"/>
  <c r="I48" i="46"/>
  <c r="K48" i="46"/>
  <c r="M48" i="46"/>
  <c r="O48" i="46"/>
  <c r="Q48" i="46"/>
  <c r="S48" i="46"/>
  <c r="U48" i="46"/>
  <c r="W48" i="46"/>
  <c r="Y48" i="46"/>
  <c r="AA48" i="46"/>
  <c r="F51" i="46"/>
  <c r="H51" i="46"/>
  <c r="J51" i="46"/>
  <c r="L51" i="46"/>
  <c r="N51" i="46"/>
  <c r="P51" i="46"/>
  <c r="R51" i="46"/>
  <c r="T51" i="46"/>
  <c r="V51" i="46"/>
  <c r="X51" i="46"/>
  <c r="Z51" i="46"/>
  <c r="AB51" i="46"/>
  <c r="F52" i="46"/>
  <c r="H52" i="46"/>
  <c r="J52" i="46"/>
  <c r="L52" i="46"/>
  <c r="N52" i="46"/>
  <c r="P52" i="46"/>
  <c r="R52" i="46"/>
  <c r="T52" i="46"/>
  <c r="V52" i="46"/>
  <c r="X52" i="46"/>
  <c r="Z52" i="46"/>
  <c r="AB52" i="46"/>
  <c r="F53" i="46"/>
  <c r="H53" i="46"/>
  <c r="J53" i="46"/>
  <c r="L53" i="46"/>
  <c r="N53" i="46"/>
  <c r="P53" i="46"/>
  <c r="R53" i="46"/>
  <c r="T53" i="46"/>
  <c r="V53" i="46"/>
  <c r="X53" i="46"/>
  <c r="Z53" i="46"/>
  <c r="AB53" i="46"/>
  <c r="F54" i="46"/>
  <c r="H54" i="46"/>
  <c r="J54" i="46"/>
  <c r="L54" i="46"/>
  <c r="N54" i="46"/>
  <c r="P54" i="46"/>
  <c r="R54" i="46"/>
  <c r="T54" i="46"/>
  <c r="V54" i="46"/>
  <c r="X54" i="46"/>
  <c r="Z54" i="46"/>
  <c r="AB54" i="46"/>
  <c r="F55" i="46"/>
  <c r="H55" i="46"/>
  <c r="J55" i="46"/>
  <c r="L55" i="46"/>
  <c r="N55" i="46"/>
  <c r="P55" i="46"/>
  <c r="R55" i="46"/>
  <c r="T55" i="46"/>
  <c r="V55" i="46"/>
  <c r="X55" i="46"/>
  <c r="Z55" i="46"/>
  <c r="AB55" i="46"/>
  <c r="E56" i="46"/>
  <c r="G56" i="46"/>
  <c r="I56" i="46"/>
  <c r="K56" i="46"/>
  <c r="M56" i="46"/>
  <c r="O56" i="46"/>
  <c r="Q56" i="46"/>
  <c r="S56" i="46"/>
  <c r="U56" i="46"/>
  <c r="W56" i="46"/>
  <c r="Y56" i="46"/>
  <c r="AA56" i="46"/>
  <c r="E67" i="2"/>
  <c r="H67" i="2"/>
  <c r="H61" i="17"/>
  <c r="B99" i="50"/>
  <c r="G17" i="17"/>
  <c r="F17" i="41"/>
  <c r="B53" i="50"/>
  <c r="F44" i="41"/>
  <c r="H33" i="17"/>
  <c r="B51" i="50"/>
  <c r="H65" i="17"/>
  <c r="H23" i="17"/>
  <c r="B47" i="50"/>
  <c r="L84" i="17"/>
  <c r="H30" i="17"/>
  <c r="E62" i="2"/>
  <c r="H62" i="2"/>
  <c r="H62" i="17"/>
  <c r="H59" i="17"/>
  <c r="B94" i="50"/>
  <c r="B97" i="50"/>
  <c r="L117" i="17"/>
  <c r="B92" i="50"/>
  <c r="B95" i="50"/>
  <c r="B98" i="50"/>
  <c r="I36" i="32"/>
  <c r="K42" i="32"/>
  <c r="F44" i="32"/>
  <c r="I44" i="32"/>
  <c r="K36" i="32"/>
  <c r="I24" i="32"/>
  <c r="C81" i="51"/>
  <c r="C111" i="51"/>
  <c r="D88" i="51"/>
  <c r="M148" i="42"/>
  <c r="M145" i="42"/>
  <c r="D85" i="51"/>
  <c r="K145" i="42"/>
  <c r="C85" i="51"/>
  <c r="M29" i="43"/>
  <c r="E78" i="51"/>
  <c r="D78" i="51"/>
  <c r="C100" i="51"/>
  <c r="C78" i="51"/>
  <c r="L13" i="43"/>
  <c r="J76" i="40" s="1"/>
  <c r="E118" i="51" s="1"/>
  <c r="J13" i="43"/>
  <c r="C81" i="50"/>
  <c r="C111" i="50"/>
  <c r="J34" i="2"/>
  <c r="F33" i="43"/>
  <c r="D100" i="50"/>
  <c r="I34" i="21"/>
  <c r="K13" i="2"/>
  <c r="E37" i="16"/>
  <c r="H37" i="16"/>
  <c r="B103" i="50"/>
  <c r="C111" i="49"/>
  <c r="G117" i="30"/>
  <c r="G108" i="30"/>
  <c r="G21" i="30"/>
  <c r="K108" i="30"/>
  <c r="E108" i="17"/>
  <c r="H108" i="17"/>
  <c r="I108" i="30"/>
  <c r="E43" i="2"/>
  <c r="H43" i="2"/>
  <c r="I37" i="30"/>
  <c r="C100" i="49"/>
  <c r="I35" i="41"/>
  <c r="E29" i="2"/>
  <c r="I31" i="32"/>
  <c r="H35" i="17"/>
  <c r="G16" i="32"/>
  <c r="E16" i="2"/>
  <c r="H16" i="2"/>
  <c r="H16" i="17"/>
  <c r="E16" i="43"/>
  <c r="I16" i="41"/>
  <c r="C66" i="49"/>
  <c r="I49" i="14"/>
  <c r="I62" i="14"/>
  <c r="K36" i="39"/>
  <c r="P36" i="39"/>
  <c r="P36" i="28"/>
  <c r="K36" i="14"/>
  <c r="P36" i="14"/>
  <c r="I20" i="14"/>
  <c r="P34" i="28"/>
  <c r="K22" i="28"/>
  <c r="L22" i="28" s="1"/>
  <c r="L22" i="39" s="1"/>
  <c r="N49" i="28"/>
  <c r="O49" i="28"/>
  <c r="P60" i="14"/>
  <c r="P20" i="28"/>
  <c r="P20" i="14"/>
  <c r="N36" i="28"/>
  <c r="O36" i="28" s="1"/>
  <c r="S36" i="28"/>
  <c r="A2" i="40"/>
  <c r="A2" i="17"/>
  <c r="A2" i="2"/>
  <c r="I1" i="39"/>
  <c r="A1" i="2"/>
  <c r="A1" i="21"/>
  <c r="A1" i="40"/>
  <c r="T1" i="37"/>
  <c r="I1" i="14"/>
  <c r="A3" i="44"/>
  <c r="F1" i="38"/>
  <c r="T1" i="38"/>
  <c r="F1" i="37"/>
  <c r="F1" i="45"/>
  <c r="U1" i="45"/>
  <c r="A1" i="42"/>
  <c r="A4" i="9"/>
  <c r="A1" i="41"/>
  <c r="A3" i="15"/>
  <c r="M42" i="43"/>
  <c r="F12" i="35"/>
  <c r="I42" i="32"/>
  <c r="E44" i="32"/>
  <c r="G44" i="32"/>
  <c r="M32" i="43"/>
  <c r="M34" i="43"/>
  <c r="K33" i="43"/>
  <c r="L16" i="2"/>
  <c r="J16" i="2"/>
  <c r="L43" i="2"/>
  <c r="J43" i="2"/>
  <c r="M13" i="41"/>
  <c r="K13" i="41"/>
  <c r="M20" i="14"/>
  <c r="M20" i="39"/>
  <c r="M67" i="14"/>
  <c r="I22" i="28"/>
  <c r="M34" i="14"/>
  <c r="M34" i="39"/>
  <c r="I36" i="28"/>
  <c r="K24" i="43"/>
  <c r="E33" i="43"/>
  <c r="I33" i="43"/>
  <c r="I33" i="42"/>
  <c r="K37" i="42"/>
  <c r="I29" i="42"/>
  <c r="E29" i="43"/>
  <c r="I29" i="43" s="1"/>
  <c r="AE26" i="46"/>
  <c r="P26" i="46" s="1"/>
  <c r="E145" i="42"/>
  <c r="I145" i="42"/>
  <c r="L24" i="2"/>
  <c r="AB21" i="37"/>
  <c r="F149" i="16"/>
  <c r="AE38" i="38"/>
  <c r="T38" i="38"/>
  <c r="J14" i="2"/>
  <c r="L108" i="17"/>
  <c r="I21" i="17"/>
  <c r="J108" i="17"/>
  <c r="G21" i="17"/>
  <c r="H50" i="41"/>
  <c r="C40" i="51" s="1"/>
  <c r="AE33" i="38"/>
  <c r="T33" i="38"/>
  <c r="J33" i="2"/>
  <c r="L13" i="17"/>
  <c r="K34" i="21"/>
  <c r="D66" i="50"/>
  <c r="G13" i="2"/>
  <c r="J13" i="17"/>
  <c r="C66" i="50"/>
  <c r="O36" i="14"/>
  <c r="S34" i="14"/>
  <c r="V60" i="14"/>
  <c r="S60" i="14"/>
  <c r="N62" i="14"/>
  <c r="P62" i="14"/>
  <c r="V49" i="14"/>
  <c r="S47" i="14"/>
  <c r="R49" i="14"/>
  <c r="N49" i="14"/>
  <c r="S49" i="14"/>
  <c r="V34" i="14"/>
  <c r="Q36" i="14"/>
  <c r="N73" i="14"/>
  <c r="V20" i="14"/>
  <c r="V65" i="14"/>
  <c r="Q22" i="14"/>
  <c r="S20" i="14"/>
  <c r="S65" i="14"/>
  <c r="J17" i="17"/>
  <c r="P22" i="28"/>
  <c r="K22" i="14"/>
  <c r="P22" i="14"/>
  <c r="K22" i="39"/>
  <c r="P22" i="39"/>
  <c r="M22" i="28"/>
  <c r="I22" i="39"/>
  <c r="J22" i="28"/>
  <c r="J22" i="39"/>
  <c r="I22" i="14"/>
  <c r="I36" i="14"/>
  <c r="M36" i="28"/>
  <c r="I36" i="39"/>
  <c r="J36" i="28"/>
  <c r="Z26" i="46"/>
  <c r="F21" i="41"/>
  <c r="O62" i="14"/>
  <c r="O49" i="14"/>
  <c r="R36" i="14"/>
  <c r="V36" i="14"/>
  <c r="S36" i="14"/>
  <c r="R22" i="14"/>
  <c r="S22" i="14"/>
  <c r="V22" i="14"/>
  <c r="J22" i="14"/>
  <c r="M22" i="14"/>
  <c r="M22" i="39"/>
  <c r="J36" i="14"/>
  <c r="J36" i="39"/>
  <c r="M36" i="39"/>
  <c r="M36" i="14"/>
  <c r="AG44" i="37"/>
  <c r="AE46" i="37"/>
  <c r="L37" i="34"/>
  <c r="AE45" i="35"/>
  <c r="AE46" i="35"/>
  <c r="AE47" i="35"/>
  <c r="R32" i="46"/>
  <c r="J32" i="46"/>
  <c r="D81" i="51"/>
  <c r="E60" i="51"/>
  <c r="D111" i="51"/>
  <c r="AE11" i="46"/>
  <c r="H17" i="42"/>
  <c r="AE37" i="46"/>
  <c r="V32" i="46"/>
  <c r="J17" i="42"/>
  <c r="G44" i="2"/>
  <c r="J44" i="2"/>
  <c r="F145" i="42"/>
  <c r="F148" i="42"/>
  <c r="L14" i="2"/>
  <c r="C85" i="50"/>
  <c r="AE20" i="38"/>
  <c r="J20" i="38"/>
  <c r="H44" i="32"/>
  <c r="K44" i="32"/>
  <c r="I16" i="32"/>
  <c r="E34" i="2"/>
  <c r="H34" i="2"/>
  <c r="E25" i="31"/>
  <c r="K14" i="32"/>
  <c r="T21" i="45"/>
  <c r="F21" i="45"/>
  <c r="L21" i="45"/>
  <c r="J27" i="45"/>
  <c r="L28" i="45"/>
  <c r="AB28" i="45"/>
  <c r="P28" i="45"/>
  <c r="X28" i="45"/>
  <c r="T28" i="45"/>
  <c r="V28" i="45"/>
  <c r="K14" i="43"/>
  <c r="H17" i="43"/>
  <c r="AE14" i="45" s="1"/>
  <c r="H14" i="45" s="1"/>
  <c r="K30" i="43"/>
  <c r="K36" i="43"/>
  <c r="AB11" i="46"/>
  <c r="K31" i="43"/>
  <c r="M43" i="43"/>
  <c r="E35" i="43"/>
  <c r="I35" i="43" s="1"/>
  <c r="R11" i="46"/>
  <c r="E111" i="51"/>
  <c r="I36" i="42"/>
  <c r="H50" i="42"/>
  <c r="C59" i="51"/>
  <c r="L21" i="46"/>
  <c r="G37" i="43"/>
  <c r="N11" i="46"/>
  <c r="C88" i="51"/>
  <c r="K148" i="42"/>
  <c r="V13" i="45"/>
  <c r="Z13" i="45"/>
  <c r="X31" i="46"/>
  <c r="V31" i="46"/>
  <c r="AB31" i="46"/>
  <c r="T31" i="46"/>
  <c r="P31" i="46"/>
  <c r="AC31" i="46"/>
  <c r="AD31" i="46" s="1"/>
  <c r="AF31" i="46" s="1"/>
  <c r="H31" i="46"/>
  <c r="R31" i="46"/>
  <c r="N31" i="46"/>
  <c r="K25" i="42"/>
  <c r="V21" i="45"/>
  <c r="F26" i="46"/>
  <c r="AC30" i="45"/>
  <c r="AD30" i="45" s="1"/>
  <c r="AF30" i="45" s="1"/>
  <c r="AE12" i="46"/>
  <c r="Z12" i="46" s="1"/>
  <c r="AE20" i="45"/>
  <c r="R21" i="45"/>
  <c r="X30" i="45"/>
  <c r="E148" i="42"/>
  <c r="I148" i="42"/>
  <c r="AE28" i="46"/>
  <c r="J28" i="46" s="1"/>
  <c r="N21" i="45"/>
  <c r="L26" i="46"/>
  <c r="AB21" i="45"/>
  <c r="K140" i="42"/>
  <c r="J25" i="42"/>
  <c r="J26" i="46"/>
  <c r="R30" i="45"/>
  <c r="AE32" i="45"/>
  <c r="I23" i="42"/>
  <c r="H21" i="45"/>
  <c r="P30" i="45"/>
  <c r="H30" i="45"/>
  <c r="Z13" i="38"/>
  <c r="T13" i="38"/>
  <c r="H13" i="38"/>
  <c r="V13" i="38"/>
  <c r="J33" i="38"/>
  <c r="F131" i="42"/>
  <c r="Z33" i="38"/>
  <c r="J141" i="16"/>
  <c r="J146" i="16"/>
  <c r="V33" i="38"/>
  <c r="E31" i="2"/>
  <c r="H31" i="2"/>
  <c r="I44" i="2"/>
  <c r="L44" i="2"/>
  <c r="AE37" i="38"/>
  <c r="R37" i="38"/>
  <c r="G76" i="21"/>
  <c r="C118" i="50"/>
  <c r="D88" i="50"/>
  <c r="F107" i="42"/>
  <c r="AE32" i="37"/>
  <c r="H30" i="16"/>
  <c r="E30" i="2"/>
  <c r="H30" i="2"/>
  <c r="J149" i="16"/>
  <c r="C88" i="50"/>
  <c r="F32" i="43"/>
  <c r="F37" i="42"/>
  <c r="F31" i="37"/>
  <c r="R31" i="37"/>
  <c r="AE28" i="38"/>
  <c r="N28" i="38"/>
  <c r="F140" i="42"/>
  <c r="AE30" i="38"/>
  <c r="AB30" i="38"/>
  <c r="V37" i="38"/>
  <c r="L11" i="38"/>
  <c r="H11" i="38"/>
  <c r="I21" i="16"/>
  <c r="E10" i="2"/>
  <c r="V21" i="37"/>
  <c r="N21" i="37"/>
  <c r="J25" i="16"/>
  <c r="AC20" i="38"/>
  <c r="AD20" i="38"/>
  <c r="AF20" i="38"/>
  <c r="H20" i="38"/>
  <c r="I25" i="16"/>
  <c r="L141" i="16"/>
  <c r="V38" i="38"/>
  <c r="F44" i="2"/>
  <c r="F44" i="42"/>
  <c r="F43" i="43"/>
  <c r="F44" i="43" s="1"/>
  <c r="E60" i="50"/>
  <c r="F25" i="31"/>
  <c r="F149" i="31"/>
  <c r="C88" i="49"/>
  <c r="E23" i="2"/>
  <c r="H23" i="2"/>
  <c r="E44" i="42"/>
  <c r="I15" i="32"/>
  <c r="E42" i="2"/>
  <c r="H42" i="2"/>
  <c r="C85" i="49"/>
  <c r="H36" i="16"/>
  <c r="E44" i="16"/>
  <c r="K24" i="32"/>
  <c r="H12" i="35"/>
  <c r="P29" i="34"/>
  <c r="H32" i="16"/>
  <c r="B109" i="50"/>
  <c r="R12" i="35"/>
  <c r="AC12" i="35"/>
  <c r="AD12" i="35"/>
  <c r="AF12" i="35"/>
  <c r="V12" i="35"/>
  <c r="L12" i="35"/>
  <c r="AB12" i="35"/>
  <c r="Z12" i="35"/>
  <c r="J12" i="35"/>
  <c r="N12" i="35"/>
  <c r="X12" i="35"/>
  <c r="P12" i="35"/>
  <c r="L31" i="34"/>
  <c r="AE28" i="35"/>
  <c r="AE13" i="35"/>
  <c r="K16" i="32"/>
  <c r="E21" i="31"/>
  <c r="R33" i="34"/>
  <c r="N33" i="34"/>
  <c r="K146" i="31"/>
  <c r="H149" i="31"/>
  <c r="D88" i="49"/>
  <c r="D85" i="49"/>
  <c r="I34" i="42"/>
  <c r="B108" i="51"/>
  <c r="I31" i="42"/>
  <c r="E31" i="43"/>
  <c r="I31" i="43" s="1"/>
  <c r="B105" i="51"/>
  <c r="I43" i="42"/>
  <c r="H115" i="16"/>
  <c r="E25" i="16"/>
  <c r="H25" i="16"/>
  <c r="E85" i="49"/>
  <c r="E17" i="31"/>
  <c r="B104" i="50"/>
  <c r="AE11" i="34"/>
  <c r="T11" i="34"/>
  <c r="AE32" i="34"/>
  <c r="L32" i="34"/>
  <c r="AE27" i="35"/>
  <c r="X27" i="35"/>
  <c r="AE38" i="35"/>
  <c r="G146" i="31"/>
  <c r="H34" i="16"/>
  <c r="B109" i="51"/>
  <c r="H31" i="16"/>
  <c r="K15" i="32"/>
  <c r="AC37" i="46"/>
  <c r="R37" i="46"/>
  <c r="AB37" i="46"/>
  <c r="P37" i="46"/>
  <c r="V37" i="46"/>
  <c r="Z37" i="46"/>
  <c r="J37" i="46"/>
  <c r="L37" i="46"/>
  <c r="X37" i="46"/>
  <c r="AC11" i="46"/>
  <c r="AD11" i="46" s="1"/>
  <c r="AF11" i="46" s="1"/>
  <c r="L11" i="46"/>
  <c r="H11" i="46"/>
  <c r="X11" i="46"/>
  <c r="AB20" i="38"/>
  <c r="N20" i="38"/>
  <c r="Z20" i="38"/>
  <c r="X20" i="38"/>
  <c r="F20" i="38"/>
  <c r="V20" i="38"/>
  <c r="L20" i="38"/>
  <c r="P20" i="38"/>
  <c r="R20" i="38"/>
  <c r="T20" i="38"/>
  <c r="G25" i="31"/>
  <c r="F12" i="46"/>
  <c r="P12" i="46"/>
  <c r="X12" i="46"/>
  <c r="M25" i="42"/>
  <c r="H20" i="45"/>
  <c r="AB20" i="45"/>
  <c r="F32" i="45"/>
  <c r="H32" i="45"/>
  <c r="R32" i="45"/>
  <c r="X32" i="45"/>
  <c r="J32" i="45"/>
  <c r="AB32" i="45"/>
  <c r="L32" i="45"/>
  <c r="Z32" i="45"/>
  <c r="X37" i="38"/>
  <c r="L25" i="16"/>
  <c r="X32" i="37"/>
  <c r="Z32" i="37"/>
  <c r="AC32" i="37"/>
  <c r="AD32" i="37"/>
  <c r="AF32" i="37"/>
  <c r="V32" i="37"/>
  <c r="AB32" i="37"/>
  <c r="T32" i="37"/>
  <c r="J32" i="37"/>
  <c r="F32" i="37"/>
  <c r="R32" i="37"/>
  <c r="N32" i="37"/>
  <c r="L32" i="37"/>
  <c r="H32" i="37"/>
  <c r="P32" i="37"/>
  <c r="N30" i="38"/>
  <c r="AC30" i="38"/>
  <c r="AD30" i="38"/>
  <c r="AF30" i="38"/>
  <c r="V30" i="38"/>
  <c r="T30" i="38"/>
  <c r="J28" i="38"/>
  <c r="I44" i="42"/>
  <c r="E44" i="43"/>
  <c r="I44" i="43" s="1"/>
  <c r="H44" i="16"/>
  <c r="E44" i="2"/>
  <c r="H44" i="2"/>
  <c r="N27" i="35"/>
  <c r="F27" i="35"/>
  <c r="AB28" i="35"/>
  <c r="T28" i="35"/>
  <c r="X28" i="35"/>
  <c r="AC28" i="35"/>
  <c r="AD28" i="35"/>
  <c r="AF28" i="35"/>
  <c r="H28" i="35"/>
  <c r="N28" i="35"/>
  <c r="J28" i="35"/>
  <c r="L28" i="35"/>
  <c r="R28" i="35"/>
  <c r="Z28" i="35"/>
  <c r="F28" i="35"/>
  <c r="P28" i="35"/>
  <c r="V28" i="35"/>
  <c r="E21" i="32"/>
  <c r="Z38" i="35"/>
  <c r="AB38" i="35"/>
  <c r="R11" i="34"/>
  <c r="Z11" i="34"/>
  <c r="H11" i="34"/>
  <c r="L11" i="34"/>
  <c r="T13" i="35"/>
  <c r="AD37" i="46"/>
  <c r="AF37" i="46"/>
  <c r="A3" i="17"/>
  <c r="A5" i="9"/>
  <c r="A2" i="21"/>
  <c r="S49" i="28"/>
  <c r="R49" i="28"/>
  <c r="S47" i="28"/>
  <c r="O62" i="28"/>
  <c r="P62" i="28"/>
  <c r="S62" i="28"/>
  <c r="S60" i="28"/>
  <c r="P60" i="28"/>
  <c r="S65" i="28"/>
  <c r="K62" i="39"/>
  <c r="M62" i="28"/>
  <c r="L62" i="28"/>
  <c r="M60" i="28"/>
  <c r="K73" i="28"/>
  <c r="K75" i="28"/>
  <c r="L75" i="28"/>
  <c r="K75" i="39"/>
  <c r="G20" i="29"/>
  <c r="K75" i="14"/>
  <c r="K49" i="28"/>
  <c r="K47" i="14"/>
  <c r="P47" i="14"/>
  <c r="K73" i="39"/>
  <c r="K47" i="39"/>
  <c r="P47" i="39"/>
  <c r="K65" i="14"/>
  <c r="P65" i="14"/>
  <c r="P65" i="28"/>
  <c r="M65" i="28"/>
  <c r="M65" i="14"/>
  <c r="M47" i="28"/>
  <c r="K73" i="14"/>
  <c r="P73" i="14" s="1"/>
  <c r="L22" i="14"/>
  <c r="M62" i="14"/>
  <c r="M62" i="39"/>
  <c r="I62" i="39"/>
  <c r="J62" i="14"/>
  <c r="M49" i="28"/>
  <c r="D66" i="49"/>
  <c r="H13" i="32"/>
  <c r="B111" i="50"/>
  <c r="B106" i="51"/>
  <c r="H33" i="16"/>
  <c r="E33" i="2"/>
  <c r="E32" i="2"/>
  <c r="H32" i="2"/>
  <c r="E32" i="43"/>
  <c r="C81" i="49"/>
  <c r="E37" i="42"/>
  <c r="B99" i="51"/>
  <c r="T28" i="34"/>
  <c r="P28" i="34"/>
  <c r="N30" i="34"/>
  <c r="AB29" i="34"/>
  <c r="B100" i="51"/>
  <c r="I32" i="41"/>
  <c r="B94" i="51"/>
  <c r="L30" i="34"/>
  <c r="N29" i="34"/>
  <c r="E34" i="43"/>
  <c r="I34" i="43" s="1"/>
  <c r="I30" i="32"/>
  <c r="J30" i="34"/>
  <c r="R29" i="34"/>
  <c r="I34" i="41"/>
  <c r="E25" i="42"/>
  <c r="I25" i="42"/>
  <c r="E131" i="42"/>
  <c r="E132" i="16"/>
  <c r="E107" i="42"/>
  <c r="E21" i="17"/>
  <c r="H21" i="17"/>
  <c r="E21" i="41"/>
  <c r="I21" i="41" s="1"/>
  <c r="E25" i="17"/>
  <c r="E25" i="2"/>
  <c r="E25" i="41"/>
  <c r="F25" i="32"/>
  <c r="AE22" i="34"/>
  <c r="N11" i="34"/>
  <c r="F11" i="34"/>
  <c r="V11" i="34"/>
  <c r="X11" i="34"/>
  <c r="F13" i="32"/>
  <c r="L62" i="39"/>
  <c r="L62" i="14"/>
  <c r="M60" i="39"/>
  <c r="M60" i="14"/>
  <c r="M65" i="39"/>
  <c r="M47" i="14"/>
  <c r="M47" i="39"/>
  <c r="P49" i="28"/>
  <c r="L49" i="28"/>
  <c r="K49" i="39"/>
  <c r="K49" i="14"/>
  <c r="P49" i="14"/>
  <c r="L76" i="28"/>
  <c r="F111" i="31" s="1"/>
  <c r="L75" i="39"/>
  <c r="L75" i="14"/>
  <c r="G21" i="29"/>
  <c r="M49" i="39"/>
  <c r="M49" i="14"/>
  <c r="B111" i="51"/>
  <c r="I37" i="42"/>
  <c r="B81" i="51"/>
  <c r="F73" i="32"/>
  <c r="L76" i="39"/>
  <c r="C6" i="51"/>
  <c r="L76" i="14"/>
  <c r="C6" i="50"/>
  <c r="C6" i="49"/>
  <c r="L49" i="14"/>
  <c r="L49" i="39"/>
  <c r="G23" i="29"/>
  <c r="G26" i="29"/>
  <c r="C71" i="49"/>
  <c r="E73" i="2"/>
  <c r="B71" i="50"/>
  <c r="AE10" i="34"/>
  <c r="G76" i="29"/>
  <c r="B11" i="50"/>
  <c r="H13" i="17"/>
  <c r="E66" i="49"/>
  <c r="J13" i="32"/>
  <c r="E10" i="41"/>
  <c r="F10" i="41" s="1"/>
  <c r="H10" i="41" s="1"/>
  <c r="E10" i="42"/>
  <c r="F10" i="42"/>
  <c r="H10" i="42"/>
  <c r="E13" i="2"/>
  <c r="H13" i="2"/>
  <c r="E10" i="43"/>
  <c r="F10" i="43"/>
  <c r="H10" i="43"/>
  <c r="F10" i="31"/>
  <c r="F10" i="32"/>
  <c r="K13" i="30"/>
  <c r="E13" i="41"/>
  <c r="B11" i="51" s="1"/>
  <c r="I13" i="30"/>
  <c r="B66" i="50"/>
  <c r="H30" i="34"/>
  <c r="AC30" i="34"/>
  <c r="AD30" i="34"/>
  <c r="AF30" i="34"/>
  <c r="P30" i="34"/>
  <c r="X30" i="34"/>
  <c r="T30" i="34"/>
  <c r="Z30" i="34"/>
  <c r="B96" i="51"/>
  <c r="V30" i="34"/>
  <c r="R30" i="34"/>
  <c r="V28" i="34"/>
  <c r="AB28" i="34"/>
  <c r="L28" i="34"/>
  <c r="AC28" i="34"/>
  <c r="AD28" i="34"/>
  <c r="AF28" i="34"/>
  <c r="N28" i="34"/>
  <c r="H28" i="34"/>
  <c r="X28" i="34"/>
  <c r="R28" i="34"/>
  <c r="F28" i="34"/>
  <c r="Z28" i="34"/>
  <c r="J28" i="34"/>
  <c r="E110" i="42"/>
  <c r="E111" i="16"/>
  <c r="F20" i="31"/>
  <c r="E110" i="16"/>
  <c r="E109" i="42"/>
  <c r="F87" i="30"/>
  <c r="G87" i="30" s="1"/>
  <c r="I34" i="29"/>
  <c r="C118" i="49"/>
  <c r="V10" i="34"/>
  <c r="AC10" i="34"/>
  <c r="AD10" i="34"/>
  <c r="AF10" i="34"/>
  <c r="X10" i="34"/>
  <c r="F10" i="34"/>
  <c r="E13" i="43"/>
  <c r="I13" i="41"/>
  <c r="B66" i="51"/>
  <c r="J76" i="29"/>
  <c r="E118" i="49"/>
  <c r="E20" i="16"/>
  <c r="E20" i="2"/>
  <c r="F20" i="32"/>
  <c r="G20" i="32" s="1"/>
  <c r="E20" i="42"/>
  <c r="F19" i="30"/>
  <c r="G19" i="30" s="1"/>
  <c r="E87" i="41"/>
  <c r="AE17" i="34"/>
  <c r="F19" i="32"/>
  <c r="G19" i="32" s="1"/>
  <c r="E19" i="41"/>
  <c r="E19" i="17"/>
  <c r="F26" i="30"/>
  <c r="Z17" i="34"/>
  <c r="J17" i="34"/>
  <c r="E26" i="41"/>
  <c r="B77" i="51" s="1"/>
  <c r="C77" i="49"/>
  <c r="E26" i="17"/>
  <c r="F39" i="30"/>
  <c r="E39" i="41"/>
  <c r="E19" i="2"/>
  <c r="E19" i="43"/>
  <c r="B77" i="50"/>
  <c r="F46" i="30"/>
  <c r="E46" i="41"/>
  <c r="E39" i="17"/>
  <c r="E46" i="17"/>
  <c r="K132" i="31"/>
  <c r="J17" i="31"/>
  <c r="J17" i="32"/>
  <c r="K25" i="31"/>
  <c r="I25" i="31"/>
  <c r="I141" i="31"/>
  <c r="K141" i="31"/>
  <c r="K21" i="30"/>
  <c r="I21" i="30"/>
  <c r="E111" i="49"/>
  <c r="Z29" i="35"/>
  <c r="F29" i="35"/>
  <c r="R29" i="35"/>
  <c r="P29" i="35"/>
  <c r="H29" i="35"/>
  <c r="J29" i="35"/>
  <c r="AC29" i="35"/>
  <c r="AD29" i="35"/>
  <c r="V29" i="35"/>
  <c r="AC32" i="35"/>
  <c r="AD32" i="35"/>
  <c r="AF32" i="35"/>
  <c r="R32" i="35"/>
  <c r="Z32" i="35"/>
  <c r="F30" i="35"/>
  <c r="P30" i="35"/>
  <c r="Z30" i="35"/>
  <c r="X30" i="35"/>
  <c r="AC30" i="35"/>
  <c r="AD30" i="35"/>
  <c r="AF30" i="35"/>
  <c r="H30" i="35"/>
  <c r="N30" i="35"/>
  <c r="J30" i="35"/>
  <c r="L30" i="35"/>
  <c r="T27" i="35"/>
  <c r="AC27" i="35"/>
  <c r="AD27" i="35"/>
  <c r="AF27" i="35"/>
  <c r="Z27" i="35"/>
  <c r="V27" i="35"/>
  <c r="K33" i="32"/>
  <c r="K35" i="32"/>
  <c r="K32" i="32"/>
  <c r="I37" i="31"/>
  <c r="R27" i="35"/>
  <c r="AB27" i="35"/>
  <c r="J27" i="35"/>
  <c r="P27" i="35"/>
  <c r="I33" i="32"/>
  <c r="I32" i="32"/>
  <c r="K37" i="31"/>
  <c r="H27" i="35"/>
  <c r="L27" i="35"/>
  <c r="K31" i="32"/>
  <c r="AC31" i="35"/>
  <c r="AD31" i="35"/>
  <c r="AF31" i="35"/>
  <c r="N31" i="35"/>
  <c r="R31" i="35"/>
  <c r="H31" i="35"/>
  <c r="V31" i="35"/>
  <c r="Z31" i="35"/>
  <c r="X31" i="35"/>
  <c r="T31" i="35"/>
  <c r="F31" i="35"/>
  <c r="L31" i="35"/>
  <c r="P31" i="35"/>
  <c r="J31" i="35"/>
  <c r="AB31" i="35"/>
  <c r="V26" i="35"/>
  <c r="AB26" i="35"/>
  <c r="T26" i="35"/>
  <c r="AE34" i="35"/>
  <c r="AB34" i="35"/>
  <c r="H26" i="35"/>
  <c r="Z26" i="35"/>
  <c r="AC26" i="35"/>
  <c r="AD26" i="35"/>
  <c r="AF26" i="35"/>
  <c r="J26" i="35"/>
  <c r="R26" i="35"/>
  <c r="N26" i="35"/>
  <c r="X26" i="35"/>
  <c r="L26" i="35"/>
  <c r="P26" i="35"/>
  <c r="F26" i="35"/>
  <c r="I34" i="32"/>
  <c r="P32" i="35"/>
  <c r="H32" i="35"/>
  <c r="AB32" i="35"/>
  <c r="K29" i="32"/>
  <c r="I29" i="32"/>
  <c r="J32" i="35"/>
  <c r="V32" i="35"/>
  <c r="N32" i="35"/>
  <c r="F32" i="35"/>
  <c r="H37" i="32"/>
  <c r="T32" i="35"/>
  <c r="L32" i="35"/>
  <c r="AG45" i="34"/>
  <c r="AG43" i="34"/>
  <c r="AE43" i="34"/>
  <c r="N10" i="34"/>
  <c r="T10" i="34"/>
  <c r="L10" i="34"/>
  <c r="Z10" i="34"/>
  <c r="H10" i="34"/>
  <c r="J10" i="34"/>
  <c r="H17" i="34"/>
  <c r="R17" i="34"/>
  <c r="AC17" i="34"/>
  <c r="AD17" i="34"/>
  <c r="AF17" i="34"/>
  <c r="F17" i="34"/>
  <c r="L17" i="34"/>
  <c r="P10" i="34"/>
  <c r="AB10" i="34"/>
  <c r="T17" i="34"/>
  <c r="N17" i="34"/>
  <c r="R10" i="34"/>
  <c r="Z22" i="34"/>
  <c r="R22" i="34"/>
  <c r="X22" i="34"/>
  <c r="AC22" i="34"/>
  <c r="AD22" i="34"/>
  <c r="AF22" i="34"/>
  <c r="H22" i="34"/>
  <c r="J11" i="34"/>
  <c r="AC11" i="34"/>
  <c r="AD11" i="34"/>
  <c r="AF11" i="34"/>
  <c r="AC27" i="34"/>
  <c r="AD27" i="34"/>
  <c r="L27" i="34"/>
  <c r="AC29" i="34"/>
  <c r="AD29" i="34"/>
  <c r="AF29" i="34"/>
  <c r="AB30" i="34"/>
  <c r="AB11" i="34"/>
  <c r="X13" i="34"/>
  <c r="X21" i="34"/>
  <c r="P33" i="34"/>
  <c r="Z33" i="34"/>
  <c r="AC33" i="34"/>
  <c r="X12" i="34"/>
  <c r="H12" i="34"/>
  <c r="Z12" i="34"/>
  <c r="V12" i="34"/>
  <c r="H33" i="34"/>
  <c r="G58" i="34"/>
  <c r="K58" i="34"/>
  <c r="I117" i="30"/>
  <c r="K117" i="30"/>
  <c r="J25" i="30"/>
  <c r="J25" i="32"/>
  <c r="K25" i="30"/>
  <c r="I25" i="30"/>
  <c r="H25" i="32"/>
  <c r="AE22" i="35"/>
  <c r="E26" i="30"/>
  <c r="G26" i="30"/>
  <c r="E25" i="32"/>
  <c r="G25" i="32"/>
  <c r="G25" i="30"/>
  <c r="B77" i="49"/>
  <c r="G49" i="31"/>
  <c r="K30" i="32"/>
  <c r="AE44" i="35"/>
  <c r="AE48" i="35" s="1"/>
  <c r="AB22" i="35"/>
  <c r="P13" i="35"/>
  <c r="V13" i="35"/>
  <c r="H13" i="35"/>
  <c r="J13" i="35"/>
  <c r="AB13" i="35"/>
  <c r="L13" i="35"/>
  <c r="N13" i="35"/>
  <c r="F13" i="35"/>
  <c r="X13" i="35"/>
  <c r="I25" i="32"/>
  <c r="F34" i="35"/>
  <c r="AE16" i="34"/>
  <c r="I13" i="32"/>
  <c r="H76" i="29"/>
  <c r="K13" i="32"/>
  <c r="AE10" i="35"/>
  <c r="Z13" i="35"/>
  <c r="L38" i="35"/>
  <c r="X38" i="35"/>
  <c r="V38" i="35"/>
  <c r="H38" i="35"/>
  <c r="T38" i="35"/>
  <c r="P38" i="35"/>
  <c r="AC38" i="35"/>
  <c r="AD38" i="35"/>
  <c r="J38" i="35"/>
  <c r="F38" i="35"/>
  <c r="R38" i="35"/>
  <c r="J37" i="34"/>
  <c r="X33" i="34"/>
  <c r="V33" i="34"/>
  <c r="L33" i="34"/>
  <c r="T33" i="34"/>
  <c r="F33" i="34"/>
  <c r="J33" i="34"/>
  <c r="AB33" i="34"/>
  <c r="AE20" i="34"/>
  <c r="G23" i="32"/>
  <c r="I23" i="32"/>
  <c r="H135" i="16"/>
  <c r="E141" i="16"/>
  <c r="H141" i="16"/>
  <c r="F37" i="34"/>
  <c r="V37" i="34"/>
  <c r="T37" i="34"/>
  <c r="X37" i="34"/>
  <c r="H37" i="34"/>
  <c r="R37" i="34"/>
  <c r="Z37" i="34"/>
  <c r="P37" i="34"/>
  <c r="K25" i="32"/>
  <c r="N37" i="34"/>
  <c r="J34" i="35"/>
  <c r="X17" i="34"/>
  <c r="AB17" i="34"/>
  <c r="V17" i="34"/>
  <c r="AC13" i="35"/>
  <c r="AD13" i="35"/>
  <c r="AF13" i="35"/>
  <c r="AC37" i="34"/>
  <c r="E42" i="43"/>
  <c r="I42" i="43" s="1"/>
  <c r="I42" i="42"/>
  <c r="E30" i="43"/>
  <c r="I30" i="43" s="1"/>
  <c r="B104" i="51"/>
  <c r="I30" i="42"/>
  <c r="H88" i="16"/>
  <c r="E108" i="16"/>
  <c r="B110" i="50"/>
  <c r="E36" i="2"/>
  <c r="H36" i="2"/>
  <c r="Z31" i="34"/>
  <c r="J31" i="34"/>
  <c r="N31" i="34"/>
  <c r="J29" i="34"/>
  <c r="V29" i="34"/>
  <c r="F29" i="34"/>
  <c r="X29" i="34"/>
  <c r="Z29" i="34"/>
  <c r="T29" i="34"/>
  <c r="H29" i="34"/>
  <c r="L29" i="34"/>
  <c r="AE26" i="34"/>
  <c r="F37" i="32"/>
  <c r="I37" i="32"/>
  <c r="N21" i="35"/>
  <c r="AC21" i="35"/>
  <c r="AD21" i="35"/>
  <c r="AF21" i="35"/>
  <c r="P21" i="35"/>
  <c r="V34" i="35"/>
  <c r="P17" i="34"/>
  <c r="E20" i="43"/>
  <c r="R13" i="35"/>
  <c r="N38" i="35"/>
  <c r="V32" i="34"/>
  <c r="R32" i="34"/>
  <c r="G13" i="32"/>
  <c r="E140" i="42"/>
  <c r="AE38" i="34"/>
  <c r="AE39" i="34"/>
  <c r="J37" i="32"/>
  <c r="K37" i="32"/>
  <c r="E25" i="43"/>
  <c r="I14" i="32"/>
  <c r="AF29" i="35"/>
  <c r="AF27" i="34"/>
  <c r="P34" i="35"/>
  <c r="L34" i="35"/>
  <c r="Z34" i="35"/>
  <c r="P27" i="34"/>
  <c r="H27" i="34"/>
  <c r="J27" i="34"/>
  <c r="V27" i="34"/>
  <c r="F27" i="34"/>
  <c r="T27" i="34"/>
  <c r="X27" i="34"/>
  <c r="Z27" i="34"/>
  <c r="AB27" i="34"/>
  <c r="R27" i="34"/>
  <c r="N27" i="34"/>
  <c r="Z33" i="35"/>
  <c r="R33" i="35"/>
  <c r="L33" i="35"/>
  <c r="H33" i="35"/>
  <c r="F33" i="35"/>
  <c r="AB33" i="35"/>
  <c r="AC33" i="35"/>
  <c r="V33" i="35"/>
  <c r="N33" i="35"/>
  <c r="T33" i="35"/>
  <c r="X33" i="35"/>
  <c r="P33" i="35"/>
  <c r="J33" i="35"/>
  <c r="R30" i="35"/>
  <c r="T30" i="35"/>
  <c r="V30" i="35"/>
  <c r="AB30" i="35"/>
  <c r="H34" i="35"/>
  <c r="R34" i="35"/>
  <c r="T34" i="35"/>
  <c r="J21" i="34"/>
  <c r="V21" i="34"/>
  <c r="AC21" i="34"/>
  <c r="AD21" i="34"/>
  <c r="AF21" i="34"/>
  <c r="AC20" i="35"/>
  <c r="AD20" i="35"/>
  <c r="T20" i="35"/>
  <c r="AB20" i="35"/>
  <c r="N20" i="35"/>
  <c r="V20" i="35"/>
  <c r="R20" i="35"/>
  <c r="Z20" i="35"/>
  <c r="H20" i="35"/>
  <c r="AF20" i="35"/>
  <c r="J20" i="35"/>
  <c r="X20" i="35"/>
  <c r="P20" i="35"/>
  <c r="F20" i="35"/>
  <c r="L20" i="35"/>
  <c r="T13" i="34"/>
  <c r="H13" i="34"/>
  <c r="V13" i="34"/>
  <c r="J13" i="34"/>
  <c r="AB13" i="34"/>
  <c r="L13" i="34"/>
  <c r="AC13" i="34"/>
  <c r="AD13" i="34"/>
  <c r="AF13" i="34"/>
  <c r="N13" i="34"/>
  <c r="R13" i="34"/>
  <c r="P13" i="34"/>
  <c r="Z13" i="34"/>
  <c r="F13" i="34"/>
  <c r="T11" i="35"/>
  <c r="H11" i="35"/>
  <c r="P11" i="35"/>
  <c r="V11" i="35"/>
  <c r="R11" i="35"/>
  <c r="AB11" i="35"/>
  <c r="AC11" i="35"/>
  <c r="AD11" i="35"/>
  <c r="AF11" i="35"/>
  <c r="Z11" i="35"/>
  <c r="J11" i="35"/>
  <c r="L11" i="35"/>
  <c r="X11" i="35"/>
  <c r="F11" i="35"/>
  <c r="N11" i="35"/>
  <c r="X34" i="35"/>
  <c r="N34" i="35"/>
  <c r="V22" i="34"/>
  <c r="P22" i="34"/>
  <c r="T22" i="34"/>
  <c r="L22" i="34"/>
  <c r="F22" i="34"/>
  <c r="J22" i="34"/>
  <c r="N22" i="34"/>
  <c r="AB22" i="34"/>
  <c r="F37" i="35"/>
  <c r="H37" i="35"/>
  <c r="AC37" i="35"/>
  <c r="T37" i="35"/>
  <c r="P37" i="35"/>
  <c r="R37" i="35"/>
  <c r="L37" i="35"/>
  <c r="AB37" i="35"/>
  <c r="N37" i="35"/>
  <c r="AE39" i="35"/>
  <c r="X37" i="35"/>
  <c r="Z37" i="35"/>
  <c r="V37" i="35"/>
  <c r="J37" i="35"/>
  <c r="T29" i="35"/>
  <c r="AB29" i="35"/>
  <c r="X29" i="35"/>
  <c r="L29" i="35"/>
  <c r="N29" i="35"/>
  <c r="R12" i="34"/>
  <c r="F12" i="34"/>
  <c r="T12" i="34"/>
  <c r="J12" i="34"/>
  <c r="AB12" i="34"/>
  <c r="N12" i="34"/>
  <c r="AC12" i="34"/>
  <c r="AD12" i="34"/>
  <c r="P12" i="34"/>
  <c r="L12" i="34"/>
  <c r="P11" i="34"/>
  <c r="K34" i="32"/>
  <c r="H17" i="31"/>
  <c r="H17" i="32"/>
  <c r="K17" i="32"/>
  <c r="K108" i="31"/>
  <c r="F39" i="34"/>
  <c r="T39" i="34"/>
  <c r="V39" i="34"/>
  <c r="R39" i="34"/>
  <c r="J39" i="34"/>
  <c r="X39" i="34"/>
  <c r="N39" i="34"/>
  <c r="Z39" i="34"/>
  <c r="H39" i="34"/>
  <c r="L39" i="34"/>
  <c r="P39" i="34"/>
  <c r="AB39" i="34"/>
  <c r="V20" i="34"/>
  <c r="P20" i="34"/>
  <c r="J20" i="34"/>
  <c r="T20" i="34"/>
  <c r="H20" i="34"/>
  <c r="X20" i="34"/>
  <c r="F20" i="34"/>
  <c r="Z20" i="34"/>
  <c r="N20" i="34"/>
  <c r="AC20" i="34"/>
  <c r="AD20" i="34"/>
  <c r="AF20" i="34" s="1"/>
  <c r="AB20" i="34"/>
  <c r="R20" i="34"/>
  <c r="L20" i="34"/>
  <c r="V26" i="34"/>
  <c r="F26" i="34"/>
  <c r="J26" i="34"/>
  <c r="AB26" i="34"/>
  <c r="L26" i="34"/>
  <c r="N26" i="34"/>
  <c r="AC26" i="34"/>
  <c r="T26" i="34"/>
  <c r="X26" i="34"/>
  <c r="P26" i="34"/>
  <c r="H26" i="34"/>
  <c r="Z26" i="34"/>
  <c r="R26" i="34"/>
  <c r="N10" i="35"/>
  <c r="P10" i="35"/>
  <c r="J10" i="35"/>
  <c r="AB10" i="35"/>
  <c r="L10" i="35"/>
  <c r="R10" i="35"/>
  <c r="H10" i="35"/>
  <c r="F10" i="35"/>
  <c r="V10" i="35"/>
  <c r="Z10" i="35"/>
  <c r="X10" i="35"/>
  <c r="T10" i="35"/>
  <c r="AC10" i="35"/>
  <c r="AD10" i="35"/>
  <c r="AF10" i="35"/>
  <c r="AC16" i="34"/>
  <c r="AD16" i="34"/>
  <c r="Z16" i="34"/>
  <c r="N16" i="34"/>
  <c r="P16" i="34"/>
  <c r="V16" i="34"/>
  <c r="L16" i="34"/>
  <c r="F16" i="34"/>
  <c r="T16" i="34"/>
  <c r="X16" i="34"/>
  <c r="J16" i="34"/>
  <c r="AB16" i="34"/>
  <c r="R16" i="34"/>
  <c r="H16" i="34"/>
  <c r="F38" i="34"/>
  <c r="AC38" i="34"/>
  <c r="AD38" i="34"/>
  <c r="T38" i="34"/>
  <c r="P38" i="34"/>
  <c r="J38" i="34"/>
  <c r="AB38" i="34"/>
  <c r="L38" i="34"/>
  <c r="Z38" i="34"/>
  <c r="X38" i="34"/>
  <c r="H38" i="34"/>
  <c r="R38" i="34"/>
  <c r="N38" i="34"/>
  <c r="V38" i="34"/>
  <c r="AC39" i="34"/>
  <c r="AD37" i="34"/>
  <c r="AF37" i="34"/>
  <c r="I76" i="29"/>
  <c r="D118" i="49"/>
  <c r="K76" i="29"/>
  <c r="AC39" i="35"/>
  <c r="AD37" i="35"/>
  <c r="AD33" i="35"/>
  <c r="AF33" i="35"/>
  <c r="AF34" i="35"/>
  <c r="AC34" i="35"/>
  <c r="AF12" i="34"/>
  <c r="J39" i="35"/>
  <c r="N39" i="35"/>
  <c r="P39" i="35"/>
  <c r="V39" i="35"/>
  <c r="X39" i="35"/>
  <c r="R39" i="35"/>
  <c r="T39" i="35"/>
  <c r="F39" i="35"/>
  <c r="H39" i="35"/>
  <c r="AB39" i="35"/>
  <c r="Z39" i="35"/>
  <c r="L39" i="35"/>
  <c r="K17" i="31"/>
  <c r="AE14" i="35"/>
  <c r="AC14" i="35"/>
  <c r="AD26" i="34"/>
  <c r="J14" i="35"/>
  <c r="AD34" i="35"/>
  <c r="AF37" i="35"/>
  <c r="F14" i="35"/>
  <c r="L14" i="35"/>
  <c r="R14" i="35"/>
  <c r="AB14" i="35"/>
  <c r="X14" i="35"/>
  <c r="P14" i="35"/>
  <c r="Z14" i="35"/>
  <c r="H14" i="35"/>
  <c r="N14" i="35"/>
  <c r="V14" i="35"/>
  <c r="T14" i="35"/>
  <c r="AD14" i="35"/>
  <c r="AF26" i="34"/>
  <c r="AF14" i="35"/>
  <c r="AC22" i="35"/>
  <c r="AD22" i="35"/>
  <c r="Y23" i="35"/>
  <c r="Y58" i="35"/>
  <c r="E23" i="35"/>
  <c r="E58" i="35"/>
  <c r="U23" i="35"/>
  <c r="U58" i="35"/>
  <c r="O23" i="35"/>
  <c r="O58" i="35"/>
  <c r="G23" i="35"/>
  <c r="G58" i="35"/>
  <c r="W23" i="35"/>
  <c r="W58" i="35"/>
  <c r="R22" i="35"/>
  <c r="J22" i="35"/>
  <c r="M23" i="35"/>
  <c r="M58" i="35"/>
  <c r="F22" i="35"/>
  <c r="X22" i="35"/>
  <c r="P22" i="35"/>
  <c r="S23" i="35"/>
  <c r="S58" i="35"/>
  <c r="K23" i="35"/>
  <c r="K58" i="35"/>
  <c r="V22" i="35"/>
  <c r="N22" i="35"/>
  <c r="Q23" i="35"/>
  <c r="Q58" i="35"/>
  <c r="I23" i="35"/>
  <c r="I58" i="35"/>
  <c r="H22" i="35"/>
  <c r="Z22" i="35"/>
  <c r="L22" i="35"/>
  <c r="T22" i="35"/>
  <c r="AF22" i="35"/>
  <c r="I108" i="31"/>
  <c r="E149" i="31"/>
  <c r="B85" i="49"/>
  <c r="X32" i="34"/>
  <c r="H32" i="34"/>
  <c r="AC32" i="34"/>
  <c r="B78" i="50"/>
  <c r="E37" i="43"/>
  <c r="N32" i="34"/>
  <c r="T32" i="34"/>
  <c r="F32" i="34"/>
  <c r="AB32" i="34"/>
  <c r="F80" i="32"/>
  <c r="B100" i="50"/>
  <c r="P32" i="34"/>
  <c r="Z32" i="34"/>
  <c r="J32" i="34"/>
  <c r="AF16" i="34"/>
  <c r="E149" i="16"/>
  <c r="H149" i="16"/>
  <c r="B88" i="49"/>
  <c r="AD32" i="34"/>
  <c r="AF32" i="34"/>
  <c r="C75" i="49"/>
  <c r="E80" i="43"/>
  <c r="B75" i="51"/>
  <c r="E80" i="2"/>
  <c r="B75" i="50"/>
  <c r="E54" i="32"/>
  <c r="G54" i="32"/>
  <c r="B63" i="49"/>
  <c r="G36" i="32"/>
  <c r="E33" i="32"/>
  <c r="G33" i="32"/>
  <c r="B93" i="49"/>
  <c r="E30" i="32"/>
  <c r="G30" i="32"/>
  <c r="J21" i="32"/>
  <c r="K21" i="31"/>
  <c r="H21" i="32"/>
  <c r="F21" i="32"/>
  <c r="E21" i="16"/>
  <c r="I21" i="31"/>
  <c r="E21" i="42"/>
  <c r="G21" i="31"/>
  <c r="I132" i="31"/>
  <c r="G132" i="31"/>
  <c r="E26" i="31"/>
  <c r="B80" i="49"/>
  <c r="J21" i="35"/>
  <c r="V21" i="35"/>
  <c r="T21" i="35"/>
  <c r="H21" i="35"/>
  <c r="AB21" i="35"/>
  <c r="R21" i="35"/>
  <c r="L21" i="35"/>
  <c r="X21" i="35"/>
  <c r="F21" i="35"/>
  <c r="I146" i="31"/>
  <c r="H21" i="34"/>
  <c r="F21" i="34"/>
  <c r="N21" i="34"/>
  <c r="Z21" i="34"/>
  <c r="P21" i="34"/>
  <c r="T21" i="34"/>
  <c r="L21" i="34"/>
  <c r="AB21" i="34"/>
  <c r="E17" i="42"/>
  <c r="F26" i="31"/>
  <c r="I17" i="31"/>
  <c r="F17" i="32"/>
  <c r="E17" i="16"/>
  <c r="E17" i="32"/>
  <c r="G17" i="31"/>
  <c r="G31" i="32"/>
  <c r="G31" i="30"/>
  <c r="B94" i="49"/>
  <c r="E37" i="30"/>
  <c r="B78" i="49"/>
  <c r="E26" i="32"/>
  <c r="G21" i="32"/>
  <c r="AD39" i="35"/>
  <c r="AF38" i="35"/>
  <c r="AF39" i="35"/>
  <c r="AF38" i="34"/>
  <c r="AF39" i="34"/>
  <c r="AD39" i="34"/>
  <c r="AE34" i="34"/>
  <c r="R31" i="34"/>
  <c r="B81" i="50"/>
  <c r="F31" i="34"/>
  <c r="P31" i="34"/>
  <c r="T31" i="34"/>
  <c r="AB31" i="34"/>
  <c r="G34" i="32"/>
  <c r="AC31" i="34"/>
  <c r="V31" i="34"/>
  <c r="H31" i="34"/>
  <c r="G37" i="31"/>
  <c r="H35" i="2"/>
  <c r="H35" i="16"/>
  <c r="B111" i="49"/>
  <c r="E39" i="31"/>
  <c r="B81" i="49"/>
  <c r="E37" i="32"/>
  <c r="G37" i="32"/>
  <c r="AE18" i="35"/>
  <c r="K21" i="32"/>
  <c r="G26" i="31"/>
  <c r="E21" i="43"/>
  <c r="I21" i="32"/>
  <c r="AE18" i="34"/>
  <c r="B100" i="49"/>
  <c r="G37" i="30"/>
  <c r="G17" i="32"/>
  <c r="E26" i="42"/>
  <c r="F39" i="31"/>
  <c r="G39" i="31"/>
  <c r="C80" i="49"/>
  <c r="E26" i="16"/>
  <c r="I17" i="32"/>
  <c r="F26" i="32"/>
  <c r="AE14" i="34"/>
  <c r="E17" i="2"/>
  <c r="I17" i="42"/>
  <c r="E17" i="43"/>
  <c r="E39" i="32"/>
  <c r="E46" i="32"/>
  <c r="E39" i="30"/>
  <c r="L34" i="34"/>
  <c r="T34" i="34"/>
  <c r="H34" i="34"/>
  <c r="N34" i="34"/>
  <c r="P34" i="34"/>
  <c r="AB34" i="34"/>
  <c r="V34" i="34"/>
  <c r="F34" i="34"/>
  <c r="X34" i="34"/>
  <c r="AD31" i="34"/>
  <c r="E46" i="31"/>
  <c r="N18" i="35"/>
  <c r="J18" i="35"/>
  <c r="T18" i="35"/>
  <c r="P18" i="35"/>
  <c r="H18" i="35"/>
  <c r="X18" i="35"/>
  <c r="AB18" i="35"/>
  <c r="F18" i="35"/>
  <c r="AC18" i="35"/>
  <c r="Z18" i="35"/>
  <c r="L18" i="35"/>
  <c r="V18" i="35"/>
  <c r="R18" i="35"/>
  <c r="R18" i="34"/>
  <c r="J18" i="34"/>
  <c r="N18" i="34"/>
  <c r="V18" i="34"/>
  <c r="F18" i="34"/>
  <c r="AB18" i="34"/>
  <c r="H18" i="34"/>
  <c r="T18" i="34"/>
  <c r="AC18" i="34"/>
  <c r="AD18" i="34"/>
  <c r="L18" i="34"/>
  <c r="X18" i="34"/>
  <c r="P18" i="34"/>
  <c r="Z18" i="34"/>
  <c r="F39" i="32"/>
  <c r="G26" i="32"/>
  <c r="B80" i="50"/>
  <c r="B80" i="51"/>
  <c r="E39" i="42"/>
  <c r="I39" i="42"/>
  <c r="F46" i="31"/>
  <c r="G46" i="31"/>
  <c r="E39" i="16"/>
  <c r="H39" i="16"/>
  <c r="I39" i="31"/>
  <c r="P14" i="34"/>
  <c r="F14" i="34"/>
  <c r="Z14" i="34"/>
  <c r="L14" i="34"/>
  <c r="X14" i="34"/>
  <c r="T14" i="34"/>
  <c r="N14" i="34"/>
  <c r="R14" i="34"/>
  <c r="AE23" i="34"/>
  <c r="R23" i="34" s="1"/>
  <c r="H14" i="34"/>
  <c r="AB14" i="34"/>
  <c r="V14" i="34"/>
  <c r="J14" i="34"/>
  <c r="AC14" i="34"/>
  <c r="AD14" i="34"/>
  <c r="AF14" i="34"/>
  <c r="G39" i="30"/>
  <c r="E46" i="30"/>
  <c r="AF31" i="34"/>
  <c r="E55" i="31"/>
  <c r="F46" i="32"/>
  <c r="G39" i="32"/>
  <c r="J23" i="34"/>
  <c r="Z23" i="34"/>
  <c r="P23" i="34"/>
  <c r="T23" i="34"/>
  <c r="AB23" i="34"/>
  <c r="L23" i="34"/>
  <c r="V23" i="34"/>
  <c r="H23" i="34"/>
  <c r="N23" i="34"/>
  <c r="X23" i="34"/>
  <c r="F23" i="34"/>
  <c r="I46" i="31"/>
  <c r="E46" i="42"/>
  <c r="I46" i="42"/>
  <c r="E46" i="16"/>
  <c r="H46" i="16"/>
  <c r="E80" i="32"/>
  <c r="B75" i="49"/>
  <c r="E55" i="30"/>
  <c r="E55" i="32"/>
  <c r="G46" i="30"/>
  <c r="F49" i="31"/>
  <c r="E63" i="31"/>
  <c r="B64" i="49"/>
  <c r="G46" i="32"/>
  <c r="E70" i="30"/>
  <c r="B45" i="49"/>
  <c r="F49" i="30"/>
  <c r="F49" i="32"/>
  <c r="G49" i="32"/>
  <c r="E63" i="32"/>
  <c r="E84" i="31"/>
  <c r="E49" i="42"/>
  <c r="F55" i="31"/>
  <c r="C58" i="49"/>
  <c r="C60" i="49"/>
  <c r="E49" i="16"/>
  <c r="E49" i="17"/>
  <c r="F49" i="17"/>
  <c r="G49" i="30"/>
  <c r="F55" i="30"/>
  <c r="E49" i="41"/>
  <c r="B39" i="51" s="1"/>
  <c r="C39" i="49"/>
  <c r="C41" i="49"/>
  <c r="B55" i="49"/>
  <c r="E70" i="32"/>
  <c r="E71" i="32"/>
  <c r="E81" i="32"/>
  <c r="G55" i="31"/>
  <c r="H49" i="31"/>
  <c r="I49" i="31"/>
  <c r="E55" i="42"/>
  <c r="E55" i="16"/>
  <c r="C64" i="49"/>
  <c r="F63" i="31"/>
  <c r="G63" i="31"/>
  <c r="B58" i="51"/>
  <c r="B60" i="51"/>
  <c r="F49" i="42"/>
  <c r="G49" i="42"/>
  <c r="H49" i="42"/>
  <c r="B58" i="50"/>
  <c r="B60" i="50"/>
  <c r="F49" i="16"/>
  <c r="F51" i="16" s="1"/>
  <c r="G49" i="16"/>
  <c r="B73" i="49"/>
  <c r="H49" i="30"/>
  <c r="C45" i="49"/>
  <c r="E55" i="41"/>
  <c r="E55" i="43" s="1"/>
  <c r="E55" i="17"/>
  <c r="G55" i="30"/>
  <c r="F70" i="30"/>
  <c r="F55" i="32"/>
  <c r="H49" i="41"/>
  <c r="C39" i="51" s="1"/>
  <c r="G49" i="41"/>
  <c r="G49" i="43" s="1"/>
  <c r="C58" i="50"/>
  <c r="C60" i="50"/>
  <c r="G51" i="16"/>
  <c r="G54" i="16"/>
  <c r="E63" i="16"/>
  <c r="B64" i="50"/>
  <c r="B64" i="51"/>
  <c r="E63" i="42"/>
  <c r="C58" i="51"/>
  <c r="C60" i="51" s="1"/>
  <c r="F84" i="31"/>
  <c r="F63" i="32"/>
  <c r="G63" i="32"/>
  <c r="D58" i="49"/>
  <c r="D60" i="49"/>
  <c r="I55" i="31"/>
  <c r="B74" i="49"/>
  <c r="E82" i="32"/>
  <c r="H49" i="32"/>
  <c r="I49" i="32"/>
  <c r="D39" i="49"/>
  <c r="D41" i="49"/>
  <c r="I49" i="30"/>
  <c r="E55" i="2"/>
  <c r="B45" i="50"/>
  <c r="E70" i="17"/>
  <c r="E70" i="2"/>
  <c r="B45" i="51"/>
  <c r="AC62" i="34"/>
  <c r="G55" i="32"/>
  <c r="C55" i="49"/>
  <c r="F70" i="32"/>
  <c r="G70" i="30"/>
  <c r="I63" i="31"/>
  <c r="I55" i="42"/>
  <c r="E63" i="2"/>
  <c r="H63" i="2"/>
  <c r="E84" i="16"/>
  <c r="E94" i="42"/>
  <c r="E63" i="43"/>
  <c r="H55" i="16"/>
  <c r="B55" i="50"/>
  <c r="F71" i="32"/>
  <c r="G70" i="32"/>
  <c r="K49" i="31"/>
  <c r="H63" i="16"/>
  <c r="I63" i="42"/>
  <c r="I63" i="32"/>
  <c r="F81" i="32"/>
  <c r="F75" i="32"/>
  <c r="C73" i="49"/>
  <c r="E75" i="43"/>
  <c r="E75" i="2"/>
  <c r="E81" i="2"/>
  <c r="B74" i="50"/>
  <c r="C74" i="49"/>
  <c r="F82" i="32"/>
  <c r="E81" i="43"/>
  <c r="B74" i="51"/>
  <c r="I63" i="43"/>
  <c r="E82" i="43"/>
  <c r="E82" i="2"/>
  <c r="AE44" i="34"/>
  <c r="M58" i="34"/>
  <c r="AG46" i="34"/>
  <c r="E58" i="34"/>
  <c r="E60" i="34"/>
  <c r="G6" i="34"/>
  <c r="AD56" i="34"/>
  <c r="AA58" i="34"/>
  <c r="AE48" i="34"/>
  <c r="AG47" i="34"/>
  <c r="AD48" i="34"/>
  <c r="AD18" i="35"/>
  <c r="AF18" i="35"/>
  <c r="C137" i="49"/>
  <c r="AC23" i="34"/>
  <c r="AC34" i="34"/>
  <c r="AC58" i="34" s="1"/>
  <c r="Y58" i="34"/>
  <c r="AD33" i="34"/>
  <c r="AF33" i="34"/>
  <c r="AF34" i="34"/>
  <c r="R34" i="34"/>
  <c r="I58" i="34"/>
  <c r="G60" i="34"/>
  <c r="C138" i="49"/>
  <c r="I6" i="34"/>
  <c r="I60" i="34"/>
  <c r="AD34" i="34"/>
  <c r="C139" i="49"/>
  <c r="K6" i="34"/>
  <c r="K60" i="34"/>
  <c r="C140" i="49"/>
  <c r="M6" i="34"/>
  <c r="M60" i="34" s="1"/>
  <c r="U58" i="34"/>
  <c r="AD23" i="34"/>
  <c r="AD58" i="34"/>
  <c r="AF18" i="34"/>
  <c r="AF23" i="34"/>
  <c r="Q58" i="34"/>
  <c r="AD48" i="35"/>
  <c r="AG43" i="35"/>
  <c r="O6" i="34"/>
  <c r="O60" i="34"/>
  <c r="C142" i="49"/>
  <c r="C141" i="49"/>
  <c r="Q6" i="34"/>
  <c r="Q60" i="34"/>
  <c r="S6" i="34"/>
  <c r="C143" i="49"/>
  <c r="V62" i="14"/>
  <c r="S62" i="14"/>
  <c r="N75" i="14"/>
  <c r="O75" i="14" s="1"/>
  <c r="O76" i="14" s="1"/>
  <c r="G21" i="21"/>
  <c r="J132" i="16"/>
  <c r="H132" i="16"/>
  <c r="G51" i="41"/>
  <c r="J24" i="2"/>
  <c r="H24" i="2"/>
  <c r="F20" i="37"/>
  <c r="J20" i="37"/>
  <c r="AC20" i="37"/>
  <c r="AD20" i="37"/>
  <c r="AF20" i="37"/>
  <c r="N20" i="37"/>
  <c r="L20" i="37"/>
  <c r="H20" i="37"/>
  <c r="R20" i="37"/>
  <c r="T20" i="37"/>
  <c r="V20" i="37"/>
  <c r="AB20" i="37"/>
  <c r="Z20" i="37"/>
  <c r="P20" i="37"/>
  <c r="X20" i="37"/>
  <c r="H33" i="2"/>
  <c r="N11" i="38"/>
  <c r="T11" i="38"/>
  <c r="X11" i="38"/>
  <c r="Z11" i="38"/>
  <c r="R11" i="38"/>
  <c r="P11" i="38"/>
  <c r="AC11" i="38"/>
  <c r="AD11" i="38"/>
  <c r="AF11" i="38"/>
  <c r="V11" i="38"/>
  <c r="AB11" i="38"/>
  <c r="J11" i="38"/>
  <c r="F11" i="38"/>
  <c r="F108" i="41"/>
  <c r="F21" i="37"/>
  <c r="J21" i="37"/>
  <c r="AC21" i="37"/>
  <c r="AD21" i="37"/>
  <c r="AF21" i="37"/>
  <c r="X21" i="37"/>
  <c r="T21" i="37"/>
  <c r="P21" i="37"/>
  <c r="L21" i="37"/>
  <c r="Z21" i="37"/>
  <c r="R21" i="37"/>
  <c r="AB31" i="37"/>
  <c r="N31" i="37"/>
  <c r="T31" i="37"/>
  <c r="H31" i="37"/>
  <c r="P31" i="37"/>
  <c r="V31" i="37"/>
  <c r="L31" i="37"/>
  <c r="AC31" i="37"/>
  <c r="AD31" i="37"/>
  <c r="AF31" i="37"/>
  <c r="X31" i="37"/>
  <c r="J31" i="37"/>
  <c r="J76" i="21"/>
  <c r="E118" i="50"/>
  <c r="G53" i="43"/>
  <c r="H53" i="43"/>
  <c r="F31" i="43"/>
  <c r="F37" i="41"/>
  <c r="L30" i="2"/>
  <c r="AE27" i="38"/>
  <c r="X27" i="38"/>
  <c r="N13" i="38"/>
  <c r="AB13" i="38"/>
  <c r="R13" i="38"/>
  <c r="AC13" i="38"/>
  <c r="AD13" i="38"/>
  <c r="AF13" i="38"/>
  <c r="P13" i="38"/>
  <c r="L13" i="38"/>
  <c r="F13" i="38"/>
  <c r="X13" i="38"/>
  <c r="J13" i="38"/>
  <c r="F13" i="43"/>
  <c r="AE12" i="38"/>
  <c r="L15" i="2"/>
  <c r="Z31" i="37"/>
  <c r="F52" i="43"/>
  <c r="G52" i="43"/>
  <c r="C42" i="51"/>
  <c r="G23" i="21"/>
  <c r="G20" i="21"/>
  <c r="P75" i="14"/>
  <c r="AB27" i="38"/>
  <c r="H27" i="38"/>
  <c r="L27" i="38"/>
  <c r="AC27" i="38"/>
  <c r="AD27" i="38"/>
  <c r="N27" i="38"/>
  <c r="Z27" i="38"/>
  <c r="J27" i="38"/>
  <c r="P27" i="38"/>
  <c r="T27" i="38"/>
  <c r="F27" i="38"/>
  <c r="R27" i="38"/>
  <c r="V27" i="38"/>
  <c r="H12" i="38"/>
  <c r="F12" i="38"/>
  <c r="J12" i="38"/>
  <c r="R12" i="38"/>
  <c r="AC12" i="38"/>
  <c r="AD12" i="38"/>
  <c r="AF12" i="38"/>
  <c r="X12" i="38"/>
  <c r="P12" i="38"/>
  <c r="L12" i="38"/>
  <c r="T12" i="38"/>
  <c r="AB12" i="38"/>
  <c r="Z12" i="38"/>
  <c r="N12" i="38"/>
  <c r="V12" i="38"/>
  <c r="G26" i="21"/>
  <c r="F37" i="2"/>
  <c r="G58" i="37"/>
  <c r="AA58" i="37"/>
  <c r="Y58" i="37"/>
  <c r="U58" i="37"/>
  <c r="Q58" i="37"/>
  <c r="K58" i="37"/>
  <c r="T28" i="38"/>
  <c r="V28" i="38"/>
  <c r="J30" i="2"/>
  <c r="H33" i="37"/>
  <c r="AC33" i="37"/>
  <c r="AD33" i="37"/>
  <c r="AF33" i="37"/>
  <c r="J33" i="37"/>
  <c r="L33" i="37"/>
  <c r="T33" i="37"/>
  <c r="Z33" i="37"/>
  <c r="N33" i="37"/>
  <c r="F33" i="37"/>
  <c r="V33" i="37"/>
  <c r="R33" i="37"/>
  <c r="AB33" i="37"/>
  <c r="X33" i="37"/>
  <c r="P33" i="37"/>
  <c r="L17" i="17"/>
  <c r="H16" i="37"/>
  <c r="N16" i="37"/>
  <c r="F16" i="37"/>
  <c r="AC16" i="37"/>
  <c r="AD16" i="37"/>
  <c r="AF16" i="37"/>
  <c r="Z16" i="37"/>
  <c r="V16" i="37"/>
  <c r="P16" i="37"/>
  <c r="L16" i="37"/>
  <c r="J16" i="37"/>
  <c r="R16" i="37"/>
  <c r="AB16" i="37"/>
  <c r="X16" i="37"/>
  <c r="T16" i="37"/>
  <c r="T30" i="37"/>
  <c r="L30" i="37"/>
  <c r="N30" i="37"/>
  <c r="AC30" i="37"/>
  <c r="AD30" i="37"/>
  <c r="AF30" i="37"/>
  <c r="P30" i="37"/>
  <c r="R30" i="37"/>
  <c r="J30" i="37"/>
  <c r="AB30" i="37"/>
  <c r="F30" i="37"/>
  <c r="Z30" i="37"/>
  <c r="X30" i="37"/>
  <c r="V30" i="37"/>
  <c r="H30" i="37"/>
  <c r="G49" i="17"/>
  <c r="F49" i="2"/>
  <c r="F51" i="17"/>
  <c r="AB26" i="37"/>
  <c r="R26" i="37"/>
  <c r="F26" i="37"/>
  <c r="J26" i="37"/>
  <c r="AC26" i="37"/>
  <c r="AD26" i="37"/>
  <c r="AF26" i="37"/>
  <c r="H26" i="37"/>
  <c r="X26" i="37"/>
  <c r="L26" i="37"/>
  <c r="N26" i="37"/>
  <c r="T26" i="37"/>
  <c r="V26" i="37"/>
  <c r="Z26" i="37"/>
  <c r="P26" i="37"/>
  <c r="B39" i="50"/>
  <c r="L37" i="38"/>
  <c r="P38" i="38"/>
  <c r="Z37" i="38"/>
  <c r="N38" i="38"/>
  <c r="B52" i="50"/>
  <c r="H60" i="17"/>
  <c r="E49" i="2"/>
  <c r="E21" i="2"/>
  <c r="E26" i="2"/>
  <c r="AC38" i="38"/>
  <c r="AD38" i="38"/>
  <c r="E37" i="2"/>
  <c r="E39" i="2" s="1"/>
  <c r="E46" i="2" s="1"/>
  <c r="L38" i="38"/>
  <c r="AB37" i="38"/>
  <c r="J38" i="38"/>
  <c r="H37" i="38"/>
  <c r="H38" i="38"/>
  <c r="N37" i="38"/>
  <c r="J32" i="2"/>
  <c r="I21" i="2"/>
  <c r="AE18" i="38"/>
  <c r="T37" i="38"/>
  <c r="F38" i="38"/>
  <c r="AC37" i="38"/>
  <c r="P37" i="38"/>
  <c r="Z38" i="38"/>
  <c r="AB38" i="38"/>
  <c r="AE39" i="38"/>
  <c r="R38" i="38"/>
  <c r="J37" i="38"/>
  <c r="X38" i="38"/>
  <c r="F37" i="38"/>
  <c r="H14" i="17"/>
  <c r="H38" i="37"/>
  <c r="AB38" i="37"/>
  <c r="Z38" i="37"/>
  <c r="AC38" i="37"/>
  <c r="AD38" i="37"/>
  <c r="AF38" i="37"/>
  <c r="R38" i="37"/>
  <c r="F38" i="37"/>
  <c r="J38" i="37"/>
  <c r="X38" i="37"/>
  <c r="P38" i="37"/>
  <c r="T38" i="37"/>
  <c r="L38" i="37"/>
  <c r="V38" i="37"/>
  <c r="N38" i="37"/>
  <c r="AF38" i="38"/>
  <c r="X28" i="37"/>
  <c r="F28" i="37"/>
  <c r="L28" i="37"/>
  <c r="N28" i="37"/>
  <c r="V28" i="37"/>
  <c r="J28" i="37"/>
  <c r="H28" i="37"/>
  <c r="R28" i="37"/>
  <c r="Z28" i="37"/>
  <c r="AB28" i="37"/>
  <c r="P28" i="37"/>
  <c r="AC28" i="37"/>
  <c r="AD28" i="37"/>
  <c r="AF28" i="37"/>
  <c r="T28" i="37"/>
  <c r="L11" i="37"/>
  <c r="AB11" i="37"/>
  <c r="P11" i="37"/>
  <c r="V11" i="37"/>
  <c r="F11" i="37"/>
  <c r="R11" i="37"/>
  <c r="H11" i="37"/>
  <c r="X11" i="37"/>
  <c r="AC11" i="37"/>
  <c r="AD11" i="37"/>
  <c r="AF11" i="37"/>
  <c r="T11" i="37"/>
  <c r="Z11" i="37"/>
  <c r="N11" i="37"/>
  <c r="J11" i="37"/>
  <c r="R12" i="37"/>
  <c r="AB12" i="37"/>
  <c r="X12" i="37"/>
  <c r="F12" i="37"/>
  <c r="P12" i="37"/>
  <c r="N12" i="37"/>
  <c r="J12" i="37"/>
  <c r="T12" i="37"/>
  <c r="AC12" i="37"/>
  <c r="AD12" i="37"/>
  <c r="AF12" i="37"/>
  <c r="H12" i="37"/>
  <c r="V12" i="37"/>
  <c r="L12" i="37"/>
  <c r="Z12" i="37"/>
  <c r="L37" i="37"/>
  <c r="N37" i="37"/>
  <c r="V37" i="37"/>
  <c r="AC37" i="37"/>
  <c r="J37" i="37"/>
  <c r="AE39" i="37"/>
  <c r="H37" i="37"/>
  <c r="X37" i="37"/>
  <c r="AB37" i="37"/>
  <c r="F37" i="37"/>
  <c r="T37" i="37"/>
  <c r="Z37" i="37"/>
  <c r="R37" i="37"/>
  <c r="P37" i="37"/>
  <c r="H21" i="38"/>
  <c r="J21" i="38"/>
  <c r="P21" i="38"/>
  <c r="AC21" i="38"/>
  <c r="AD21" i="38"/>
  <c r="AF21" i="38"/>
  <c r="T21" i="38"/>
  <c r="X21" i="38"/>
  <c r="AB21" i="38"/>
  <c r="N21" i="38"/>
  <c r="R21" i="38"/>
  <c r="L21" i="38"/>
  <c r="V21" i="38"/>
  <c r="Z21" i="38"/>
  <c r="F21" i="38"/>
  <c r="L10" i="37"/>
  <c r="J10" i="37"/>
  <c r="Z10" i="37"/>
  <c r="AC10" i="37"/>
  <c r="AD10" i="37"/>
  <c r="AF10" i="37"/>
  <c r="N10" i="37"/>
  <c r="AB10" i="37"/>
  <c r="V10" i="37"/>
  <c r="F10" i="37"/>
  <c r="H10" i="37"/>
  <c r="R10" i="37"/>
  <c r="T10" i="37"/>
  <c r="X10" i="37"/>
  <c r="P10" i="37"/>
  <c r="L27" i="37"/>
  <c r="H27" i="37"/>
  <c r="Z27" i="37"/>
  <c r="AB27" i="37"/>
  <c r="F27" i="37"/>
  <c r="J27" i="37"/>
  <c r="AC27" i="37"/>
  <c r="AD27" i="37"/>
  <c r="AF27" i="37"/>
  <c r="T27" i="37"/>
  <c r="V27" i="37"/>
  <c r="X27" i="37"/>
  <c r="R27" i="37"/>
  <c r="N27" i="37"/>
  <c r="P27" i="37"/>
  <c r="P13" i="37"/>
  <c r="V13" i="37"/>
  <c r="J13" i="37"/>
  <c r="X13" i="37"/>
  <c r="L13" i="37"/>
  <c r="Z13" i="37"/>
  <c r="H13" i="37"/>
  <c r="T13" i="37"/>
  <c r="AC13" i="37"/>
  <c r="AD13" i="37"/>
  <c r="AB13" i="37"/>
  <c r="R13" i="37"/>
  <c r="F13" i="37"/>
  <c r="N13" i="37"/>
  <c r="X17" i="37"/>
  <c r="T17" i="37"/>
  <c r="H17" i="37"/>
  <c r="P17" i="37"/>
  <c r="Z17" i="37"/>
  <c r="AC17" i="37"/>
  <c r="AD17" i="37"/>
  <c r="AF17" i="37"/>
  <c r="J17" i="37"/>
  <c r="AB17" i="37"/>
  <c r="F17" i="37"/>
  <c r="L17" i="37"/>
  <c r="N17" i="37"/>
  <c r="R17" i="37"/>
  <c r="V17" i="37"/>
  <c r="H51" i="42"/>
  <c r="H50" i="43"/>
  <c r="F51" i="42"/>
  <c r="F50" i="43"/>
  <c r="H117" i="17"/>
  <c r="F117" i="41"/>
  <c r="H25" i="17"/>
  <c r="G25" i="2"/>
  <c r="F25" i="41"/>
  <c r="F25" i="43" s="1"/>
  <c r="F25" i="2"/>
  <c r="F26" i="17"/>
  <c r="F39" i="17"/>
  <c r="F46" i="17"/>
  <c r="H108" i="16"/>
  <c r="F54" i="17"/>
  <c r="E71" i="2"/>
  <c r="B73" i="50"/>
  <c r="AD37" i="38"/>
  <c r="AC39" i="38"/>
  <c r="C39" i="50"/>
  <c r="F49" i="41"/>
  <c r="F49" i="43"/>
  <c r="G49" i="2"/>
  <c r="J49" i="2"/>
  <c r="G51" i="17"/>
  <c r="G54" i="17"/>
  <c r="F39" i="38"/>
  <c r="Z39" i="38"/>
  <c r="H39" i="38"/>
  <c r="N39" i="38"/>
  <c r="L39" i="38"/>
  <c r="AB39" i="38"/>
  <c r="J39" i="38"/>
  <c r="R39" i="38"/>
  <c r="X39" i="38"/>
  <c r="V39" i="38"/>
  <c r="T39" i="38"/>
  <c r="P39" i="38"/>
  <c r="T39" i="37"/>
  <c r="H39" i="37"/>
  <c r="X39" i="37"/>
  <c r="AB39" i="37"/>
  <c r="J39" i="37"/>
  <c r="F39" i="37"/>
  <c r="R39" i="37"/>
  <c r="N39" i="37"/>
  <c r="Z39" i="37"/>
  <c r="V39" i="37"/>
  <c r="L39" i="37"/>
  <c r="P39" i="37"/>
  <c r="AC39" i="37"/>
  <c r="AD37" i="37"/>
  <c r="H54" i="42"/>
  <c r="C63" i="51"/>
  <c r="F54" i="42"/>
  <c r="H25" i="2"/>
  <c r="F80" i="2"/>
  <c r="F55" i="17"/>
  <c r="AE22" i="37"/>
  <c r="C41" i="50"/>
  <c r="AF37" i="38"/>
  <c r="AF39" i="38"/>
  <c r="AD39" i="38"/>
  <c r="H49" i="2"/>
  <c r="AD39" i="37"/>
  <c r="AF37" i="37"/>
  <c r="AF39" i="37"/>
  <c r="F22" i="37"/>
  <c r="P22" i="37"/>
  <c r="X22" i="37"/>
  <c r="Z22" i="37"/>
  <c r="L22" i="37"/>
  <c r="AB22" i="37"/>
  <c r="T22" i="37"/>
  <c r="J22" i="37"/>
  <c r="AC22" i="37"/>
  <c r="H22" i="37"/>
  <c r="N22" i="37"/>
  <c r="V22" i="37"/>
  <c r="R22" i="37"/>
  <c r="AD22" i="37"/>
  <c r="AF22" i="37"/>
  <c r="E81" i="50"/>
  <c r="L37" i="16"/>
  <c r="AC28" i="38"/>
  <c r="AD28" i="38"/>
  <c r="AF28" i="38"/>
  <c r="L31" i="2"/>
  <c r="X28" i="38"/>
  <c r="L29" i="2"/>
  <c r="J37" i="16"/>
  <c r="P28" i="38"/>
  <c r="D111" i="50"/>
  <c r="R28" i="38"/>
  <c r="F28" i="38"/>
  <c r="Z28" i="38"/>
  <c r="AB28" i="38"/>
  <c r="H28" i="38"/>
  <c r="L28" i="38"/>
  <c r="K37" i="2"/>
  <c r="E78" i="50"/>
  <c r="L37" i="17"/>
  <c r="L33" i="2"/>
  <c r="P33" i="38"/>
  <c r="X33" i="38"/>
  <c r="I37" i="2"/>
  <c r="AC33" i="38"/>
  <c r="AB33" i="38"/>
  <c r="H33" i="38"/>
  <c r="N33" i="38"/>
  <c r="R33" i="38"/>
  <c r="F33" i="38"/>
  <c r="L33" i="38"/>
  <c r="L36" i="2"/>
  <c r="X31" i="38"/>
  <c r="Z31" i="38"/>
  <c r="P31" i="38"/>
  <c r="H31" i="38"/>
  <c r="L31" i="38"/>
  <c r="N31" i="38"/>
  <c r="AB31" i="38"/>
  <c r="AC31" i="38"/>
  <c r="AD31" i="38"/>
  <c r="AF31" i="38"/>
  <c r="R31" i="38"/>
  <c r="F31" i="38"/>
  <c r="T31" i="38"/>
  <c r="V31" i="38"/>
  <c r="J31" i="38"/>
  <c r="L29" i="38"/>
  <c r="X29" i="38"/>
  <c r="R29" i="38"/>
  <c r="N29" i="38"/>
  <c r="AC29" i="38"/>
  <c r="AD29" i="38"/>
  <c r="AF29" i="38"/>
  <c r="P29" i="38"/>
  <c r="T29" i="38"/>
  <c r="V29" i="38"/>
  <c r="Z29" i="38"/>
  <c r="H29" i="38"/>
  <c r="J29" i="38"/>
  <c r="F29" i="38"/>
  <c r="AB29" i="38"/>
  <c r="P30" i="38"/>
  <c r="H30" i="38"/>
  <c r="AE26" i="38"/>
  <c r="Z30" i="38"/>
  <c r="R30" i="38"/>
  <c r="AE32" i="38"/>
  <c r="F30" i="38"/>
  <c r="L30" i="38"/>
  <c r="J30" i="38"/>
  <c r="X30" i="38"/>
  <c r="I25" i="2"/>
  <c r="J25" i="2"/>
  <c r="J25" i="17"/>
  <c r="J117" i="17"/>
  <c r="L25" i="17"/>
  <c r="K25" i="2"/>
  <c r="AE22" i="38"/>
  <c r="I17" i="2"/>
  <c r="L17" i="2"/>
  <c r="L17" i="16"/>
  <c r="J108" i="16"/>
  <c r="L108" i="16"/>
  <c r="F21" i="42"/>
  <c r="F21" i="43"/>
  <c r="G21" i="2"/>
  <c r="H21" i="16"/>
  <c r="J21" i="16"/>
  <c r="G17" i="2"/>
  <c r="H17" i="16"/>
  <c r="F17" i="42"/>
  <c r="J17" i="16"/>
  <c r="F17" i="2"/>
  <c r="L21" i="17"/>
  <c r="J21" i="17"/>
  <c r="L18" i="38"/>
  <c r="P18" i="38"/>
  <c r="J18" i="38"/>
  <c r="V18" i="38"/>
  <c r="F18" i="38"/>
  <c r="Z18" i="38"/>
  <c r="N18" i="38"/>
  <c r="R18" i="38"/>
  <c r="T18" i="38"/>
  <c r="AB18" i="38"/>
  <c r="H18" i="38"/>
  <c r="X18" i="38"/>
  <c r="L21" i="16"/>
  <c r="K21" i="2"/>
  <c r="L21" i="2"/>
  <c r="L132" i="16"/>
  <c r="AC18" i="38"/>
  <c r="AD18" i="38"/>
  <c r="AF18" i="38"/>
  <c r="H76" i="21"/>
  <c r="AE10" i="38"/>
  <c r="L13" i="2"/>
  <c r="J13" i="2"/>
  <c r="W58" i="37"/>
  <c r="I58" i="37"/>
  <c r="K58" i="38"/>
  <c r="S58" i="38"/>
  <c r="M58" i="38"/>
  <c r="AE48" i="38"/>
  <c r="AD48" i="38"/>
  <c r="AG43" i="38"/>
  <c r="AG47" i="37"/>
  <c r="AG45" i="37"/>
  <c r="AD48" i="37"/>
  <c r="S58" i="37"/>
  <c r="O58" i="37"/>
  <c r="AD56" i="37"/>
  <c r="E58" i="37"/>
  <c r="E60" i="37"/>
  <c r="AE43" i="37"/>
  <c r="AG43" i="37"/>
  <c r="AF13" i="37"/>
  <c r="M58" i="37"/>
  <c r="AC29" i="37"/>
  <c r="F29" i="37"/>
  <c r="X29" i="37"/>
  <c r="T29" i="37"/>
  <c r="AE34" i="37"/>
  <c r="H29" i="37"/>
  <c r="L29" i="37"/>
  <c r="Z29" i="37"/>
  <c r="P29" i="37"/>
  <c r="V29" i="37"/>
  <c r="R29" i="37"/>
  <c r="AB29" i="37"/>
  <c r="J29" i="37"/>
  <c r="N29" i="37"/>
  <c r="G37" i="2"/>
  <c r="H37" i="2"/>
  <c r="H29" i="2"/>
  <c r="J29" i="17"/>
  <c r="J29" i="2"/>
  <c r="H29" i="17"/>
  <c r="G37" i="17"/>
  <c r="L37" i="2"/>
  <c r="J37" i="2"/>
  <c r="T26" i="38"/>
  <c r="AB26" i="38"/>
  <c r="V26" i="38"/>
  <c r="R26" i="38"/>
  <c r="Z26" i="38"/>
  <c r="F26" i="38"/>
  <c r="L26" i="38"/>
  <c r="H26" i="38"/>
  <c r="AE34" i="38"/>
  <c r="AC26" i="38"/>
  <c r="AD26" i="38"/>
  <c r="AF26" i="38"/>
  <c r="X26" i="38"/>
  <c r="P26" i="38"/>
  <c r="N26" i="38"/>
  <c r="J26" i="38"/>
  <c r="V32" i="38"/>
  <c r="R32" i="38"/>
  <c r="F32" i="38"/>
  <c r="P32" i="38"/>
  <c r="Z32" i="38"/>
  <c r="N32" i="38"/>
  <c r="H32" i="38"/>
  <c r="AC32" i="38"/>
  <c r="AD32" i="38"/>
  <c r="AF32" i="38"/>
  <c r="AB32" i="38"/>
  <c r="L32" i="38"/>
  <c r="T32" i="38"/>
  <c r="J32" i="38"/>
  <c r="X32" i="38"/>
  <c r="L25" i="2"/>
  <c r="V22" i="38"/>
  <c r="AC22" i="38"/>
  <c r="AD22" i="38"/>
  <c r="AF22" i="38"/>
  <c r="F22" i="38"/>
  <c r="T22" i="38"/>
  <c r="L22" i="38"/>
  <c r="Z22" i="38"/>
  <c r="N22" i="38"/>
  <c r="AB22" i="38"/>
  <c r="P22" i="38"/>
  <c r="X22" i="38"/>
  <c r="R22" i="38"/>
  <c r="H22" i="38"/>
  <c r="J22" i="38"/>
  <c r="J17" i="2"/>
  <c r="AE14" i="38"/>
  <c r="T14" i="38"/>
  <c r="J21" i="2"/>
  <c r="H21" i="2"/>
  <c r="AE14" i="37"/>
  <c r="F17" i="43"/>
  <c r="H17" i="2"/>
  <c r="L10" i="38"/>
  <c r="F10" i="38"/>
  <c r="N10" i="38"/>
  <c r="T10" i="38"/>
  <c r="AB10" i="38"/>
  <c r="AC10" i="38"/>
  <c r="X10" i="38"/>
  <c r="J10" i="38"/>
  <c r="R10" i="38"/>
  <c r="V10" i="38"/>
  <c r="H10" i="38"/>
  <c r="Z10" i="38"/>
  <c r="P10" i="38"/>
  <c r="I76" i="21"/>
  <c r="K76" i="21"/>
  <c r="D118" i="50"/>
  <c r="F34" i="37"/>
  <c r="T34" i="37"/>
  <c r="AB34" i="37"/>
  <c r="R34" i="37"/>
  <c r="J34" i="37"/>
  <c r="H34" i="37"/>
  <c r="N34" i="37"/>
  <c r="V34" i="37"/>
  <c r="P34" i="37"/>
  <c r="Z34" i="37"/>
  <c r="X34" i="37"/>
  <c r="L34" i="37"/>
  <c r="AD29" i="37"/>
  <c r="AC34" i="37"/>
  <c r="C100" i="50"/>
  <c r="H37" i="17"/>
  <c r="J37" i="17"/>
  <c r="C78" i="50"/>
  <c r="P34" i="38"/>
  <c r="N34" i="38"/>
  <c r="R34" i="38"/>
  <c r="V34" i="38"/>
  <c r="F34" i="38"/>
  <c r="P14" i="38"/>
  <c r="Z14" i="38"/>
  <c r="H14" i="38"/>
  <c r="N14" i="38"/>
  <c r="AB14" i="38"/>
  <c r="AC14" i="38"/>
  <c r="AD14" i="38"/>
  <c r="L14" i="38"/>
  <c r="J14" i="38"/>
  <c r="F14" i="38"/>
  <c r="R14" i="38"/>
  <c r="X14" i="38"/>
  <c r="V14" i="38"/>
  <c r="V14" i="37"/>
  <c r="Z14" i="37"/>
  <c r="AC14" i="37"/>
  <c r="T14" i="37"/>
  <c r="N14" i="37"/>
  <c r="P14" i="37"/>
  <c r="H14" i="37"/>
  <c r="X14" i="37"/>
  <c r="F14" i="37"/>
  <c r="L14" i="37"/>
  <c r="J14" i="37"/>
  <c r="R14" i="37"/>
  <c r="AB14" i="37"/>
  <c r="AD10" i="38"/>
  <c r="AF10" i="38"/>
  <c r="AD34" i="37"/>
  <c r="AF29" i="37"/>
  <c r="AF34" i="37"/>
  <c r="AD14" i="37"/>
  <c r="AF14" i="37"/>
  <c r="C44" i="50"/>
  <c r="F51" i="41"/>
  <c r="F51" i="43"/>
  <c r="H51" i="41"/>
  <c r="C41" i="51" s="1"/>
  <c r="G51" i="2"/>
  <c r="F51" i="2"/>
  <c r="F54" i="16"/>
  <c r="C63" i="50"/>
  <c r="G51" i="42"/>
  <c r="G50" i="43"/>
  <c r="G54" i="2"/>
  <c r="F54" i="41"/>
  <c r="F54" i="43"/>
  <c r="F70" i="17"/>
  <c r="F70" i="2"/>
  <c r="F71" i="2"/>
  <c r="G54" i="41"/>
  <c r="O58" i="38"/>
  <c r="G58" i="38"/>
  <c r="Q58" i="38"/>
  <c r="AA58" i="38"/>
  <c r="U58" i="38"/>
  <c r="Y58" i="38"/>
  <c r="AC34" i="38"/>
  <c r="H34" i="38"/>
  <c r="AB34" i="38"/>
  <c r="W58" i="38"/>
  <c r="AD33" i="38"/>
  <c r="AF33" i="38"/>
  <c r="I58" i="38"/>
  <c r="AF27" i="38"/>
  <c r="AF14" i="38"/>
  <c r="E58" i="38"/>
  <c r="AD56" i="38"/>
  <c r="AE48" i="37"/>
  <c r="G6" i="37"/>
  <c r="G60" i="37"/>
  <c r="C137" i="50"/>
  <c r="G51" i="43"/>
  <c r="G54" i="42"/>
  <c r="F54" i="2"/>
  <c r="F81" i="2"/>
  <c r="F82" i="2"/>
  <c r="AF34" i="38"/>
  <c r="AD34" i="38"/>
  <c r="I6" i="37"/>
  <c r="I60" i="37"/>
  <c r="C138" i="50"/>
  <c r="C139" i="50"/>
  <c r="K6" i="37"/>
  <c r="K60" i="37"/>
  <c r="C140" i="50"/>
  <c r="M6" i="37"/>
  <c r="M60" i="37"/>
  <c r="O6" i="37"/>
  <c r="O60" i="37"/>
  <c r="C141" i="50"/>
  <c r="C142" i="50"/>
  <c r="Q6" i="37"/>
  <c r="Q60" i="37"/>
  <c r="C143" i="50"/>
  <c r="S6" i="37"/>
  <c r="S60" i="37"/>
  <c r="C144" i="50"/>
  <c r="U6" i="37"/>
  <c r="U60" i="37"/>
  <c r="C145" i="50"/>
  <c r="W6" i="37"/>
  <c r="W60" i="37"/>
  <c r="C146" i="50"/>
  <c r="Y6" i="37"/>
  <c r="Y60" i="37"/>
  <c r="C147" i="50"/>
  <c r="AA6" i="37"/>
  <c r="AA60" i="37"/>
  <c r="E6" i="38"/>
  <c r="E60" i="38"/>
  <c r="C148" i="50"/>
  <c r="AC6" i="37"/>
  <c r="G6" i="38"/>
  <c r="G60" i="38"/>
  <c r="D137" i="50"/>
  <c r="I6" i="38"/>
  <c r="I60" i="38"/>
  <c r="D138" i="50"/>
  <c r="D139" i="50"/>
  <c r="K6" i="38"/>
  <c r="K60" i="38"/>
  <c r="M6" i="38"/>
  <c r="M60" i="38"/>
  <c r="D140" i="50"/>
  <c r="D141" i="50"/>
  <c r="O6" i="38"/>
  <c r="O60" i="38"/>
  <c r="D142" i="50"/>
  <c r="Q6" i="38"/>
  <c r="Q60" i="38"/>
  <c r="D143" i="50"/>
  <c r="S6" i="38"/>
  <c r="S60" i="38"/>
  <c r="D144" i="50"/>
  <c r="U6" i="38"/>
  <c r="U60" i="38"/>
  <c r="W6" i="38"/>
  <c r="W60" i="38"/>
  <c r="D145" i="50"/>
  <c r="D146" i="50"/>
  <c r="Y6" i="38"/>
  <c r="Y60" i="38"/>
  <c r="AA6" i="38"/>
  <c r="AA60" i="38"/>
  <c r="D147" i="50"/>
  <c r="D148" i="50"/>
  <c r="AC6" i="38"/>
  <c r="U58" i="45"/>
  <c r="S58" i="45"/>
  <c r="M58" i="45"/>
  <c r="K58" i="45"/>
  <c r="I58" i="45"/>
  <c r="E58" i="45"/>
  <c r="E60" i="45" s="1"/>
  <c r="AA58" i="45" l="1"/>
  <c r="Y58" i="45"/>
  <c r="O58" i="45"/>
  <c r="M23" i="43"/>
  <c r="M13" i="43"/>
  <c r="M16" i="43"/>
  <c r="H13" i="43"/>
  <c r="AE10" i="45" s="1"/>
  <c r="K32" i="43"/>
  <c r="J34" i="38"/>
  <c r="L34" i="38"/>
  <c r="T34" i="38"/>
  <c r="X34" i="38"/>
  <c r="Z34" i="38"/>
  <c r="D6" i="50"/>
  <c r="G87" i="17"/>
  <c r="G111" i="16"/>
  <c r="F73" i="2"/>
  <c r="F75" i="2" s="1"/>
  <c r="G73" i="2"/>
  <c r="C71" i="50" s="1"/>
  <c r="J34" i="34"/>
  <c r="Z34" i="34"/>
  <c r="AA58" i="46"/>
  <c r="Y58" i="46"/>
  <c r="W58" i="46"/>
  <c r="U58" i="46"/>
  <c r="S58" i="46"/>
  <c r="Q58" i="46"/>
  <c r="Q58" i="45"/>
  <c r="AE33" i="45"/>
  <c r="I36" i="43"/>
  <c r="M31" i="43"/>
  <c r="J37" i="43"/>
  <c r="E26" i="43"/>
  <c r="E39" i="43" s="1"/>
  <c r="E46" i="43" s="1"/>
  <c r="AE11" i="45"/>
  <c r="I14" i="43"/>
  <c r="E81" i="51"/>
  <c r="M37" i="42"/>
  <c r="L25" i="43"/>
  <c r="E84" i="41"/>
  <c r="I84" i="41" s="1"/>
  <c r="F53" i="43"/>
  <c r="I37" i="41"/>
  <c r="F35" i="43"/>
  <c r="F29" i="43"/>
  <c r="F37" i="43" s="1"/>
  <c r="I15" i="41"/>
  <c r="B68" i="51"/>
  <c r="T75" i="39"/>
  <c r="N62" i="39"/>
  <c r="O62" i="39" s="1"/>
  <c r="T49" i="39"/>
  <c r="U49" i="39" s="1"/>
  <c r="Q49" i="39"/>
  <c r="R49" i="39" s="1"/>
  <c r="N49" i="39"/>
  <c r="O49" i="39" s="1"/>
  <c r="T73" i="14"/>
  <c r="T75" i="14" s="1"/>
  <c r="Q73" i="14"/>
  <c r="AA58" i="35"/>
  <c r="S58" i="34"/>
  <c r="S60" i="34" s="1"/>
  <c r="Q73" i="28"/>
  <c r="Q75" i="28" s="1"/>
  <c r="N73" i="28"/>
  <c r="I73" i="28"/>
  <c r="L21" i="43"/>
  <c r="M21" i="42"/>
  <c r="M131" i="42"/>
  <c r="J21" i="43"/>
  <c r="M21" i="43" s="1"/>
  <c r="I21" i="42"/>
  <c r="K21" i="42"/>
  <c r="K131" i="42"/>
  <c r="K17" i="42"/>
  <c r="K107" i="42"/>
  <c r="L17" i="43"/>
  <c r="M17" i="42"/>
  <c r="M107" i="42"/>
  <c r="Z14" i="45"/>
  <c r="N14" i="45"/>
  <c r="V14" i="45"/>
  <c r="L14" i="45"/>
  <c r="T14" i="45"/>
  <c r="F14" i="45"/>
  <c r="R14" i="45"/>
  <c r="P14" i="45"/>
  <c r="I17" i="43"/>
  <c r="M108" i="41"/>
  <c r="M21" i="41"/>
  <c r="L37" i="43"/>
  <c r="AE27" i="46"/>
  <c r="M30" i="43"/>
  <c r="H29" i="46"/>
  <c r="F29" i="46"/>
  <c r="J29" i="46"/>
  <c r="AC29" i="46"/>
  <c r="AD29" i="46" s="1"/>
  <c r="AF29" i="46" s="1"/>
  <c r="V29" i="46"/>
  <c r="AB29" i="46"/>
  <c r="Z29" i="46"/>
  <c r="L29" i="46"/>
  <c r="N28" i="46"/>
  <c r="AE48" i="46"/>
  <c r="AD48" i="46"/>
  <c r="AG43" i="46"/>
  <c r="K58" i="46"/>
  <c r="I58" i="46"/>
  <c r="M58" i="46"/>
  <c r="O58" i="46"/>
  <c r="G58" i="46"/>
  <c r="E58" i="46"/>
  <c r="AD56" i="45"/>
  <c r="AE45" i="45"/>
  <c r="AE48" i="45" s="1"/>
  <c r="AD48" i="45"/>
  <c r="G58" i="45"/>
  <c r="AG43" i="45"/>
  <c r="W58" i="45"/>
  <c r="C137" i="51"/>
  <c r="G6" i="45"/>
  <c r="G44" i="43"/>
  <c r="G54" i="43"/>
  <c r="G21" i="43"/>
  <c r="G17" i="43"/>
  <c r="G26" i="42"/>
  <c r="G39" i="42" s="1"/>
  <c r="G46" i="42" s="1"/>
  <c r="G55" i="42" s="1"/>
  <c r="G63" i="42" s="1"/>
  <c r="G63" i="43" s="1"/>
  <c r="F26" i="16"/>
  <c r="F39" i="16" s="1"/>
  <c r="F46" i="16" s="1"/>
  <c r="F55" i="16" s="1"/>
  <c r="F21" i="2"/>
  <c r="AB20" i="46"/>
  <c r="J20" i="46"/>
  <c r="R20" i="46"/>
  <c r="L20" i="46"/>
  <c r="T20" i="46"/>
  <c r="X20" i="46"/>
  <c r="F20" i="46"/>
  <c r="N20" i="46"/>
  <c r="AC20" i="46"/>
  <c r="AD20" i="46" s="1"/>
  <c r="AF20" i="46" s="1"/>
  <c r="P20" i="46"/>
  <c r="V20" i="46"/>
  <c r="Z20" i="46"/>
  <c r="H20" i="46"/>
  <c r="F11" i="45"/>
  <c r="L11" i="45"/>
  <c r="X11" i="45"/>
  <c r="Z11" i="45"/>
  <c r="P11" i="45"/>
  <c r="H11" i="45"/>
  <c r="AB11" i="45"/>
  <c r="J11" i="45"/>
  <c r="N11" i="45"/>
  <c r="R11" i="45"/>
  <c r="AC11" i="45"/>
  <c r="AD11" i="45" s="1"/>
  <c r="AF11" i="45" s="1"/>
  <c r="T11" i="45"/>
  <c r="V11" i="45"/>
  <c r="E108" i="41"/>
  <c r="I108" i="41" s="1"/>
  <c r="T32" i="46"/>
  <c r="F32" i="46"/>
  <c r="Z32" i="46"/>
  <c r="L32" i="46"/>
  <c r="AB32" i="46"/>
  <c r="H32" i="46"/>
  <c r="P32" i="46"/>
  <c r="X32" i="46"/>
  <c r="M33" i="43"/>
  <c r="AE30" i="46"/>
  <c r="AC27" i="45"/>
  <c r="AD27" i="45" s="1"/>
  <c r="AF27" i="45" s="1"/>
  <c r="F27" i="45"/>
  <c r="X27" i="45"/>
  <c r="T27" i="45"/>
  <c r="Z27" i="45"/>
  <c r="V27" i="45"/>
  <c r="N27" i="45"/>
  <c r="R27" i="45"/>
  <c r="AB13" i="45"/>
  <c r="R13" i="45"/>
  <c r="J13" i="45"/>
  <c r="T13" i="45"/>
  <c r="R28" i="46"/>
  <c r="AC28" i="46"/>
  <c r="AD28" i="46" s="1"/>
  <c r="AF28" i="46" s="1"/>
  <c r="AB28" i="46"/>
  <c r="T28" i="46"/>
  <c r="P28" i="46"/>
  <c r="AB21" i="46"/>
  <c r="F21" i="46"/>
  <c r="AC21" i="46"/>
  <c r="AD21" i="46" s="1"/>
  <c r="AF21" i="46" s="1"/>
  <c r="Z21" i="46"/>
  <c r="J21" i="46"/>
  <c r="V21" i="46"/>
  <c r="R21" i="46"/>
  <c r="T21" i="46"/>
  <c r="R20" i="45"/>
  <c r="Z20" i="45"/>
  <c r="N20" i="45"/>
  <c r="T20" i="45"/>
  <c r="V20" i="45"/>
  <c r="H54" i="41"/>
  <c r="H49" i="43"/>
  <c r="P20" i="45"/>
  <c r="P13" i="45"/>
  <c r="H21" i="46"/>
  <c r="AC14" i="45"/>
  <c r="AD14" i="45" s="1"/>
  <c r="AF14" i="45" s="1"/>
  <c r="X14" i="45"/>
  <c r="AB14" i="45"/>
  <c r="J14" i="45"/>
  <c r="P11" i="46"/>
  <c r="J11" i="46"/>
  <c r="F11" i="46"/>
  <c r="V11" i="46"/>
  <c r="Z11" i="46"/>
  <c r="N26" i="46"/>
  <c r="AB26" i="46"/>
  <c r="R26" i="46"/>
  <c r="T26" i="46"/>
  <c r="V26" i="46"/>
  <c r="H26" i="46"/>
  <c r="AC26" i="46"/>
  <c r="I16" i="43"/>
  <c r="P27" i="46"/>
  <c r="X27" i="46"/>
  <c r="J27" i="46"/>
  <c r="F27" i="46"/>
  <c r="Z27" i="46"/>
  <c r="AE13" i="46"/>
  <c r="J44" i="43"/>
  <c r="M44" i="43" s="1"/>
  <c r="AE38" i="46"/>
  <c r="AE39" i="46" s="1"/>
  <c r="AE33" i="46"/>
  <c r="AB30" i="45"/>
  <c r="N30" i="45"/>
  <c r="V30" i="45"/>
  <c r="T30" i="45"/>
  <c r="J30" i="45"/>
  <c r="L30" i="45"/>
  <c r="F30" i="45"/>
  <c r="Z30" i="45"/>
  <c r="C43" i="51"/>
  <c r="L20" i="45"/>
  <c r="V28" i="46"/>
  <c r="H12" i="46"/>
  <c r="V12" i="46"/>
  <c r="AB12" i="46"/>
  <c r="R12" i="46"/>
  <c r="T12" i="46"/>
  <c r="N13" i="45"/>
  <c r="K16" i="43"/>
  <c r="X21" i="46"/>
  <c r="N32" i="46"/>
  <c r="AC32" i="46"/>
  <c r="AD32" i="46" s="1"/>
  <c r="AF32" i="46" s="1"/>
  <c r="AE10" i="46"/>
  <c r="F10" i="46" s="1"/>
  <c r="H76" i="40"/>
  <c r="D118" i="51" s="1"/>
  <c r="E62" i="43"/>
  <c r="I62" i="43" s="1"/>
  <c r="K43" i="43"/>
  <c r="AE38" i="45"/>
  <c r="J21" i="45"/>
  <c r="X21" i="45"/>
  <c r="P21" i="45"/>
  <c r="Z21" i="45"/>
  <c r="B48" i="51"/>
  <c r="E60" i="43"/>
  <c r="I60" i="43" s="1"/>
  <c r="B93" i="51"/>
  <c r="I30" i="41"/>
  <c r="B50" i="51"/>
  <c r="H52" i="43"/>
  <c r="E70" i="41"/>
  <c r="F20" i="45"/>
  <c r="X28" i="46"/>
  <c r="Z28" i="46"/>
  <c r="AC12" i="46"/>
  <c r="AD12" i="46" s="1"/>
  <c r="AF12" i="46" s="1"/>
  <c r="X13" i="45"/>
  <c r="H27" i="45"/>
  <c r="G76" i="40"/>
  <c r="C118" i="51" s="1"/>
  <c r="M35" i="43"/>
  <c r="T33" i="45"/>
  <c r="P33" i="45"/>
  <c r="N33" i="45"/>
  <c r="R33" i="45"/>
  <c r="AB33" i="45"/>
  <c r="N28" i="45"/>
  <c r="AC28" i="45"/>
  <c r="AD28" i="45" s="1"/>
  <c r="AF28" i="45" s="1"/>
  <c r="J28" i="45"/>
  <c r="R28" i="45"/>
  <c r="Z28" i="45"/>
  <c r="H28" i="45"/>
  <c r="F28" i="45"/>
  <c r="B54" i="51"/>
  <c r="I69" i="41"/>
  <c r="J17" i="41"/>
  <c r="AE34" i="46"/>
  <c r="H51" i="43"/>
  <c r="E49" i="43"/>
  <c r="I49" i="43" s="1"/>
  <c r="J20" i="45"/>
  <c r="L28" i="46"/>
  <c r="N12" i="46"/>
  <c r="AC32" i="45"/>
  <c r="AD32" i="45" s="1"/>
  <c r="AF32" i="45" s="1"/>
  <c r="T32" i="45"/>
  <c r="V32" i="45"/>
  <c r="N32" i="45"/>
  <c r="P32" i="45"/>
  <c r="AC13" i="45"/>
  <c r="AD13" i="45" s="1"/>
  <c r="AF13" i="45" s="1"/>
  <c r="H21" i="43"/>
  <c r="P21" i="46"/>
  <c r="L27" i="45"/>
  <c r="AC21" i="45"/>
  <c r="AD21" i="45" s="1"/>
  <c r="AF21" i="45" s="1"/>
  <c r="T37" i="46"/>
  <c r="N37" i="46"/>
  <c r="F37" i="46"/>
  <c r="H37" i="46"/>
  <c r="Z31" i="46"/>
  <c r="F31" i="46"/>
  <c r="L31" i="46"/>
  <c r="J31" i="46"/>
  <c r="T29" i="46"/>
  <c r="N29" i="46"/>
  <c r="X29" i="46"/>
  <c r="R29" i="46"/>
  <c r="P29" i="46"/>
  <c r="AE26" i="45"/>
  <c r="H37" i="43"/>
  <c r="K37" i="43" s="1"/>
  <c r="K29" i="43"/>
  <c r="AE12" i="45"/>
  <c r="J25" i="41"/>
  <c r="M117" i="41"/>
  <c r="F84" i="41"/>
  <c r="I66" i="41"/>
  <c r="B53" i="51"/>
  <c r="B52" i="51"/>
  <c r="E66" i="43"/>
  <c r="I66" i="43" s="1"/>
  <c r="I43" i="41"/>
  <c r="E43" i="43"/>
  <c r="I43" i="43" s="1"/>
  <c r="I32" i="43"/>
  <c r="X20" i="45"/>
  <c r="H28" i="46"/>
  <c r="L12" i="46"/>
  <c r="L13" i="45"/>
  <c r="AB27" i="45"/>
  <c r="K34" i="43"/>
  <c r="AE31" i="45"/>
  <c r="H25" i="41"/>
  <c r="K117" i="41"/>
  <c r="I75" i="41"/>
  <c r="M37" i="41"/>
  <c r="D100" i="51"/>
  <c r="AC20" i="45"/>
  <c r="AD20" i="45" s="1"/>
  <c r="AF20" i="45" s="1"/>
  <c r="F28" i="46"/>
  <c r="J12" i="46"/>
  <c r="F13" i="45"/>
  <c r="H13" i="45"/>
  <c r="T11" i="46"/>
  <c r="N21" i="46"/>
  <c r="P27" i="45"/>
  <c r="X26" i="46"/>
  <c r="AE37" i="45"/>
  <c r="N37" i="45" s="1"/>
  <c r="K42" i="43"/>
  <c r="AE29" i="45"/>
  <c r="E117" i="41"/>
  <c r="I117" i="41" s="1"/>
  <c r="K13" i="43"/>
  <c r="I24" i="43"/>
  <c r="G26" i="41"/>
  <c r="G39" i="41" s="1"/>
  <c r="G46" i="41" s="1"/>
  <c r="G55" i="41" s="1"/>
  <c r="G25" i="43"/>
  <c r="K34" i="40"/>
  <c r="I34" i="40"/>
  <c r="N10" i="45"/>
  <c r="J10" i="45"/>
  <c r="P10" i="45"/>
  <c r="AC10" i="45"/>
  <c r="AD10" i="45" s="1"/>
  <c r="AF10" i="45" s="1"/>
  <c r="H10" i="45"/>
  <c r="L10" i="45"/>
  <c r="F10" i="45"/>
  <c r="AB10" i="45"/>
  <c r="V10" i="45"/>
  <c r="Z10" i="45"/>
  <c r="X10" i="45"/>
  <c r="R10" i="45"/>
  <c r="T10" i="45"/>
  <c r="V60" i="39"/>
  <c r="Q62" i="39"/>
  <c r="P62" i="39"/>
  <c r="S62" i="39"/>
  <c r="S60" i="39"/>
  <c r="N73" i="39"/>
  <c r="P73" i="39" s="1"/>
  <c r="P60" i="39"/>
  <c r="V49" i="39"/>
  <c r="V65" i="39"/>
  <c r="V47" i="39"/>
  <c r="Q73" i="39"/>
  <c r="S49" i="39"/>
  <c r="P49" i="39"/>
  <c r="S47" i="39"/>
  <c r="S65" i="39"/>
  <c r="N75" i="39"/>
  <c r="O75" i="39" s="1"/>
  <c r="R37" i="45" l="1"/>
  <c r="AE39" i="45"/>
  <c r="P37" i="45"/>
  <c r="F37" i="45"/>
  <c r="AC37" i="45"/>
  <c r="Z37" i="45"/>
  <c r="H37" i="45"/>
  <c r="AB37" i="45"/>
  <c r="T37" i="45"/>
  <c r="J37" i="45"/>
  <c r="L37" i="45"/>
  <c r="M37" i="43"/>
  <c r="I76" i="40"/>
  <c r="K76" i="40"/>
  <c r="T10" i="46"/>
  <c r="AB10" i="46"/>
  <c r="H10" i="46"/>
  <c r="Z10" i="46"/>
  <c r="I13" i="43"/>
  <c r="O76" i="39"/>
  <c r="G21" i="40"/>
  <c r="G23" i="40" s="1"/>
  <c r="G26" i="40" s="1"/>
  <c r="V62" i="39"/>
  <c r="R62" i="39"/>
  <c r="M73" i="28"/>
  <c r="I73" i="39"/>
  <c r="I75" i="28"/>
  <c r="I73" i="14"/>
  <c r="N75" i="28"/>
  <c r="S73" i="28"/>
  <c r="P73" i="28"/>
  <c r="J20" i="29"/>
  <c r="R75" i="28"/>
  <c r="C144" i="49"/>
  <c r="U6" i="34"/>
  <c r="U60" i="34" s="1"/>
  <c r="Q75" i="14"/>
  <c r="V73" i="14"/>
  <c r="S73" i="14"/>
  <c r="J20" i="21"/>
  <c r="U75" i="14"/>
  <c r="J20" i="40"/>
  <c r="U75" i="39"/>
  <c r="V33" i="45"/>
  <c r="AC33" i="45"/>
  <c r="AD33" i="45" s="1"/>
  <c r="AF33" i="45" s="1"/>
  <c r="Z33" i="45"/>
  <c r="F33" i="45"/>
  <c r="H33" i="45"/>
  <c r="J33" i="45"/>
  <c r="X33" i="45"/>
  <c r="L33" i="45"/>
  <c r="F110" i="42"/>
  <c r="H111" i="16"/>
  <c r="G20" i="16"/>
  <c r="G19" i="17"/>
  <c r="F87" i="41"/>
  <c r="AE18" i="46"/>
  <c r="T27" i="46"/>
  <c r="H27" i="46"/>
  <c r="R27" i="46"/>
  <c r="V27" i="46"/>
  <c r="N27" i="46"/>
  <c r="L27" i="46"/>
  <c r="AC27" i="46"/>
  <c r="AD27" i="46" s="1"/>
  <c r="AF27" i="46" s="1"/>
  <c r="AB27" i="46"/>
  <c r="G60" i="45"/>
  <c r="I6" i="45" s="1"/>
  <c r="I60" i="45" s="1"/>
  <c r="K6" i="45" s="1"/>
  <c r="K60" i="45" s="1"/>
  <c r="G26" i="43"/>
  <c r="G39" i="43" s="1"/>
  <c r="G46" i="43" s="1"/>
  <c r="F26" i="2"/>
  <c r="F39" i="2" s="1"/>
  <c r="F46" i="2" s="1"/>
  <c r="AE18" i="37"/>
  <c r="F63" i="16"/>
  <c r="F55" i="2"/>
  <c r="K25" i="41"/>
  <c r="H25" i="43"/>
  <c r="X39" i="46"/>
  <c r="V39" i="46"/>
  <c r="Z39" i="46"/>
  <c r="AB39" i="46"/>
  <c r="L39" i="46"/>
  <c r="P39" i="46"/>
  <c r="H39" i="46"/>
  <c r="T39" i="46"/>
  <c r="J39" i="46"/>
  <c r="F39" i="46"/>
  <c r="R39" i="46"/>
  <c r="N39" i="46"/>
  <c r="AC38" i="45"/>
  <c r="AD38" i="45" s="1"/>
  <c r="AF38" i="45" s="1"/>
  <c r="L38" i="45"/>
  <c r="T38" i="45"/>
  <c r="N38" i="45"/>
  <c r="V38" i="45"/>
  <c r="P38" i="45"/>
  <c r="F38" i="45"/>
  <c r="R38" i="45"/>
  <c r="J38" i="45"/>
  <c r="AB38" i="45"/>
  <c r="Z38" i="45"/>
  <c r="H38" i="45"/>
  <c r="X38" i="45"/>
  <c r="H54" i="43"/>
  <c r="C44" i="51"/>
  <c r="AC10" i="46"/>
  <c r="AD10" i="46" s="1"/>
  <c r="AF10" i="46" s="1"/>
  <c r="AC31" i="45"/>
  <c r="AD31" i="45" s="1"/>
  <c r="AF31" i="45" s="1"/>
  <c r="X31" i="45"/>
  <c r="Z31" i="45"/>
  <c r="N31" i="45"/>
  <c r="P31" i="45"/>
  <c r="H31" i="45"/>
  <c r="J31" i="45"/>
  <c r="R31" i="45"/>
  <c r="AB31" i="45"/>
  <c r="V31" i="45"/>
  <c r="F31" i="45"/>
  <c r="T31" i="45"/>
  <c r="L31" i="45"/>
  <c r="J25" i="43"/>
  <c r="M25" i="41"/>
  <c r="V29" i="45"/>
  <c r="J29" i="45"/>
  <c r="AB29" i="45"/>
  <c r="T29" i="45"/>
  <c r="H29" i="45"/>
  <c r="R29" i="45"/>
  <c r="L29" i="45"/>
  <c r="P29" i="45"/>
  <c r="Z29" i="45"/>
  <c r="AC29" i="45"/>
  <c r="AD29" i="45" s="1"/>
  <c r="AF29" i="45" s="1"/>
  <c r="F29" i="45"/>
  <c r="X29" i="45"/>
  <c r="N29" i="45"/>
  <c r="I25" i="41"/>
  <c r="N10" i="46"/>
  <c r="F12" i="45"/>
  <c r="X12" i="45"/>
  <c r="N12" i="45"/>
  <c r="J12" i="45"/>
  <c r="P12" i="45"/>
  <c r="V12" i="45"/>
  <c r="Z12" i="45"/>
  <c r="L12" i="45"/>
  <c r="AC12" i="45"/>
  <c r="AD12" i="45" s="1"/>
  <c r="AF12" i="45" s="1"/>
  <c r="R12" i="45"/>
  <c r="AB12" i="45"/>
  <c r="T12" i="45"/>
  <c r="H12" i="45"/>
  <c r="P33" i="46"/>
  <c r="X33" i="46"/>
  <c r="N33" i="46"/>
  <c r="Z33" i="46"/>
  <c r="H33" i="46"/>
  <c r="R33" i="46"/>
  <c r="T33" i="46"/>
  <c r="J33" i="46"/>
  <c r="V33" i="46"/>
  <c r="AC33" i="46"/>
  <c r="AD33" i="46" s="1"/>
  <c r="AF33" i="46" s="1"/>
  <c r="F33" i="46"/>
  <c r="AB33" i="46"/>
  <c r="L33" i="46"/>
  <c r="H30" i="46"/>
  <c r="X30" i="46"/>
  <c r="J30" i="46"/>
  <c r="T30" i="46"/>
  <c r="Z30" i="46"/>
  <c r="AB30" i="46"/>
  <c r="L30" i="46"/>
  <c r="R30" i="46"/>
  <c r="AC30" i="46"/>
  <c r="AD30" i="46" s="1"/>
  <c r="AF30" i="46" s="1"/>
  <c r="F30" i="46"/>
  <c r="N30" i="46"/>
  <c r="V30" i="46"/>
  <c r="P30" i="46"/>
  <c r="V10" i="46"/>
  <c r="V37" i="45"/>
  <c r="X37" i="45"/>
  <c r="AC38" i="46"/>
  <c r="J38" i="46"/>
  <c r="H38" i="46"/>
  <c r="L38" i="46"/>
  <c r="N38" i="46"/>
  <c r="T38" i="46"/>
  <c r="R38" i="46"/>
  <c r="AB38" i="46"/>
  <c r="X38" i="46"/>
  <c r="P38" i="46"/>
  <c r="Z38" i="46"/>
  <c r="F38" i="46"/>
  <c r="V38" i="46"/>
  <c r="AB18" i="46"/>
  <c r="L18" i="46"/>
  <c r="T18" i="46"/>
  <c r="Z18" i="46"/>
  <c r="V18" i="46"/>
  <c r="F18" i="46"/>
  <c r="J18" i="46"/>
  <c r="R18" i="46"/>
  <c r="H18" i="46"/>
  <c r="N18" i="46"/>
  <c r="X18" i="46"/>
  <c r="P18" i="46"/>
  <c r="AC18" i="46"/>
  <c r="AD18" i="46" s="1"/>
  <c r="AF18" i="46" s="1"/>
  <c r="H34" i="46"/>
  <c r="R34" i="46"/>
  <c r="T34" i="46"/>
  <c r="Z34" i="46"/>
  <c r="AB34" i="46"/>
  <c r="J34" i="46"/>
  <c r="F34" i="46"/>
  <c r="V34" i="46"/>
  <c r="L34" i="46"/>
  <c r="X34" i="46"/>
  <c r="N34" i="46"/>
  <c r="P34" i="46"/>
  <c r="AC26" i="45"/>
  <c r="L26" i="45"/>
  <c r="J26" i="45"/>
  <c r="AE34" i="45"/>
  <c r="F26" i="45"/>
  <c r="Z26" i="45"/>
  <c r="P26" i="45"/>
  <c r="X26" i="45"/>
  <c r="V26" i="45"/>
  <c r="AB26" i="45"/>
  <c r="R26" i="45"/>
  <c r="T26" i="45"/>
  <c r="N26" i="45"/>
  <c r="H26" i="45"/>
  <c r="I37" i="43"/>
  <c r="E70" i="43"/>
  <c r="E71" i="43" s="1"/>
  <c r="B73" i="51" s="1"/>
  <c r="B55" i="51"/>
  <c r="J13" i="46"/>
  <c r="N13" i="46"/>
  <c r="L13" i="46"/>
  <c r="P13" i="46"/>
  <c r="Z13" i="46"/>
  <c r="T13" i="46"/>
  <c r="V13" i="46"/>
  <c r="F13" i="46"/>
  <c r="X13" i="46"/>
  <c r="R13" i="46"/>
  <c r="AB13" i="46"/>
  <c r="H13" i="46"/>
  <c r="AC13" i="46"/>
  <c r="AD13" i="46" s="1"/>
  <c r="AF13" i="46" s="1"/>
  <c r="AD26" i="46"/>
  <c r="P10" i="46"/>
  <c r="L10" i="46"/>
  <c r="X10" i="46"/>
  <c r="J17" i="43"/>
  <c r="K17" i="43" s="1"/>
  <c r="M17" i="41"/>
  <c r="R10" i="46"/>
  <c r="J10" i="46"/>
  <c r="K21" i="43"/>
  <c r="AE18" i="45"/>
  <c r="I21" i="43"/>
  <c r="AD37" i="45"/>
  <c r="AC39" i="45"/>
  <c r="X39" i="45"/>
  <c r="H39" i="45"/>
  <c r="AB39" i="45"/>
  <c r="L39" i="45"/>
  <c r="F39" i="45"/>
  <c r="T39" i="45"/>
  <c r="P39" i="45"/>
  <c r="N39" i="45"/>
  <c r="R39" i="45"/>
  <c r="Z39" i="45"/>
  <c r="J39" i="45"/>
  <c r="V39" i="45"/>
  <c r="G80" i="43"/>
  <c r="G70" i="41"/>
  <c r="G70" i="43" s="1"/>
  <c r="G71" i="43" s="1"/>
  <c r="G81" i="43" s="1"/>
  <c r="G55" i="43"/>
  <c r="V73" i="39"/>
  <c r="Q75" i="39"/>
  <c r="R75" i="39" s="1"/>
  <c r="S73" i="39"/>
  <c r="G20" i="40"/>
  <c r="P75" i="39"/>
  <c r="S75" i="39"/>
  <c r="C138" i="51" l="1"/>
  <c r="C139" i="51"/>
  <c r="R76" i="39"/>
  <c r="H21" i="40"/>
  <c r="G26" i="17"/>
  <c r="G19" i="2"/>
  <c r="H19" i="17"/>
  <c r="F19" i="41"/>
  <c r="G20" i="2"/>
  <c r="H20" i="16"/>
  <c r="F20" i="42"/>
  <c r="G26" i="16"/>
  <c r="U76" i="39"/>
  <c r="J21" i="40"/>
  <c r="J21" i="21"/>
  <c r="U76" i="14"/>
  <c r="R75" i="14"/>
  <c r="H20" i="21"/>
  <c r="V75" i="14"/>
  <c r="S75" i="14"/>
  <c r="W6" i="34"/>
  <c r="W60" i="34" s="1"/>
  <c r="C145" i="49"/>
  <c r="J21" i="29"/>
  <c r="R76" i="28"/>
  <c r="H20" i="29"/>
  <c r="O75" i="28"/>
  <c r="S75" i="28"/>
  <c r="P75" i="28"/>
  <c r="J75" i="28"/>
  <c r="I75" i="14"/>
  <c r="M75" i="28"/>
  <c r="I75" i="39"/>
  <c r="M73" i="39"/>
  <c r="M73" i="14"/>
  <c r="H87" i="41"/>
  <c r="H110" i="42"/>
  <c r="F73" i="43"/>
  <c r="D6" i="51"/>
  <c r="G73" i="43"/>
  <c r="AC34" i="46"/>
  <c r="C140" i="51"/>
  <c r="M6" i="45"/>
  <c r="M60" i="45" s="1"/>
  <c r="F63" i="2"/>
  <c r="F84" i="16"/>
  <c r="L18" i="37"/>
  <c r="Z18" i="37"/>
  <c r="H18" i="37"/>
  <c r="F18" i="37"/>
  <c r="T18" i="37"/>
  <c r="X18" i="37"/>
  <c r="AB18" i="37"/>
  <c r="V18" i="37"/>
  <c r="R18" i="37"/>
  <c r="AE23" i="37"/>
  <c r="J18" i="37"/>
  <c r="N18" i="37"/>
  <c r="P18" i="37"/>
  <c r="AC18" i="37"/>
  <c r="G82" i="43"/>
  <c r="AD38" i="46"/>
  <c r="AC39" i="46"/>
  <c r="Z18" i="45"/>
  <c r="V18" i="45"/>
  <c r="X18" i="45"/>
  <c r="J18" i="45"/>
  <c r="AC18" i="45"/>
  <c r="AD18" i="45" s="1"/>
  <c r="AF18" i="45" s="1"/>
  <c r="P18" i="45"/>
  <c r="L18" i="45"/>
  <c r="H18" i="45"/>
  <c r="N18" i="45"/>
  <c r="AB18" i="45"/>
  <c r="T18" i="45"/>
  <c r="R18" i="45"/>
  <c r="F18" i="45"/>
  <c r="AD26" i="45"/>
  <c r="AC34" i="45"/>
  <c r="AF26" i="46"/>
  <c r="AF34" i="46" s="1"/>
  <c r="AD34" i="46"/>
  <c r="AE22" i="46"/>
  <c r="M25" i="43"/>
  <c r="AE22" i="45"/>
  <c r="K25" i="43"/>
  <c r="I25" i="43"/>
  <c r="M17" i="43"/>
  <c r="AE14" i="46"/>
  <c r="L34" i="45"/>
  <c r="X34" i="45"/>
  <c r="P34" i="45"/>
  <c r="H34" i="45"/>
  <c r="V34" i="45"/>
  <c r="R34" i="45"/>
  <c r="F34" i="45"/>
  <c r="J34" i="45"/>
  <c r="N34" i="45"/>
  <c r="Z34" i="45"/>
  <c r="AB34" i="45"/>
  <c r="T34" i="45"/>
  <c r="AD39" i="45"/>
  <c r="AF37" i="45"/>
  <c r="AF39" i="45" s="1"/>
  <c r="G75" i="43"/>
  <c r="V75" i="39"/>
  <c r="H20" i="40"/>
  <c r="K20" i="40" s="1"/>
  <c r="H20" i="42" l="1"/>
  <c r="I110" i="42"/>
  <c r="I87" i="41"/>
  <c r="H19" i="41"/>
  <c r="M75" i="39"/>
  <c r="M75" i="14"/>
  <c r="J75" i="14"/>
  <c r="J76" i="28"/>
  <c r="J75" i="39"/>
  <c r="H21" i="29"/>
  <c r="O76" i="28"/>
  <c r="I20" i="29"/>
  <c r="K20" i="29"/>
  <c r="J87" i="30"/>
  <c r="J19" i="30" s="1"/>
  <c r="J73" i="32"/>
  <c r="E71" i="49" s="1"/>
  <c r="E6" i="49"/>
  <c r="J111" i="31"/>
  <c r="J20" i="31" s="1"/>
  <c r="J23" i="29"/>
  <c r="K21" i="29"/>
  <c r="Y6" i="34"/>
  <c r="Y60" i="34" s="1"/>
  <c r="C146" i="49"/>
  <c r="I20" i="21"/>
  <c r="K20" i="21"/>
  <c r="H21" i="21"/>
  <c r="R76" i="14"/>
  <c r="K87" i="17"/>
  <c r="K19" i="17" s="1"/>
  <c r="K73" i="2"/>
  <c r="E71" i="50" s="1"/>
  <c r="K111" i="16"/>
  <c r="K20" i="16" s="1"/>
  <c r="J23" i="21"/>
  <c r="K21" i="21"/>
  <c r="J23" i="40"/>
  <c r="K21" i="40"/>
  <c r="L110" i="42"/>
  <c r="L20" i="42" s="1"/>
  <c r="L87" i="41"/>
  <c r="L19" i="41" s="1"/>
  <c r="G39" i="16"/>
  <c r="C80" i="50"/>
  <c r="H26" i="16"/>
  <c r="F20" i="43"/>
  <c r="F26" i="42"/>
  <c r="F39" i="42" s="1"/>
  <c r="F46" i="42" s="1"/>
  <c r="F55" i="42" s="1"/>
  <c r="F63" i="42" s="1"/>
  <c r="H20" i="2"/>
  <c r="F26" i="41"/>
  <c r="F39" i="41" s="1"/>
  <c r="F46" i="41" s="1"/>
  <c r="F55" i="41" s="1"/>
  <c r="F55" i="43" s="1"/>
  <c r="F19" i="43"/>
  <c r="F26" i="43" s="1"/>
  <c r="F39" i="43" s="1"/>
  <c r="F46" i="43" s="1"/>
  <c r="H19" i="2"/>
  <c r="G26" i="2"/>
  <c r="C77" i="50"/>
  <c r="H26" i="17"/>
  <c r="G39" i="17"/>
  <c r="I21" i="40"/>
  <c r="H23" i="40"/>
  <c r="J87" i="41"/>
  <c r="E6" i="51"/>
  <c r="J110" i="42"/>
  <c r="O6" i="45"/>
  <c r="O60" i="45" s="1"/>
  <c r="C141" i="51"/>
  <c r="AB23" i="37"/>
  <c r="F23" i="37"/>
  <c r="H23" i="37"/>
  <c r="V23" i="37"/>
  <c r="T23" i="37"/>
  <c r="X23" i="37"/>
  <c r="P23" i="37"/>
  <c r="N23" i="37"/>
  <c r="R23" i="37"/>
  <c r="L23" i="37"/>
  <c r="Z23" i="37"/>
  <c r="J23" i="37"/>
  <c r="AD18" i="37"/>
  <c r="AC23" i="37"/>
  <c r="AC58" i="37" s="1"/>
  <c r="AC60" i="37" s="1"/>
  <c r="AD34" i="45"/>
  <c r="AF26" i="45"/>
  <c r="AF34" i="45" s="1"/>
  <c r="J22" i="45"/>
  <c r="Z22" i="45"/>
  <c r="AB22" i="45"/>
  <c r="N22" i="45"/>
  <c r="V22" i="45"/>
  <c r="T22" i="45"/>
  <c r="X22" i="45"/>
  <c r="AC22" i="45"/>
  <c r="AD22" i="45" s="1"/>
  <c r="AF22" i="45" s="1"/>
  <c r="L22" i="45"/>
  <c r="P22" i="45"/>
  <c r="R22" i="45"/>
  <c r="H22" i="45"/>
  <c r="F22" i="45"/>
  <c r="V22" i="46"/>
  <c r="H22" i="46"/>
  <c r="AB22" i="46"/>
  <c r="R22" i="46"/>
  <c r="AC22" i="46"/>
  <c r="AD22" i="46" s="1"/>
  <c r="AF22" i="46" s="1"/>
  <c r="P22" i="46"/>
  <c r="J22" i="46"/>
  <c r="X22" i="46"/>
  <c r="L22" i="46"/>
  <c r="Z22" i="46"/>
  <c r="N22" i="46"/>
  <c r="F22" i="46"/>
  <c r="T22" i="46"/>
  <c r="H14" i="46"/>
  <c r="P14" i="46"/>
  <c r="N14" i="46"/>
  <c r="R14" i="46"/>
  <c r="F14" i="46"/>
  <c r="Z14" i="46"/>
  <c r="X14" i="46"/>
  <c r="V14" i="46"/>
  <c r="AB14" i="46"/>
  <c r="T14" i="46"/>
  <c r="J14" i="46"/>
  <c r="AC14" i="46"/>
  <c r="AD14" i="46" s="1"/>
  <c r="AF14" i="46" s="1"/>
  <c r="L14" i="46"/>
  <c r="AD39" i="46"/>
  <c r="AF38" i="46"/>
  <c r="AF39" i="46" s="1"/>
  <c r="I20" i="40"/>
  <c r="J20" i="42" l="1"/>
  <c r="M110" i="42"/>
  <c r="K110" i="42"/>
  <c r="M87" i="41"/>
  <c r="J19" i="41"/>
  <c r="K87" i="41"/>
  <c r="H26" i="40"/>
  <c r="I23" i="40"/>
  <c r="G46" i="17"/>
  <c r="J39" i="17"/>
  <c r="H39" i="17"/>
  <c r="H26" i="2"/>
  <c r="G39" i="2"/>
  <c r="F94" i="42"/>
  <c r="F63" i="43"/>
  <c r="G46" i="16"/>
  <c r="L26" i="41"/>
  <c r="L19" i="43"/>
  <c r="L20" i="43"/>
  <c r="L26" i="42"/>
  <c r="J26" i="40"/>
  <c r="K23" i="40"/>
  <c r="J26" i="21"/>
  <c r="K20" i="2"/>
  <c r="K26" i="16"/>
  <c r="K19" i="2"/>
  <c r="K26" i="2" s="1"/>
  <c r="K39" i="2" s="1"/>
  <c r="K46" i="2" s="1"/>
  <c r="K26" i="17"/>
  <c r="E6" i="50"/>
  <c r="I73" i="2"/>
  <c r="D71" i="50" s="1"/>
  <c r="I111" i="16"/>
  <c r="I87" i="17"/>
  <c r="H23" i="21"/>
  <c r="I21" i="21"/>
  <c r="AA6" i="34"/>
  <c r="AA60" i="34" s="1"/>
  <c r="C147" i="49"/>
  <c r="J26" i="29"/>
  <c r="J20" i="32"/>
  <c r="J26" i="31"/>
  <c r="J19" i="32"/>
  <c r="J26" i="32" s="1"/>
  <c r="J39" i="32" s="1"/>
  <c r="J46" i="32" s="1"/>
  <c r="J26" i="30"/>
  <c r="H87" i="30"/>
  <c r="D6" i="49"/>
  <c r="H73" i="32"/>
  <c r="D71" i="49" s="1"/>
  <c r="H111" i="31"/>
  <c r="I21" i="29"/>
  <c r="H23" i="29"/>
  <c r="J76" i="14"/>
  <c r="F26" i="29"/>
  <c r="E73" i="32"/>
  <c r="B6" i="49"/>
  <c r="J76" i="39"/>
  <c r="H26" i="41"/>
  <c r="H19" i="43"/>
  <c r="K19" i="41"/>
  <c r="I19" i="41"/>
  <c r="K20" i="42"/>
  <c r="H20" i="43"/>
  <c r="I20" i="42"/>
  <c r="H26" i="42"/>
  <c r="C142" i="51"/>
  <c r="Q6" i="45"/>
  <c r="Q60" i="45" s="1"/>
  <c r="AD23" i="37"/>
  <c r="AD58" i="37" s="1"/>
  <c r="AF18" i="37"/>
  <c r="AF23" i="37" s="1"/>
  <c r="H39" i="42" l="1"/>
  <c r="I26" i="42"/>
  <c r="C80" i="51"/>
  <c r="AE17" i="45"/>
  <c r="I20" i="43"/>
  <c r="AE16" i="45"/>
  <c r="H26" i="43"/>
  <c r="I19" i="43"/>
  <c r="C77" i="51"/>
  <c r="H39" i="41"/>
  <c r="I26" i="41"/>
  <c r="F26" i="40"/>
  <c r="B6" i="51"/>
  <c r="B71" i="49"/>
  <c r="E75" i="32"/>
  <c r="B6" i="50"/>
  <c r="F26" i="21"/>
  <c r="I23" i="29"/>
  <c r="H26" i="29"/>
  <c r="K23" i="29"/>
  <c r="H20" i="31"/>
  <c r="K111" i="31"/>
  <c r="I111" i="31"/>
  <c r="H19" i="30"/>
  <c r="I87" i="30"/>
  <c r="K87" i="30"/>
  <c r="J39" i="30"/>
  <c r="J46" i="30" s="1"/>
  <c r="J80" i="32" s="1"/>
  <c r="E77" i="49"/>
  <c r="E80" i="49"/>
  <c r="J39" i="31"/>
  <c r="J46" i="31" s="1"/>
  <c r="C148" i="49"/>
  <c r="E6" i="35"/>
  <c r="E60" i="35" s="1"/>
  <c r="AC6" i="34"/>
  <c r="AC60" i="34" s="1"/>
  <c r="AC63" i="34" s="1"/>
  <c r="H26" i="21"/>
  <c r="I23" i="21"/>
  <c r="K23" i="21"/>
  <c r="L87" i="17"/>
  <c r="I19" i="17"/>
  <c r="J87" i="17"/>
  <c r="L111" i="16"/>
  <c r="I20" i="16"/>
  <c r="J111" i="16"/>
  <c r="E77" i="50"/>
  <c r="K39" i="17"/>
  <c r="K46" i="17" s="1"/>
  <c r="E80" i="50"/>
  <c r="K39" i="16"/>
  <c r="K46" i="16" s="1"/>
  <c r="L39" i="42"/>
  <c r="L46" i="42" s="1"/>
  <c r="E80" i="51"/>
  <c r="L26" i="43"/>
  <c r="L39" i="43" s="1"/>
  <c r="L46" i="43" s="1"/>
  <c r="E77" i="51"/>
  <c r="L39" i="41"/>
  <c r="L46" i="41" s="1"/>
  <c r="L80" i="43" s="1"/>
  <c r="E75" i="51" s="1"/>
  <c r="G55" i="16"/>
  <c r="H39" i="2"/>
  <c r="G46" i="2"/>
  <c r="J39" i="2"/>
  <c r="J46" i="17"/>
  <c r="H46" i="17"/>
  <c r="G80" i="2"/>
  <c r="G55" i="17"/>
  <c r="J19" i="43"/>
  <c r="M19" i="41"/>
  <c r="J26" i="41"/>
  <c r="J26" i="42"/>
  <c r="M20" i="42"/>
  <c r="J20" i="43"/>
  <c r="S6" i="45"/>
  <c r="S60" i="45" s="1"/>
  <c r="C143" i="51"/>
  <c r="AE17" i="46" l="1"/>
  <c r="M20" i="43"/>
  <c r="K20" i="43"/>
  <c r="D80" i="51"/>
  <c r="J39" i="42"/>
  <c r="M26" i="42"/>
  <c r="K26" i="42"/>
  <c r="D77" i="51"/>
  <c r="M26" i="41"/>
  <c r="J39" i="41"/>
  <c r="K26" i="41"/>
  <c r="M19" i="43"/>
  <c r="AE16" i="46"/>
  <c r="J26" i="43"/>
  <c r="K26" i="43" s="1"/>
  <c r="K19" i="43"/>
  <c r="H55" i="17"/>
  <c r="C45" i="50"/>
  <c r="I54" i="17"/>
  <c r="G70" i="17"/>
  <c r="G55" i="2"/>
  <c r="C75" i="50"/>
  <c r="J46" i="2"/>
  <c r="H46" i="2"/>
  <c r="G63" i="16"/>
  <c r="C64" i="50"/>
  <c r="I54" i="16"/>
  <c r="K80" i="2"/>
  <c r="I20" i="2"/>
  <c r="L20" i="16"/>
  <c r="I26" i="16"/>
  <c r="J20" i="16"/>
  <c r="L19" i="17"/>
  <c r="I19" i="2"/>
  <c r="I26" i="17"/>
  <c r="J19" i="17"/>
  <c r="G6" i="35"/>
  <c r="G60" i="35" s="1"/>
  <c r="D137" i="49"/>
  <c r="E75" i="49"/>
  <c r="H19" i="32"/>
  <c r="K19" i="30"/>
  <c r="H26" i="30"/>
  <c r="I19" i="30"/>
  <c r="H20" i="32"/>
  <c r="K20" i="31"/>
  <c r="H26" i="31"/>
  <c r="I39" i="41"/>
  <c r="H46" i="41"/>
  <c r="K39" i="41"/>
  <c r="I26" i="43"/>
  <c r="H39" i="43"/>
  <c r="H16" i="45"/>
  <c r="L16" i="45"/>
  <c r="P16" i="45"/>
  <c r="F16" i="45"/>
  <c r="J16" i="45"/>
  <c r="X16" i="45"/>
  <c r="V16" i="45"/>
  <c r="N16" i="45"/>
  <c r="T16" i="45"/>
  <c r="R16" i="45"/>
  <c r="AC16" i="45"/>
  <c r="Z16" i="45"/>
  <c r="AE23" i="45"/>
  <c r="AB16" i="45"/>
  <c r="X17" i="45"/>
  <c r="J17" i="45"/>
  <c r="P17" i="45"/>
  <c r="R17" i="45"/>
  <c r="N17" i="45"/>
  <c r="T17" i="45"/>
  <c r="Z17" i="45"/>
  <c r="L17" i="45"/>
  <c r="H17" i="45"/>
  <c r="AC17" i="45"/>
  <c r="AD17" i="45" s="1"/>
  <c r="AF17" i="45" s="1"/>
  <c r="V17" i="45"/>
  <c r="F17" i="45"/>
  <c r="AB17" i="45"/>
  <c r="H46" i="42"/>
  <c r="K39" i="42"/>
  <c r="U6" i="45"/>
  <c r="U60" i="45" s="1"/>
  <c r="C144" i="51"/>
  <c r="H55" i="42" l="1"/>
  <c r="F23" i="45"/>
  <c r="Z23" i="45"/>
  <c r="R23" i="45"/>
  <c r="P23" i="45"/>
  <c r="L23" i="45"/>
  <c r="AB23" i="45"/>
  <c r="H23" i="45"/>
  <c r="T23" i="45"/>
  <c r="X23" i="45"/>
  <c r="V23" i="45"/>
  <c r="N23" i="45"/>
  <c r="J23" i="45"/>
  <c r="AC23" i="45"/>
  <c r="AC58" i="45" s="1"/>
  <c r="AD16" i="45"/>
  <c r="H46" i="43"/>
  <c r="I39" i="43"/>
  <c r="I46" i="41"/>
  <c r="H80" i="43"/>
  <c r="C75" i="51" s="1"/>
  <c r="H55" i="41"/>
  <c r="H39" i="31"/>
  <c r="D80" i="49"/>
  <c r="K26" i="31"/>
  <c r="I26" i="31"/>
  <c r="K20" i="32"/>
  <c r="AE17" i="35"/>
  <c r="I20" i="32"/>
  <c r="I26" i="30"/>
  <c r="K26" i="30"/>
  <c r="H39" i="30"/>
  <c r="D77" i="49"/>
  <c r="AE16" i="35"/>
  <c r="K19" i="32"/>
  <c r="I19" i="32"/>
  <c r="H26" i="32"/>
  <c r="I6" i="35"/>
  <c r="I60" i="35" s="1"/>
  <c r="D138" i="49"/>
  <c r="L26" i="17"/>
  <c r="D77" i="50"/>
  <c r="I39" i="17"/>
  <c r="J26" i="17"/>
  <c r="L19" i="2"/>
  <c r="AE16" i="38"/>
  <c r="I26" i="2"/>
  <c r="J19" i="2"/>
  <c r="I39" i="16"/>
  <c r="L26" i="16"/>
  <c r="D80" i="50"/>
  <c r="J26" i="16"/>
  <c r="AE17" i="38"/>
  <c r="L20" i="2"/>
  <c r="J20" i="2"/>
  <c r="E75" i="50"/>
  <c r="D63" i="50"/>
  <c r="G63" i="2"/>
  <c r="G84" i="16"/>
  <c r="H55" i="2"/>
  <c r="AC62" i="37"/>
  <c r="AC63" i="37" s="1"/>
  <c r="C55" i="50"/>
  <c r="G70" i="2"/>
  <c r="F70" i="41"/>
  <c r="F70" i="43" s="1"/>
  <c r="F71" i="43" s="1"/>
  <c r="F75" i="43" s="1"/>
  <c r="H70" i="17"/>
  <c r="J70" i="17"/>
  <c r="D44" i="50"/>
  <c r="I54" i="2"/>
  <c r="M26" i="43"/>
  <c r="J39" i="43"/>
  <c r="V16" i="46"/>
  <c r="J16" i="46"/>
  <c r="AE23" i="46"/>
  <c r="AB16" i="46"/>
  <c r="N16" i="46"/>
  <c r="AC16" i="46"/>
  <c r="L16" i="46"/>
  <c r="H16" i="46"/>
  <c r="Z16" i="46"/>
  <c r="X16" i="46"/>
  <c r="P16" i="46"/>
  <c r="T16" i="46"/>
  <c r="R16" i="46"/>
  <c r="F16" i="46"/>
  <c r="M39" i="41"/>
  <c r="J46" i="41"/>
  <c r="J46" i="42"/>
  <c r="M39" i="42"/>
  <c r="J17" i="46"/>
  <c r="F17" i="46"/>
  <c r="H17" i="46"/>
  <c r="Z17" i="46"/>
  <c r="AC17" i="46"/>
  <c r="AD17" i="46" s="1"/>
  <c r="AF17" i="46" s="1"/>
  <c r="T17" i="46"/>
  <c r="P17" i="46"/>
  <c r="X17" i="46"/>
  <c r="L17" i="46"/>
  <c r="R17" i="46"/>
  <c r="V17" i="46"/>
  <c r="AB17" i="46"/>
  <c r="N17" i="46"/>
  <c r="W6" i="45"/>
  <c r="W60" i="45" s="1"/>
  <c r="C145" i="51"/>
  <c r="M46" i="42" l="1"/>
  <c r="K46" i="42"/>
  <c r="M46" i="41"/>
  <c r="J80" i="43"/>
  <c r="D75" i="51" s="1"/>
  <c r="K46" i="41"/>
  <c r="AD16" i="46"/>
  <c r="AC23" i="46"/>
  <c r="AC58" i="46" s="1"/>
  <c r="T23" i="46"/>
  <c r="R23" i="46"/>
  <c r="AB23" i="46"/>
  <c r="N23" i="46"/>
  <c r="J23" i="46"/>
  <c r="P23" i="46"/>
  <c r="V23" i="46"/>
  <c r="Z23" i="46"/>
  <c r="H23" i="46"/>
  <c r="F23" i="46"/>
  <c r="X23" i="46"/>
  <c r="L23" i="46"/>
  <c r="J46" i="43"/>
  <c r="M46" i="43" s="1"/>
  <c r="M39" i="43"/>
  <c r="K39" i="43"/>
  <c r="J54" i="2"/>
  <c r="G71" i="2"/>
  <c r="H70" i="2"/>
  <c r="J70" i="2"/>
  <c r="AC17" i="38"/>
  <c r="AD17" i="38" s="1"/>
  <c r="AF17" i="38"/>
  <c r="J17" i="38"/>
  <c r="AB17" i="38"/>
  <c r="N17" i="38"/>
  <c r="P17" i="38"/>
  <c r="H17" i="38"/>
  <c r="V17" i="38"/>
  <c r="X17" i="38"/>
  <c r="T17" i="38"/>
  <c r="Z17" i="38"/>
  <c r="F17" i="38"/>
  <c r="L17" i="38"/>
  <c r="R17" i="38"/>
  <c r="I46" i="16"/>
  <c r="L39" i="16"/>
  <c r="J39" i="16"/>
  <c r="I39" i="2"/>
  <c r="L26" i="2"/>
  <c r="J26" i="2"/>
  <c r="X16" i="38"/>
  <c r="H16" i="38"/>
  <c r="P16" i="38"/>
  <c r="F16" i="38"/>
  <c r="J16" i="38"/>
  <c r="AB16" i="38"/>
  <c r="N16" i="38"/>
  <c r="V16" i="38"/>
  <c r="T16" i="38"/>
  <c r="AC16" i="38"/>
  <c r="L16" i="38"/>
  <c r="Z16" i="38"/>
  <c r="R16" i="38"/>
  <c r="AE23" i="38"/>
  <c r="I46" i="17"/>
  <c r="L39" i="17"/>
  <c r="D139" i="49"/>
  <c r="K6" i="35"/>
  <c r="K60" i="35" s="1"/>
  <c r="K26" i="32"/>
  <c r="H39" i="32"/>
  <c r="I26" i="32"/>
  <c r="P16" i="35"/>
  <c r="J16" i="35"/>
  <c r="R16" i="35"/>
  <c r="V16" i="35"/>
  <c r="N16" i="35"/>
  <c r="F16" i="35"/>
  <c r="X16" i="35"/>
  <c r="H16" i="35"/>
  <c r="L16" i="35"/>
  <c r="Z16" i="35"/>
  <c r="T16" i="35"/>
  <c r="AB16" i="35"/>
  <c r="AC16" i="35"/>
  <c r="AE23" i="35"/>
  <c r="I39" i="30"/>
  <c r="H46" i="30"/>
  <c r="K39" i="30"/>
  <c r="L17" i="35"/>
  <c r="AC17" i="35"/>
  <c r="AD17" i="35" s="1"/>
  <c r="AF17" i="35"/>
  <c r="P17" i="35"/>
  <c r="J17" i="35"/>
  <c r="N17" i="35"/>
  <c r="H17" i="35"/>
  <c r="AB17" i="35"/>
  <c r="V17" i="35"/>
  <c r="T17" i="35"/>
  <c r="R17" i="35"/>
  <c r="Z17" i="35"/>
  <c r="X17" i="35"/>
  <c r="F17" i="35"/>
  <c r="H46" i="31"/>
  <c r="K39" i="31"/>
  <c r="J54" i="41"/>
  <c r="H70" i="41"/>
  <c r="C45" i="51"/>
  <c r="I55" i="41"/>
  <c r="H55" i="43"/>
  <c r="I46" i="43"/>
  <c r="AD23" i="45"/>
  <c r="AD58" i="45" s="1"/>
  <c r="AF16" i="45"/>
  <c r="AF23" i="45" s="1"/>
  <c r="C64" i="51"/>
  <c r="H63" i="42"/>
  <c r="J54" i="42"/>
  <c r="C146" i="51"/>
  <c r="Y6" i="45"/>
  <c r="Y60" i="45" s="1"/>
  <c r="K46" i="43" l="1"/>
  <c r="D63" i="51"/>
  <c r="J55" i="42"/>
  <c r="H63" i="43"/>
  <c r="H94" i="42"/>
  <c r="AC62" i="46"/>
  <c r="J54" i="43"/>
  <c r="J55" i="43" s="1"/>
  <c r="K55" i="43" s="1"/>
  <c r="AC62" i="45"/>
  <c r="I55" i="43"/>
  <c r="I70" i="41"/>
  <c r="C55" i="51"/>
  <c r="H70" i="43"/>
  <c r="J55" i="41"/>
  <c r="D44" i="51"/>
  <c r="K46" i="31"/>
  <c r="H55" i="31"/>
  <c r="H80" i="32"/>
  <c r="K46" i="30"/>
  <c r="I46" i="30"/>
  <c r="H55" i="30"/>
  <c r="T23" i="35"/>
  <c r="AB23" i="35"/>
  <c r="V23" i="35"/>
  <c r="F23" i="35"/>
  <c r="L23" i="35"/>
  <c r="J23" i="35"/>
  <c r="P23" i="35"/>
  <c r="Z23" i="35"/>
  <c r="R23" i="35"/>
  <c r="H23" i="35"/>
  <c r="N23" i="35"/>
  <c r="X23" i="35"/>
  <c r="AD16" i="35"/>
  <c r="AC23" i="35"/>
  <c r="AC58" i="35" s="1"/>
  <c r="K39" i="32"/>
  <c r="H46" i="32"/>
  <c r="I39" i="32"/>
  <c r="M6" i="35"/>
  <c r="M60" i="35" s="1"/>
  <c r="D140" i="49"/>
  <c r="L46" i="17"/>
  <c r="I80" i="2"/>
  <c r="I55" i="17"/>
  <c r="F23" i="38"/>
  <c r="H23" i="38"/>
  <c r="J23" i="38"/>
  <c r="R23" i="38"/>
  <c r="V23" i="38"/>
  <c r="X23" i="38"/>
  <c r="Z23" i="38"/>
  <c r="T23" i="38"/>
  <c r="AB23" i="38"/>
  <c r="L23" i="38"/>
  <c r="N23" i="38"/>
  <c r="P23" i="38"/>
  <c r="AD16" i="38"/>
  <c r="AC23" i="38"/>
  <c r="AC58" i="38" s="1"/>
  <c r="AC60" i="38" s="1"/>
  <c r="I46" i="2"/>
  <c r="L46" i="2" s="1"/>
  <c r="L39" i="2"/>
  <c r="L46" i="16"/>
  <c r="J46" i="16"/>
  <c r="I55" i="16"/>
  <c r="C73" i="50"/>
  <c r="G75" i="2"/>
  <c r="G81" i="2"/>
  <c r="AD23" i="46"/>
  <c r="AD58" i="46" s="1"/>
  <c r="AF16" i="46"/>
  <c r="AF23" i="46" s="1"/>
  <c r="C147" i="51"/>
  <c r="AA6" i="45"/>
  <c r="AA60" i="45" s="1"/>
  <c r="L54" i="43" l="1"/>
  <c r="C74" i="50"/>
  <c r="G82" i="2"/>
  <c r="I63" i="16"/>
  <c r="D64" i="50"/>
  <c r="K54" i="16"/>
  <c r="J55" i="16"/>
  <c r="AD23" i="38"/>
  <c r="AD58" i="38" s="1"/>
  <c r="AF16" i="38"/>
  <c r="AF23" i="38" s="1"/>
  <c r="K54" i="17"/>
  <c r="D45" i="50"/>
  <c r="I55" i="2"/>
  <c r="I70" i="17"/>
  <c r="J55" i="17"/>
  <c r="D75" i="50"/>
  <c r="D141" i="49"/>
  <c r="O6" i="35"/>
  <c r="O60" i="35" s="1"/>
  <c r="K46" i="32"/>
  <c r="I46" i="32"/>
  <c r="AD23" i="35"/>
  <c r="AD58" i="35" s="1"/>
  <c r="AF16" i="35"/>
  <c r="AF23" i="35" s="1"/>
  <c r="H55" i="32"/>
  <c r="D45" i="49"/>
  <c r="J49" i="30"/>
  <c r="I55" i="30"/>
  <c r="H70" i="30"/>
  <c r="D75" i="49"/>
  <c r="H63" i="31"/>
  <c r="D64" i="49"/>
  <c r="J49" i="31"/>
  <c r="K55" i="31"/>
  <c r="K55" i="41"/>
  <c r="D45" i="51"/>
  <c r="L54" i="41"/>
  <c r="J70" i="41"/>
  <c r="I70" i="43"/>
  <c r="H71" i="43"/>
  <c r="K55" i="42"/>
  <c r="J63" i="42"/>
  <c r="L54" i="42"/>
  <c r="D64" i="51"/>
  <c r="C148" i="51"/>
  <c r="AC6" i="45"/>
  <c r="AC60" i="45" s="1"/>
  <c r="AC63" i="45" s="1"/>
  <c r="E6" i="46"/>
  <c r="E60" i="46" s="1"/>
  <c r="L55" i="43"/>
  <c r="M55" i="43" s="1"/>
  <c r="M54" i="43"/>
  <c r="L55" i="42" l="1"/>
  <c r="E63" i="51"/>
  <c r="K63" i="42"/>
  <c r="J63" i="43"/>
  <c r="K63" i="43" s="1"/>
  <c r="J94" i="42"/>
  <c r="H75" i="43"/>
  <c r="C73" i="51"/>
  <c r="H81" i="43"/>
  <c r="K70" i="41"/>
  <c r="J70" i="43"/>
  <c r="D55" i="51"/>
  <c r="E44" i="51"/>
  <c r="L55" i="41"/>
  <c r="E58" i="49"/>
  <c r="E60" i="49" s="1"/>
  <c r="J55" i="31"/>
  <c r="H84" i="31"/>
  <c r="H63" i="32"/>
  <c r="K63" i="32" s="1"/>
  <c r="K63" i="31"/>
  <c r="H70" i="32"/>
  <c r="D55" i="49"/>
  <c r="I70" i="30"/>
  <c r="J49" i="32"/>
  <c r="K49" i="32" s="1"/>
  <c r="E39" i="49"/>
  <c r="E41" i="49" s="1"/>
  <c r="J55" i="30"/>
  <c r="K49" i="30"/>
  <c r="AC62" i="35"/>
  <c r="I55" i="32"/>
  <c r="D142" i="49"/>
  <c r="Q6" i="35"/>
  <c r="Q60" i="35" s="1"/>
  <c r="D55" i="50"/>
  <c r="I70" i="2"/>
  <c r="AC62" i="38"/>
  <c r="AC63" i="38" s="1"/>
  <c r="J55" i="2"/>
  <c r="E44" i="50"/>
  <c r="K54" i="2"/>
  <c r="L54" i="2" s="1"/>
  <c r="K55" i="17"/>
  <c r="E63" i="50"/>
  <c r="K55" i="16"/>
  <c r="I63" i="2"/>
  <c r="I84" i="16"/>
  <c r="J63" i="16"/>
  <c r="G6" i="46"/>
  <c r="G60" i="46" s="1"/>
  <c r="D137" i="51"/>
  <c r="J63" i="2" l="1"/>
  <c r="E64" i="50"/>
  <c r="K63" i="16"/>
  <c r="L55" i="16"/>
  <c r="E45" i="50"/>
  <c r="K70" i="17"/>
  <c r="K55" i="2"/>
  <c r="L55" i="2" s="1"/>
  <c r="L55" i="17"/>
  <c r="I71" i="2"/>
  <c r="D143" i="49"/>
  <c r="S6" i="35"/>
  <c r="S60" i="35" s="1"/>
  <c r="J70" i="30"/>
  <c r="E45" i="49"/>
  <c r="J55" i="32"/>
  <c r="K55" i="32" s="1"/>
  <c r="K55" i="30"/>
  <c r="H71" i="32"/>
  <c r="I70" i="32"/>
  <c r="J63" i="31"/>
  <c r="E64" i="49"/>
  <c r="M55" i="41"/>
  <c r="L70" i="41"/>
  <c r="E45" i="51"/>
  <c r="K70" i="43"/>
  <c r="J71" i="43"/>
  <c r="C74" i="51"/>
  <c r="H82" i="43"/>
  <c r="M55" i="42"/>
  <c r="L63" i="42"/>
  <c r="E64" i="51"/>
  <c r="I6" i="46"/>
  <c r="I60" i="46" s="1"/>
  <c r="D138" i="51"/>
  <c r="M63" i="42" l="1"/>
  <c r="L63" i="43"/>
  <c r="M63" i="43" s="1"/>
  <c r="L94" i="42"/>
  <c r="J75" i="43"/>
  <c r="J81" i="43"/>
  <c r="D73" i="51"/>
  <c r="M70" i="41"/>
  <c r="L70" i="43"/>
  <c r="E55" i="51"/>
  <c r="J84" i="31"/>
  <c r="J63" i="32"/>
  <c r="D73" i="49"/>
  <c r="H81" i="32"/>
  <c r="H75" i="32"/>
  <c r="J70" i="32"/>
  <c r="E55" i="49"/>
  <c r="K70" i="30"/>
  <c r="D144" i="49"/>
  <c r="U6" i="35"/>
  <c r="U60" i="35" s="1"/>
  <c r="I81" i="2"/>
  <c r="D73" i="50"/>
  <c r="I75" i="2"/>
  <c r="E55" i="50"/>
  <c r="K70" i="2"/>
  <c r="L70" i="17"/>
  <c r="K63" i="2"/>
  <c r="L63" i="2" s="1"/>
  <c r="K84" i="16"/>
  <c r="L63" i="16"/>
  <c r="K6" i="46"/>
  <c r="K60" i="46" s="1"/>
  <c r="D139" i="51"/>
  <c r="K71" i="2" l="1"/>
  <c r="L70" i="2"/>
  <c r="D74" i="50"/>
  <c r="I82" i="2"/>
  <c r="D145" i="49"/>
  <c r="W6" i="35"/>
  <c r="W60" i="35" s="1"/>
  <c r="J71" i="32"/>
  <c r="K70" i="32"/>
  <c r="D74" i="49"/>
  <c r="H82" i="32"/>
  <c r="L71" i="43"/>
  <c r="M70" i="43"/>
  <c r="J82" i="43"/>
  <c r="D74" i="51"/>
  <c r="M6" i="46"/>
  <c r="M60" i="46" s="1"/>
  <c r="D140" i="51"/>
  <c r="L81" i="43" l="1"/>
  <c r="L75" i="43"/>
  <c r="E73" i="51"/>
  <c r="E73" i="49"/>
  <c r="J81" i="32"/>
  <c r="J75" i="32"/>
  <c r="D146" i="49"/>
  <c r="Y6" i="35"/>
  <c r="Y60" i="35" s="1"/>
  <c r="K75" i="2"/>
  <c r="K81" i="2"/>
  <c r="E73" i="50"/>
  <c r="O6" i="46"/>
  <c r="O60" i="46" s="1"/>
  <c r="D141" i="51"/>
  <c r="E74" i="50" l="1"/>
  <c r="K82" i="2"/>
  <c r="D147" i="49"/>
  <c r="AA6" i="35"/>
  <c r="AA60" i="35" s="1"/>
  <c r="E74" i="49"/>
  <c r="J82" i="32"/>
  <c r="L82" i="43"/>
  <c r="E74" i="51"/>
  <c r="D142" i="51"/>
  <c r="Q6" i="46"/>
  <c r="Q60" i="46" s="1"/>
  <c r="D148" i="49" l="1"/>
  <c r="AC6" i="35"/>
  <c r="AC60" i="35" s="1"/>
  <c r="AC63" i="35" s="1"/>
  <c r="S6" i="46"/>
  <c r="S60" i="46" s="1"/>
  <c r="D143" i="51"/>
  <c r="D144" i="51" l="1"/>
  <c r="U6" i="46"/>
  <c r="U60" i="46" s="1"/>
  <c r="W6" i="46" l="1"/>
  <c r="W60" i="46" s="1"/>
  <c r="D145" i="51"/>
  <c r="Y6" i="46" l="1"/>
  <c r="Y60" i="46" s="1"/>
  <c r="D146" i="51"/>
  <c r="AA6" i="46" l="1"/>
  <c r="AA60" i="46" s="1"/>
  <c r="D147" i="51"/>
  <c r="AC6" i="46" l="1"/>
  <c r="AC60" i="46" s="1"/>
  <c r="AC63" i="46" s="1"/>
  <c r="D148"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Kerber</author>
  </authors>
  <commentList>
    <comment ref="E49" authorId="0" shapeId="0" xr:uid="{00000000-0006-0000-0500-000001000000}">
      <text>
        <r>
          <rPr>
            <b/>
            <sz val="9"/>
            <color indexed="81"/>
            <rFont val="Tahoma"/>
            <family val="2"/>
          </rPr>
          <t>A. Baker:</t>
        </r>
        <r>
          <rPr>
            <sz val="9"/>
            <color indexed="81"/>
            <rFont val="Tahoma"/>
            <family val="2"/>
          </rPr>
          <t xml:space="preserve">
Input prior year estimated ending fund balance.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Kerber</author>
  </authors>
  <commentList>
    <comment ref="E49" authorId="0" shapeId="0" xr:uid="{00000000-0006-0000-0600-000001000000}">
      <text>
        <r>
          <rPr>
            <b/>
            <sz val="9"/>
            <color indexed="81"/>
            <rFont val="Tahoma"/>
            <family val="2"/>
          </rPr>
          <t>A. Baker:</t>
        </r>
        <r>
          <rPr>
            <sz val="9"/>
            <color indexed="81"/>
            <rFont val="Tahoma"/>
            <family val="2"/>
          </rPr>
          <t xml:space="preserve">
Input prior year estimated ending fund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Kerber</author>
  </authors>
  <commentList>
    <comment ref="E6" authorId="0" shapeId="0" xr:uid="{00000000-0006-0000-0900-000001000000}">
      <text>
        <r>
          <rPr>
            <b/>
            <sz val="9"/>
            <color indexed="81"/>
            <rFont val="Tahoma"/>
            <family val="2"/>
          </rPr>
          <t>A. Kerber:</t>
        </r>
        <r>
          <rPr>
            <sz val="9"/>
            <color indexed="81"/>
            <rFont val="Tahoma"/>
            <family val="2"/>
          </rPr>
          <t xml:space="preserve">
Enter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Baker</author>
  </authors>
  <commentList>
    <comment ref="G50" authorId="0" shapeId="0" xr:uid="{00000000-0006-0000-1000-000001000000}">
      <text>
        <r>
          <rPr>
            <b/>
            <sz val="9"/>
            <color indexed="81"/>
            <rFont val="Tahoma"/>
            <family val="2"/>
          </rPr>
          <t>A. Baker:</t>
        </r>
        <r>
          <rPr>
            <sz val="9"/>
            <color indexed="81"/>
            <rFont val="Tahoma"/>
            <family val="2"/>
          </rPr>
          <t xml:space="preserve">
Input difference between Beg Bal at Adopted Budget and Unaudited Actual ending Fund Balance reported at year end.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 Baker</author>
  </authors>
  <commentList>
    <comment ref="G50" authorId="0" shapeId="0" xr:uid="{00000000-0006-0000-1100-000001000000}">
      <text>
        <r>
          <rPr>
            <b/>
            <sz val="9"/>
            <color indexed="81"/>
            <rFont val="Tahoma"/>
            <family val="2"/>
          </rPr>
          <t xml:space="preserve">A. Baker:  </t>
        </r>
        <r>
          <rPr>
            <sz val="9"/>
            <color indexed="81"/>
            <rFont val="Tahoma"/>
            <family val="2"/>
          </rPr>
          <t>Input difference between Beg Bal at Adopted Budget and  Unaudited Actual ending Fund Balance reported at year end.</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 Kerber</author>
  </authors>
  <commentList>
    <comment ref="E6" authorId="0" shapeId="0" xr:uid="{00000000-0006-0000-1400-000001000000}">
      <text>
        <r>
          <rPr>
            <b/>
            <sz val="9"/>
            <color indexed="81"/>
            <rFont val="Tahoma"/>
            <family val="2"/>
          </rPr>
          <t>A. Kerber:</t>
        </r>
        <r>
          <rPr>
            <sz val="9"/>
            <color indexed="81"/>
            <rFont val="Tahoma"/>
            <family val="2"/>
          </rPr>
          <t xml:space="preserve">
Enter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 Kerber</author>
  </authors>
  <commentList>
    <comment ref="E6" authorId="0" shapeId="0" xr:uid="{00000000-0006-0000-1D00-000001000000}">
      <text>
        <r>
          <rPr>
            <b/>
            <sz val="9"/>
            <color indexed="81"/>
            <rFont val="Tahoma"/>
            <family val="2"/>
          </rPr>
          <t>A. Kerber:</t>
        </r>
        <r>
          <rPr>
            <sz val="9"/>
            <color indexed="81"/>
            <rFont val="Tahoma"/>
            <family val="2"/>
          </rPr>
          <t xml:space="preserve">
Enter </t>
        </r>
      </text>
    </comment>
  </commentList>
</comments>
</file>

<file path=xl/sharedStrings.xml><?xml version="1.0" encoding="utf-8"?>
<sst xmlns="http://schemas.openxmlformats.org/spreadsheetml/2006/main" count="3450" uniqueCount="604">
  <si>
    <t>BUDGET and INTERIM REPORTING INSTRUCTIONS</t>
  </si>
  <si>
    <t>Rev. 5/28/2021</t>
  </si>
  <si>
    <t>DUE DATE:</t>
  </si>
  <si>
    <t>All forms must be submitted to your sponsoring District according to their guidelines. This will allow time for our review and allow time for corrections if necessary.</t>
  </si>
  <si>
    <t>Certification Pages:</t>
  </si>
  <si>
    <t>GREEN CELLS ONLY</t>
  </si>
  <si>
    <t>Complete light green highlighted cells</t>
  </si>
  <si>
    <t>ADA pages:</t>
  </si>
  <si>
    <t xml:space="preserve">Complete light green highlighted cells for: </t>
  </si>
  <si>
    <t xml:space="preserve">Non- Classroom based instruction </t>
  </si>
  <si>
    <t>Prior Year P-2 ADA</t>
  </si>
  <si>
    <t>Estimated ADA for current and subsequent years</t>
  </si>
  <si>
    <t>Assumptions Pages:</t>
  </si>
  <si>
    <t>Note: You won't need to enter any numbers into cells not colored green. These cells contain formulas or are meant to stay blank.</t>
  </si>
  <si>
    <t>Complete your assumption for each applicable item (most will apply) for the light green colored boxes only.</t>
  </si>
  <si>
    <t>If your oversight fees are greater than 1% of your revenues, change the percentage and the amount will automatically calculate once you complete your revenues and expenditure amounts on the Interim pages.</t>
  </si>
  <si>
    <t>If you have an administrative service contract, enter the dollar amount of the contract.</t>
  </si>
  <si>
    <t>Record any other noteworthy items that may make a material difference in your numbers from one year to the next.</t>
  </si>
  <si>
    <r>
      <t xml:space="preserve">Assumptions Pages (Word): </t>
    </r>
    <r>
      <rPr>
        <b/>
        <i/>
        <u/>
        <sz val="9"/>
        <rFont val="Arial"/>
        <family val="2"/>
      </rPr>
      <t>OPTIONAL</t>
    </r>
  </si>
  <si>
    <t>For each item listed on the Assumptions page, please provide a written document (or a cover letter to your budget) that explains where you obtained your information, what you are basing your enrollment and ADA on, how you estimated salaries, benefits, increases or decreases in utility costs and so on. Please explain all your assumptions. You may need to explain more than what is listed on the Excel Assumptions page. This cover letter will help us review your budget in detail and avoid multiple phone calls to you to explain how you arrived at your estimates. This detail helps both your school and your authorizing district.</t>
  </si>
  <si>
    <t xml:space="preserve">LCFF Calculator:  Use the FCMAT calculator which can be found at </t>
  </si>
  <si>
    <t>FCMAT » Fiscal Crisis &amp; Management Assistance Team</t>
  </si>
  <si>
    <t>Complete the LCFF calculations using the assumptions entered on the ADA and Assumptions worksheets in the Interim tabs.</t>
  </si>
  <si>
    <t>Make sure the assumptions and revenue totals on the LCFF calculator match the amounts in your workbook.</t>
  </si>
  <si>
    <t>Unrestricted and Restricted MYP Pages:</t>
  </si>
  <si>
    <t xml:space="preserve">Note: These pages will bring forward some of your revenue totals based on cell references or formulas. </t>
  </si>
  <si>
    <t>At Budget, enter your Estimated Year End Actuals (for budget year minus 1).</t>
  </si>
  <si>
    <r>
      <t xml:space="preserve">At Budget, enter your </t>
    </r>
    <r>
      <rPr>
        <b/>
        <u/>
        <sz val="9"/>
        <rFont val="Arial"/>
        <family val="2"/>
      </rPr>
      <t>Adopted Budget for July 1.</t>
    </r>
    <r>
      <rPr>
        <sz val="9"/>
        <rFont val="Arial"/>
        <family val="2"/>
      </rPr>
      <t xml:space="preserve">  The adopted budget is entered on the Budget tab and cell references to the 1st and 2nd Interim tabs.</t>
    </r>
  </si>
  <si>
    <t>Enter any Federal, State and Local Revenues that you anticipate for each year presented by Title in the detail lines at the bottom of the page. The totals will post to the summary above. (Donations, Lottery, etc.)</t>
  </si>
  <si>
    <t>Enter expenditures that you anticapate in each category listed for each year presented.</t>
  </si>
  <si>
    <t xml:space="preserve">Enter Fund Balance: </t>
  </si>
  <si>
    <t>a</t>
  </si>
  <si>
    <t>Beginning Balance at Adopted Budget - in the Adopted Budget column, enter your projected prior year ending fund balance.</t>
  </si>
  <si>
    <t>b</t>
  </si>
  <si>
    <t>Adjustment for Unaudited Actuals - At Interim, in the Interim Actual column and Latest Revised column, enter any adjustment necessary to adjust your projected beginning fund balance at adopted budget to actual prior year ending fund balance.</t>
  </si>
  <si>
    <t>c</t>
  </si>
  <si>
    <t>Adjustments for Audit and/or Restatements - At Interim, enter any audit adjustments identified in your prior year's final audit report, if available.  The audit report is generally not available until second interim.  This entry will go in the appropriate interim column and possibly the Latest Revised column.</t>
  </si>
  <si>
    <t>At Interims, enter your latest revised budget (may be your Adopted budget or any other recent revisions approved by your board).</t>
  </si>
  <si>
    <r>
      <t>At Interims, enter your Actual Expenses (</t>
    </r>
    <r>
      <rPr>
        <b/>
        <i/>
        <sz val="9"/>
        <rFont val="Arial"/>
        <family val="2"/>
      </rPr>
      <t>rounded to the nearest dollar, do not enter cents</t>
    </r>
    <r>
      <rPr>
        <sz val="9"/>
        <rFont val="Arial"/>
        <family val="2"/>
      </rPr>
      <t xml:space="preserve">) as of the date noted. </t>
    </r>
  </si>
  <si>
    <t>Check your percentage increases. Do they appear reasonable?</t>
  </si>
  <si>
    <t>Check your net income/decrease in fund balance.  Make sure that you are not projecting a negative fund balance.  If you are, you may need to reduce your estimated expenditures.</t>
  </si>
  <si>
    <t>Complete the Reserves Standard section and Deficit Spending Standard section.  If not meeting standards, explain why and what your plan is to resolve the issue.</t>
  </si>
  <si>
    <t>Cash Flow Pages:</t>
  </si>
  <si>
    <r>
      <t>Enter your actual cash inflows and outflows (</t>
    </r>
    <r>
      <rPr>
        <b/>
        <i/>
        <sz val="9"/>
        <rFont val="Arial"/>
        <family val="2"/>
      </rPr>
      <t>rounded to the nearest dollar, do not enter cents</t>
    </r>
    <r>
      <rPr>
        <sz val="9"/>
        <rFont val="Arial"/>
        <family val="2"/>
      </rPr>
      <t>) through the interim period noted and enter projected cash inflows and outflows for the remaining months.</t>
    </r>
  </si>
  <si>
    <t>The total column MUST equal the Projected Budget column.</t>
  </si>
  <si>
    <t xml:space="preserve">The Projected Column will feed over from the Summary MYP Page. </t>
  </si>
  <si>
    <t>There should be no dollars in the difference column.  If a dollar value is reflected you will need to adjust that line in the cash flow.</t>
  </si>
  <si>
    <t>Don't forget to include the reductions of your prior year payables and receivable balances since there are additions and deductions of your current year cash.</t>
  </si>
  <si>
    <t>If cash is negative in any month reflected on the cash flow, you will have to self-certify as "QUALIFIED".  If you are unable to meet your obligations in the current and/or two subsequent years, you will need to self-certify as "NEGATIVE".</t>
  </si>
  <si>
    <t>If template has been modified mid fiscal year, changes are identified below:</t>
  </si>
  <si>
    <t>5/27/2021  Restricted MYP tabs - Added more lines for Federal Restricted Revenues</t>
  </si>
  <si>
    <t>5/28/2021  Budget Cash Flow Yr 1, fixed formula in cell AC62.  First Interim Cash Flow Yr1, fixed formula in cell AC63.</t>
  </si>
  <si>
    <t>Charter Schools</t>
  </si>
  <si>
    <t>Budget Submission Check List</t>
  </si>
  <si>
    <r>
      <t xml:space="preserve">On or before July 1  </t>
    </r>
    <r>
      <rPr>
        <sz val="10"/>
        <rFont val="Arial"/>
        <family val="2"/>
      </rPr>
      <t>Budget  Report to Authorizing District</t>
    </r>
    <r>
      <rPr>
        <b/>
        <sz val="10"/>
        <rFont val="Arial"/>
        <family val="2"/>
      </rPr>
      <t xml:space="preserve"> </t>
    </r>
    <r>
      <rPr>
        <b/>
        <i/>
        <sz val="10"/>
        <rFont val="Arial"/>
        <family val="2"/>
      </rPr>
      <t>(Coordinate due date with District)</t>
    </r>
  </si>
  <si>
    <t>Electronic - Required</t>
  </si>
  <si>
    <t>x</t>
  </si>
  <si>
    <t>Budget - Certification</t>
  </si>
  <si>
    <t>Budget - ADA Projections</t>
  </si>
  <si>
    <t>Budget -  Assumptions</t>
  </si>
  <si>
    <t>Budget - Unrestricted MYP</t>
  </si>
  <si>
    <t>Budget - Restricted MYP</t>
  </si>
  <si>
    <t>Budget - Summary MYP</t>
  </si>
  <si>
    <r>
      <t xml:space="preserve">Budget - Debt (sheet has a field to report if </t>
    </r>
    <r>
      <rPr>
        <u/>
        <sz val="10"/>
        <rFont val="Arial"/>
        <family val="2"/>
      </rPr>
      <t>No Debt</t>
    </r>
    <r>
      <rPr>
        <sz val="10"/>
        <rFont val="Arial"/>
        <family val="2"/>
      </rPr>
      <t>)</t>
    </r>
  </si>
  <si>
    <t>Budget - Cash Flow Year 1</t>
  </si>
  <si>
    <t>Budget - Cash Flow Year 2</t>
  </si>
  <si>
    <r>
      <t>LCFF calculator (using the most recent FCMAT release</t>
    </r>
    <r>
      <rPr>
        <b/>
        <sz val="10"/>
        <color indexed="60"/>
        <rFont val="Arial"/>
        <family val="2"/>
      </rPr>
      <t>*</t>
    </r>
    <r>
      <rPr>
        <sz val="10"/>
        <rFont val="Arial"/>
        <family val="2"/>
      </rPr>
      <t>)</t>
    </r>
  </si>
  <si>
    <t>LCAP</t>
  </si>
  <si>
    <t>Hard Copy - Minimum Requirement (authorizing District may require additional documents):</t>
  </si>
  <si>
    <r>
      <t xml:space="preserve">Budget - Certification </t>
    </r>
    <r>
      <rPr>
        <b/>
        <i/>
        <sz val="10"/>
        <rFont val="Arial"/>
        <family val="2"/>
      </rPr>
      <t>Signed</t>
    </r>
  </si>
  <si>
    <r>
      <rPr>
        <b/>
        <sz val="10"/>
        <color indexed="60"/>
        <rFont val="Arial"/>
        <family val="2"/>
      </rPr>
      <t xml:space="preserve">* </t>
    </r>
    <r>
      <rPr>
        <sz val="10"/>
        <rFont val="Arial"/>
        <family val="2"/>
      </rPr>
      <t xml:space="preserve"> Be sure to use the most recent version of the calculator at:</t>
    </r>
  </si>
  <si>
    <t>https://www.fcmat.org/lcff</t>
  </si>
  <si>
    <t>Charter School Name:</t>
  </si>
  <si>
    <t>Encore High School -</t>
  </si>
  <si>
    <t>CDS #:</t>
  </si>
  <si>
    <t>35-75044-01166707</t>
  </si>
  <si>
    <t>Charter Authorizer:</t>
  </si>
  <si>
    <t>Hesperia Unified School District</t>
  </si>
  <si>
    <t>County:</t>
  </si>
  <si>
    <t>San Bernardino</t>
  </si>
  <si>
    <t>Charter #:</t>
  </si>
  <si>
    <t>971</t>
  </si>
  <si>
    <t>To the authorizing/oversight district:</t>
  </si>
  <si>
    <t>Signed:</t>
  </si>
  <si>
    <t xml:space="preserve">      Date:</t>
  </si>
  <si>
    <t>Charter School Official</t>
  </si>
  <si>
    <t>(Original signature required)</t>
  </si>
  <si>
    <t>Printed
Name:</t>
  </si>
  <si>
    <t>Denise Griffin</t>
  </si>
  <si>
    <t xml:space="preserve">       Title:</t>
  </si>
  <si>
    <t>CEO</t>
  </si>
  <si>
    <t>CERTIFICATION OF FINANCIAL CONDITION:</t>
  </si>
  <si>
    <t xml:space="preserve"> POSITIVE</t>
  </si>
  <si>
    <t xml:space="preserve"> QUALIFIED</t>
  </si>
  <si>
    <t xml:space="preserve">   NEGATIVE</t>
  </si>
  <si>
    <t>As the Charter School Official, I certify that this Charter will be able to meet its financial obligations for the current fiscal year and two subsequent fiscal years.</t>
  </si>
  <si>
    <t>As the Charter School Official, I certify that this Charter may not meet its financial obligations for the current fiscal year or two subsequent fiscal years.</t>
  </si>
  <si>
    <t>As the Charter School Official, I certify that based upon current projections this charter will be unable to meet its financial obligations for remainder of the fiscal year or for the subsequent year.</t>
  </si>
  <si>
    <t>To the County Superintendent of Schools:</t>
  </si>
  <si>
    <t>Authorized Representative of
Charter Approving Entity</t>
  </si>
  <si>
    <t>As the Charter School Authorizer, I believe that this Charter will be able to meet its financial obligations for the current fiscal year and two subsequent fiscal years.</t>
  </si>
  <si>
    <t>As the Charter School Authorizer, I believe that this Charter may not meet its financial obligations for the current fiscal year or two subsequent fiscal years.</t>
  </si>
  <si>
    <t>As the Charter School Authorizer, I believe that based upon current projections this charter will be unable to meet its financial obligations for remainder of the fiscal year or for the subsequent year.</t>
  </si>
  <si>
    <t xml:space="preserve"> </t>
  </si>
  <si>
    <t>County Superintendent/Designee</t>
  </si>
  <si>
    <t>For additional information on the budget report, please contact:</t>
  </si>
  <si>
    <t>For Charter Authorizer/Reviewer:</t>
  </si>
  <si>
    <t>For Charter School:</t>
  </si>
  <si>
    <t>Paul Khoury</t>
  </si>
  <si>
    <t>Name</t>
  </si>
  <si>
    <t>Finance Director</t>
  </si>
  <si>
    <t>Title</t>
  </si>
  <si>
    <t>916-649-6461</t>
  </si>
  <si>
    <t>Telephone</t>
  </si>
  <si>
    <t>paul.khoury@charteradmin.com</t>
  </si>
  <si>
    <t>E-mail address</t>
  </si>
  <si>
    <t>Charter School Attendance</t>
  </si>
  <si>
    <t>Projected ADA</t>
  </si>
  <si>
    <t>2020-21</t>
  </si>
  <si>
    <t>2021-22</t>
  </si>
  <si>
    <t>2022-23</t>
  </si>
  <si>
    <t>2023-24</t>
  </si>
  <si>
    <t>Actual ADA</t>
  </si>
  <si>
    <r>
      <t xml:space="preserve">Funded ADA </t>
    </r>
    <r>
      <rPr>
        <b/>
        <sz val="16"/>
        <color indexed="60"/>
        <rFont val="Arial Narrow"/>
        <family val="2"/>
      </rPr>
      <t>*</t>
    </r>
  </si>
  <si>
    <t>% Change over Prior Year</t>
  </si>
  <si>
    <t>Line</t>
  </si>
  <si>
    <r>
      <t xml:space="preserve">P-2 </t>
    </r>
    <r>
      <rPr>
        <sz val="12"/>
        <color indexed="17"/>
        <rFont val="Arial Black"/>
        <family val="2"/>
      </rPr>
      <t>(19/20)</t>
    </r>
  </si>
  <si>
    <t>P-2</t>
  </si>
  <si>
    <r>
      <t>Non Classroom Funding Determination Rate</t>
    </r>
    <r>
      <rPr>
        <b/>
        <sz val="16"/>
        <color indexed="60"/>
        <rFont val="Arial Narrow"/>
        <family val="2"/>
      </rPr>
      <t>*</t>
    </r>
  </si>
  <si>
    <t>TK/K-3:</t>
  </si>
  <si>
    <t>Regular ADA</t>
  </si>
  <si>
    <t>A-1</t>
  </si>
  <si>
    <t>Classroom-based ADA included in A-1</t>
  </si>
  <si>
    <t>A-2</t>
  </si>
  <si>
    <t>Extended Year Special Ed</t>
  </si>
  <si>
    <t>A-3</t>
  </si>
  <si>
    <t>Classroom-based ADA included in A-3</t>
  </si>
  <si>
    <t>A-4</t>
  </si>
  <si>
    <t>Special Ed - NPS</t>
  </si>
  <si>
    <t>A-5</t>
  </si>
  <si>
    <t>Classroom-based ADA included in A-5</t>
  </si>
  <si>
    <t>A-6</t>
  </si>
  <si>
    <t>Extended Year Special Ed - NPS</t>
  </si>
  <si>
    <t>A-7</t>
  </si>
  <si>
    <t>Classroom-based ADA included in A-7</t>
  </si>
  <si>
    <t>A-8</t>
  </si>
  <si>
    <t>ADA Totals (A-1, A3, A5, A7)</t>
  </si>
  <si>
    <t>A-9</t>
  </si>
  <si>
    <t>Classroom-based ADA Totals (A-2, A-4, A-6, A-8)</t>
  </si>
  <si>
    <t>A-10</t>
  </si>
  <si>
    <t>Non classroom-based ADA Totals (Difference of A-9 and A-10)</t>
  </si>
  <si>
    <t>A-11</t>
  </si>
  <si>
    <t>ADA for Students in Transitional Kindergarten (Lines A-1, A-3, A-5, and A-7, TK/K-3 Column, First Year ADA Only)</t>
  </si>
  <si>
    <t>B-1</t>
  </si>
  <si>
    <t>Grades 4-6</t>
  </si>
  <si>
    <t>Grades 7-8</t>
  </si>
  <si>
    <t>Grades 9-12</t>
  </si>
  <si>
    <t>Totals</t>
  </si>
  <si>
    <t>Total Funded ADA</t>
  </si>
  <si>
    <r>
      <rPr>
        <b/>
        <sz val="16"/>
        <color indexed="60"/>
        <rFont val="Arial Narrow"/>
        <family val="2"/>
      </rPr>
      <t>*</t>
    </r>
    <r>
      <rPr>
        <b/>
        <sz val="12"/>
        <rFont val="Arial Narrow"/>
        <family val="2"/>
      </rPr>
      <t xml:space="preserve"> For non-classroom, P-2 ADA is multiplied by Funding Determination %.  Use this amount in the LCFF calculator and any other ADA based revenue calculations.</t>
    </r>
  </si>
  <si>
    <t>ASSUMPTIONS:</t>
  </si>
  <si>
    <t>Change</t>
  </si>
  <si>
    <t>Local Control Funding (LCFF) - BAS/FCMAT Calculator:</t>
  </si>
  <si>
    <t xml:space="preserve">     COLA (on Base)</t>
  </si>
  <si>
    <t xml:space="preserve">     Gap Funding Rate</t>
  </si>
  <si>
    <r>
      <t>Total Phase-In Entitlement</t>
    </r>
    <r>
      <rPr>
        <b/>
        <sz val="12"/>
        <rFont val="Arial Narrow"/>
        <family val="2"/>
      </rPr>
      <t xml:space="preserve"> (FCMAT calculator, Summary Tab)</t>
    </r>
  </si>
  <si>
    <t>LCAP:</t>
  </si>
  <si>
    <t>Public Hearing Date (mm/dd/yyyy)</t>
  </si>
  <si>
    <t>Board Approval Date (mm/dd/yyyy)</t>
  </si>
  <si>
    <t>Lottery Allocation Amount Per ADA:</t>
  </si>
  <si>
    <t xml:space="preserve">     Unrestricted</t>
  </si>
  <si>
    <t xml:space="preserve">     Restricted</t>
  </si>
  <si>
    <t>ADA/Enrollment:</t>
  </si>
  <si>
    <t>Total Non-Classroom Based (Independent Study) ADA</t>
  </si>
  <si>
    <t xml:space="preserve">Total Funded Non-Classroom Based (Independent Study) ADA </t>
  </si>
  <si>
    <t>Total Classroom Based ADA</t>
  </si>
  <si>
    <t>Total Funded P-2 Attendance</t>
  </si>
  <si>
    <t>Estimated Enrollment</t>
  </si>
  <si>
    <t xml:space="preserve">PY CBEDS Certified Enrollment    </t>
  </si>
  <si>
    <t xml:space="preserve">  Enrollment Growth Over Prior Year</t>
  </si>
  <si>
    <t xml:space="preserve">  ADA to Enrollment Ratio</t>
  </si>
  <si>
    <t>Unduplicated Count</t>
  </si>
  <si>
    <t xml:space="preserve">PY CBEDS Certified Unduplicated Count    </t>
  </si>
  <si>
    <r>
      <t xml:space="preserve">   Unduplicated Pupil %</t>
    </r>
    <r>
      <rPr>
        <b/>
        <sz val="12"/>
        <rFont val="Arial Narrow"/>
        <family val="2"/>
      </rPr>
      <t xml:space="preserve"> </t>
    </r>
    <r>
      <rPr>
        <b/>
        <sz val="10"/>
        <rFont val="Arial Narrow"/>
        <family val="2"/>
      </rPr>
      <t xml:space="preserve">(FCMAT LCFF Calc, Summary Tab, </t>
    </r>
    <r>
      <rPr>
        <b/>
        <u/>
        <sz val="11"/>
        <rFont val="Arial Narrow"/>
        <family val="2"/>
      </rPr>
      <t>Rolling</t>
    </r>
    <r>
      <rPr>
        <b/>
        <sz val="10"/>
        <rFont val="Arial Narrow"/>
        <family val="2"/>
      </rPr>
      <t xml:space="preserve"> %)</t>
    </r>
  </si>
  <si>
    <t>Certificated Salaries and Benefits:</t>
  </si>
  <si>
    <t>Number of Teachers (FTE)</t>
  </si>
  <si>
    <t>Number of Certificated Management FTEs</t>
  </si>
  <si>
    <t>Number of Other Certificated FTEs</t>
  </si>
  <si>
    <t>Classroom Staffing Ratio - Students per FTE</t>
  </si>
  <si>
    <t>Teachers Increased/(Decreased) for projected Enrollment change over PY</t>
  </si>
  <si>
    <r>
      <t xml:space="preserve">Average Teacher FTE </t>
    </r>
    <r>
      <rPr>
        <b/>
        <u/>
        <sz val="12"/>
        <rFont val="Arial Narrow"/>
        <family val="2"/>
      </rPr>
      <t>Salary</t>
    </r>
  </si>
  <si>
    <r>
      <t xml:space="preserve">Average Certificated Management FTE </t>
    </r>
    <r>
      <rPr>
        <b/>
        <u/>
        <sz val="12"/>
        <rFont val="Arial Narrow"/>
        <family val="2"/>
      </rPr>
      <t>Salary</t>
    </r>
  </si>
  <si>
    <r>
      <t xml:space="preserve">Average Other Certificated FTE </t>
    </r>
    <r>
      <rPr>
        <b/>
        <u/>
        <sz val="12"/>
        <rFont val="Arial Narrow"/>
        <family val="2"/>
      </rPr>
      <t>Salary</t>
    </r>
  </si>
  <si>
    <t>Cert Step and Column Increase (Total Annual Cost)</t>
  </si>
  <si>
    <t>Health and Welfare Cost per Employee</t>
  </si>
  <si>
    <t>Retirement Cost per Employee</t>
  </si>
  <si>
    <t>STRS Rate</t>
  </si>
  <si>
    <t>Explain any year over year changes (+/- positions, budgeted salary increases (ongoing or one-time), health and welfare contribution changes, etc…):</t>
  </si>
  <si>
    <t>Classified Salaries and Benefits:</t>
  </si>
  <si>
    <t>Number of Classified (Non-Mgmt) FTEs</t>
  </si>
  <si>
    <t>Number of Classified Mangement FTEs</t>
  </si>
  <si>
    <r>
      <t xml:space="preserve">Average </t>
    </r>
    <r>
      <rPr>
        <b/>
        <u/>
        <sz val="12"/>
        <rFont val="Arial Narrow"/>
        <family val="2"/>
      </rPr>
      <t>Salary</t>
    </r>
    <r>
      <rPr>
        <sz val="12"/>
        <rFont val="Arial Narrow"/>
        <family val="2"/>
      </rPr>
      <t xml:space="preserve"> per Classified Non-Mgmt FTE</t>
    </r>
  </si>
  <si>
    <r>
      <t xml:space="preserve">Average </t>
    </r>
    <r>
      <rPr>
        <b/>
        <u/>
        <sz val="12"/>
        <rFont val="Arial Narrow"/>
        <family val="2"/>
      </rPr>
      <t>Salar</t>
    </r>
    <r>
      <rPr>
        <b/>
        <sz val="12"/>
        <rFont val="Arial Narrow"/>
        <family val="2"/>
      </rPr>
      <t>y</t>
    </r>
    <r>
      <rPr>
        <sz val="12"/>
        <rFont val="Arial Narrow"/>
        <family val="2"/>
      </rPr>
      <t xml:space="preserve"> per Classified Mgmt FTE</t>
    </r>
  </si>
  <si>
    <t>Class Step and Column Increase (Total Annual Cost)</t>
  </si>
  <si>
    <t>Health and Welfare Cost per Class Employee</t>
  </si>
  <si>
    <t>Retirement Cost per ClassEmployee</t>
  </si>
  <si>
    <t>PERS Rate</t>
  </si>
  <si>
    <t>Statutory Benefits</t>
  </si>
  <si>
    <t>FICA (Social Security)</t>
  </si>
  <si>
    <t>Medicare Tax</t>
  </si>
  <si>
    <t>Unemployment</t>
  </si>
  <si>
    <t>Workers Comp</t>
  </si>
  <si>
    <t xml:space="preserve">Facilities:        </t>
  </si>
  <si>
    <t>Rent</t>
  </si>
  <si>
    <t>Electricity</t>
  </si>
  <si>
    <t>Heating (gas)</t>
  </si>
  <si>
    <t>included in above</t>
  </si>
  <si>
    <t>Other</t>
  </si>
  <si>
    <t>Explain "Other" facility costs:</t>
  </si>
  <si>
    <t>Administrative Service Agreements:</t>
  </si>
  <si>
    <t>Oversight Fees to Sponsor</t>
  </si>
  <si>
    <t>Administive Service Contract</t>
  </si>
  <si>
    <t>Other Contracted Costs</t>
  </si>
  <si>
    <t>List Noteworthy Assumptions for other budget line items: (Books, Supplies, Services, Capital Outlay, Debt, etc.)</t>
  </si>
  <si>
    <t>Math and Science Curriculum  (Object 4100)</t>
  </si>
  <si>
    <t>Bus Services (Object 5800)</t>
  </si>
  <si>
    <t xml:space="preserve">Facility Maintenance and Repair (Object </t>
  </si>
  <si>
    <t>Unrestricted MYP</t>
  </si>
  <si>
    <t>DESCRIPTION</t>
  </si>
  <si>
    <t>Estimated</t>
  </si>
  <si>
    <t>Adopted</t>
  </si>
  <si>
    <t>Percent</t>
  </si>
  <si>
    <t>Projected</t>
  </si>
  <si>
    <t>Actuals</t>
  </si>
  <si>
    <t>Budget</t>
  </si>
  <si>
    <t>REVENUES</t>
  </si>
  <si>
    <t>LCFF Sources</t>
  </si>
  <si>
    <t>LCFF</t>
  </si>
  <si>
    <t>formular in H13 and J13 is reflecting the full LCFF amount, not allowing the breakout of the EPA and In-Lieu</t>
  </si>
  <si>
    <t>EPA</t>
  </si>
  <si>
    <t>State Aid - Prior Year</t>
  </si>
  <si>
    <t>In Lieu Property Taxes</t>
  </si>
  <si>
    <t>Federal</t>
  </si>
  <si>
    <t>8100-8299</t>
  </si>
  <si>
    <t>State</t>
  </si>
  <si>
    <t>Lottery - Unrestricted</t>
  </si>
  <si>
    <t>Lottery - Prop 20 - Restricted</t>
  </si>
  <si>
    <t>Other State Revenue</t>
  </si>
  <si>
    <t>8300-8599</t>
  </si>
  <si>
    <t>Local</t>
  </si>
  <si>
    <t>Interest</t>
  </si>
  <si>
    <t>AB602 Local Special Education Transfer</t>
  </si>
  <si>
    <t>Other Local Revenues</t>
  </si>
  <si>
    <t>8600-8799</t>
  </si>
  <si>
    <t>Total Revenues</t>
  </si>
  <si>
    <t>EXPENDITURES</t>
  </si>
  <si>
    <t>Certificated Salaries</t>
  </si>
  <si>
    <t>1000-1999</t>
  </si>
  <si>
    <t>Classified Salaries</t>
  </si>
  <si>
    <t>2000-2999</t>
  </si>
  <si>
    <t>Benefits</t>
  </si>
  <si>
    <t>3000-3999</t>
  </si>
  <si>
    <t>Books &amp; Supplies</t>
  </si>
  <si>
    <t>4000-4999</t>
  </si>
  <si>
    <t>Contracts &amp; Services</t>
  </si>
  <si>
    <t>5000-5999</t>
  </si>
  <si>
    <t>Capital Outlay</t>
  </si>
  <si>
    <t>6000-6599</t>
  </si>
  <si>
    <t>Other Outgo</t>
  </si>
  <si>
    <t>7100-7299</t>
  </si>
  <si>
    <t>Debt Service (see Debt Form)</t>
  </si>
  <si>
    <t>7400-7499</t>
  </si>
  <si>
    <t>Total Expenditures</t>
  </si>
  <si>
    <t>EXCESS (DEFICIENCY) OF REVENUES OVER EXPENDITURES</t>
  </si>
  <si>
    <t>OTHER SOURCES &amp; USES</t>
  </si>
  <si>
    <t>Other Sources/Contributions to Restricted Programs</t>
  </si>
  <si>
    <t>Other Uses</t>
  </si>
  <si>
    <t>Net Sources &amp; Uses</t>
  </si>
  <si>
    <t>NET INCREASE (DECREASE) IN FUND BALANCE</t>
  </si>
  <si>
    <t>FUND BALANCE, RESERVES</t>
  </si>
  <si>
    <t>Beginning Balance at Adopted Budget</t>
  </si>
  <si>
    <t>Adjustments for Unaudited Actuals</t>
  </si>
  <si>
    <t xml:space="preserve">  Beg Fund Balance at Unaudited Actuals</t>
  </si>
  <si>
    <t>Adjustments for Audit</t>
  </si>
  <si>
    <t>Adjustments for Restatements</t>
  </si>
  <si>
    <t xml:space="preserve">  Beginning Fund Balance as per Audit Report +/- Restatements</t>
  </si>
  <si>
    <t>Ending Balance</t>
  </si>
  <si>
    <t>Components of Ending Fund Balance (Budget):</t>
  </si>
  <si>
    <t>a.</t>
  </si>
  <si>
    <t>Nonspendable</t>
  </si>
  <si>
    <t>Revolving Cash</t>
  </si>
  <si>
    <t>Stores</t>
  </si>
  <si>
    <t>Prepaid Expenditures</t>
  </si>
  <si>
    <t>All Others</t>
  </si>
  <si>
    <t>b.</t>
  </si>
  <si>
    <t>Restricted</t>
  </si>
  <si>
    <t>c.</t>
  </si>
  <si>
    <t>Committed</t>
  </si>
  <si>
    <t>Committed - Stabilization Arrangements</t>
  </si>
  <si>
    <t>Committed - Other</t>
  </si>
  <si>
    <t>d.</t>
  </si>
  <si>
    <t>Assignments</t>
  </si>
  <si>
    <t>e.</t>
  </si>
  <si>
    <t>Unassigned</t>
  </si>
  <si>
    <t>Reserve for Ecomonic Uncertainties</t>
  </si>
  <si>
    <t>Undesignated / Unappropriated Amount / Unrestricted Net Position</t>
  </si>
  <si>
    <t>ASSUMPTIONS FOR UNRESTRICTED PROGRAMS:</t>
  </si>
  <si>
    <t>LIST FEDERAL UNRESTRICTED REVENUES  (MOST FEDERAL PROGRAM REVENUES ARE RESTRICTED AND SHOULD BE ON RESTRICTED SHEET)</t>
  </si>
  <si>
    <t>Ex. Erate</t>
  </si>
  <si>
    <t xml:space="preserve">Total Federal Awards Budgeted:   </t>
  </si>
  <si>
    <t>Lottery Unrestricted Allocation per ADA</t>
  </si>
  <si>
    <t>Lottery Unrestricted Estimated Award</t>
  </si>
  <si>
    <t>LIST UNRESTRICTED STATE FUNDS BUDGETED IN "Other State Revenue"</t>
  </si>
  <si>
    <t>Mandate Cost Reimbursements</t>
  </si>
  <si>
    <t>P/Y Lottery Unrestricted</t>
  </si>
  <si>
    <t xml:space="preserve">Total Other State Revenue Funds Budgeted:   </t>
  </si>
  <si>
    <t>LIST OTHER UNRESTRICTED LOCAL REVENUES BUDGETED in "Other Local Revenues"</t>
  </si>
  <si>
    <t>Local Donations</t>
  </si>
  <si>
    <t xml:space="preserve">PPP Foregivness </t>
  </si>
  <si>
    <t xml:space="preserve">Total Other Local Revenue Funds Budgeted:   </t>
  </si>
  <si>
    <t>Restricted MYP</t>
  </si>
  <si>
    <t>If Restricted Fund Balances Exist, Identify Balance by Program:</t>
  </si>
  <si>
    <t>ASSUMPTIONS FOR RESTRICTED PROGRAMS:</t>
  </si>
  <si>
    <t>LIST FEDERAL RESTRICTED REVENUES</t>
  </si>
  <si>
    <t>ESSA (Title I-IV)</t>
  </si>
  <si>
    <t>IDEA SPED</t>
  </si>
  <si>
    <t>NSLP</t>
  </si>
  <si>
    <t>ESSER II</t>
  </si>
  <si>
    <t>ESSER III</t>
  </si>
  <si>
    <t>ESSER I</t>
  </si>
  <si>
    <t>LLM GEER</t>
  </si>
  <si>
    <t>LLM CR</t>
  </si>
  <si>
    <t>Lottery Prop 20 Restricted Allocation per ADA</t>
  </si>
  <si>
    <t>Lottery Estimated Prop 20 Restricted Award</t>
  </si>
  <si>
    <t>LIST RESTRICTED STATE FUNDS BUDGETED IN "Other State Revenue"</t>
  </si>
  <si>
    <t>State Lunch</t>
  </si>
  <si>
    <t>Charter School Facility Grant Program</t>
  </si>
  <si>
    <t>AB86 - In Person Instruction Grant (7422)</t>
  </si>
  <si>
    <t>AB86 - Expanded Learning Opportunities Grant (7425)</t>
  </si>
  <si>
    <t>AB86 - Expanded Learning Opportunities Grant (7426)</t>
  </si>
  <si>
    <t>LLM GF (7420)</t>
  </si>
  <si>
    <t>LIST OTHER RESTRICTED LOCAL REVENUES BUDGETED in "Other Local Revenues"</t>
  </si>
  <si>
    <t>Student Lunch</t>
  </si>
  <si>
    <t>SPECIAL EDUCATION DETAILS:</t>
  </si>
  <si>
    <t>What % of student population is Special Ed</t>
  </si>
  <si>
    <t>For SELPA services, is the Charter under School District, or a member LEA?</t>
  </si>
  <si>
    <t>AB602 Revenue</t>
  </si>
  <si>
    <t>Other Special Ed Revenue</t>
  </si>
  <si>
    <t>Unrestricted Contribution to Special Ed</t>
  </si>
  <si>
    <t>Total Special Ed Funding</t>
  </si>
  <si>
    <t>Special Ed Expenditures</t>
  </si>
  <si>
    <t>Summary MYP</t>
  </si>
  <si>
    <t>Fund Balance Standard</t>
  </si>
  <si>
    <t>Percent Level</t>
  </si>
  <si>
    <t>Charter ADA</t>
  </si>
  <si>
    <t>or</t>
  </si>
  <si>
    <t>greater of</t>
  </si>
  <si>
    <t>to</t>
  </si>
  <si>
    <t>Economic Uncertainty and Unappropriated Reserve Percentage (9789+9790)/(Total Expenditures + Other Uses)</t>
  </si>
  <si>
    <t>Reserve Standard (unless different standard identified in MOU)</t>
  </si>
  <si>
    <t>If MOU contains a Reserve Standard other than above, enter here</t>
  </si>
  <si>
    <t>or more</t>
  </si>
  <si>
    <t>Reserve Standard Met/Not Met</t>
  </si>
  <si>
    <t>If not meeting standards, discuss fiscal recovery plan:</t>
  </si>
  <si>
    <t>Unrestricted Deficit Spending Percentage</t>
  </si>
  <si>
    <t>Unrestricted Deficit Spending Standard</t>
  </si>
  <si>
    <t>Deficit Spending Standard</t>
  </si>
  <si>
    <t>Unrestricted Deficit Spending Standard Met/Not Met</t>
  </si>
  <si>
    <t>Unrestricted defiit spending as a percentage of total unrestricted expenditures and other financing uses, has not exceeded one-third of the district's available reserves as a percentage of total expenditures and other financing uses in any of the current fiscal year or two subsequent fiscal years.</t>
  </si>
  <si>
    <t>If deficit spending, explain cause and if one-time or on-going.  If for on-going, what is the Charter's plan to eliminatethe deficit?</t>
  </si>
  <si>
    <t>DEBT -  Multiyear Commitments</t>
  </si>
  <si>
    <t>Complete the following table for all significant multiyear commitments for the budget year and the following two years.  Clearly identify the number of years remaining and the total remaining principal amount of the commitment, the amount of principal and interest budgeted for the current fiscal year and the following two years.</t>
  </si>
  <si>
    <t>Under the Comment Section, provide a brief statement identifying the funding source for repayment of each obligation.</t>
  </si>
  <si>
    <r>
      <t xml:space="preserve">NO DEBT </t>
    </r>
    <r>
      <rPr>
        <sz val="10"/>
        <rFont val="Arial"/>
        <family val="2"/>
      </rPr>
      <t xml:space="preserve">(if no debt, </t>
    </r>
    <r>
      <rPr>
        <b/>
        <sz val="10"/>
        <rFont val="Arial"/>
        <family val="2"/>
      </rPr>
      <t>X</t>
    </r>
    <r>
      <rPr>
        <sz val="10"/>
        <rFont val="Arial"/>
        <family val="2"/>
      </rPr>
      <t>)</t>
    </r>
  </si>
  <si>
    <t>July 1,</t>
  </si>
  <si>
    <t>Object</t>
  </si>
  <si>
    <t># of Years</t>
  </si>
  <si>
    <t>2021</t>
  </si>
  <si>
    <t>Payment</t>
  </si>
  <si>
    <t>Code(s)</t>
  </si>
  <si>
    <t>Type of Commitment</t>
  </si>
  <si>
    <t>Remaining</t>
  </si>
  <si>
    <t>Principal Balance</t>
  </si>
  <si>
    <t>Principle</t>
  </si>
  <si>
    <t>State School Building Loans</t>
  </si>
  <si>
    <t>Charter School Start-up Loans</t>
  </si>
  <si>
    <t>Other Post Employment Benefits</t>
  </si>
  <si>
    <t>Compensated Absences</t>
  </si>
  <si>
    <t>Bank Line of Credit Loans</t>
  </si>
  <si>
    <t>Municipal Lease</t>
  </si>
  <si>
    <t>Capital Lease</t>
  </si>
  <si>
    <t>I month</t>
  </si>
  <si>
    <t>9667</t>
  </si>
  <si>
    <t>Teqlease (final payment in July)</t>
  </si>
  <si>
    <t>Inter-Agency Borrowing</t>
  </si>
  <si>
    <t>9641</t>
  </si>
  <si>
    <t>CAM Factoring</t>
  </si>
  <si>
    <t>&gt;1</t>
  </si>
  <si>
    <t>9645</t>
  </si>
  <si>
    <t xml:space="preserve">La-Fear Settlement </t>
  </si>
  <si>
    <t>Total</t>
  </si>
  <si>
    <t>Other Commitments:</t>
  </si>
  <si>
    <t>Bank Line of Credit Loans - PPP loan will be forgiven in Dec 2021</t>
  </si>
  <si>
    <t xml:space="preserve">Comments:  </t>
  </si>
  <si>
    <t>CAM Borrowing - Remaining balance from 20/21 plus $1 million borrowing on the 1st of July</t>
  </si>
  <si>
    <t>DATE PREPARED:</t>
  </si>
  <si>
    <t>July</t>
  </si>
  <si>
    <t xml:space="preserve">% </t>
  </si>
  <si>
    <t>August</t>
  </si>
  <si>
    <t>September</t>
  </si>
  <si>
    <t>October</t>
  </si>
  <si>
    <t>November</t>
  </si>
  <si>
    <t>December</t>
  </si>
  <si>
    <t>January</t>
  </si>
  <si>
    <t>February</t>
  </si>
  <si>
    <t>March</t>
  </si>
  <si>
    <t>April</t>
  </si>
  <si>
    <t>May</t>
  </si>
  <si>
    <t>June</t>
  </si>
  <si>
    <t>Bud</t>
  </si>
  <si>
    <t>Accrual</t>
  </si>
  <si>
    <t>Difference</t>
  </si>
  <si>
    <t>Beginning Cash Balance</t>
  </si>
  <si>
    <t>REVENUE</t>
  </si>
  <si>
    <t>OTHER SOURCES/USES</t>
  </si>
  <si>
    <t>July 1 - Beginning Balances</t>
  </si>
  <si>
    <t>%</t>
  </si>
  <si>
    <t>Remaining Balance</t>
  </si>
  <si>
    <t>PRIOR YEAR TRANSACTIONS</t>
  </si>
  <si>
    <t>Beg Bal</t>
  </si>
  <si>
    <t>Accounts Receivable</t>
  </si>
  <si>
    <t>(Accounts Payable)</t>
  </si>
  <si>
    <t>(Line of Credit Payments)</t>
  </si>
  <si>
    <t>(Deferred Revenue)</t>
  </si>
  <si>
    <t>NET PRIOR YEAR TRANSACTIONS</t>
  </si>
  <si>
    <t>OTHER ADJUSTMENTS (LIST)</t>
  </si>
  <si>
    <t>CAM Financing</t>
  </si>
  <si>
    <t>CAM Repayments</t>
  </si>
  <si>
    <t>TOTAL MISC. ADJUSTMENTS</t>
  </si>
  <si>
    <t>NET REVENUES LESS EXPENDITURES</t>
  </si>
  <si>
    <t>ENDING CASH BALANCE</t>
  </si>
  <si>
    <t>Ending Fund Balance</t>
  </si>
  <si>
    <t>Ending Cash plus Accruals should equal Ending Fund Balance</t>
  </si>
  <si>
    <t>Accounts Payable</t>
  </si>
  <si>
    <t>Line of Credit Payments</t>
  </si>
  <si>
    <t>Deferred Revenue</t>
  </si>
  <si>
    <t xml:space="preserve">Adopted Budget </t>
  </si>
  <si>
    <t>PY</t>
  </si>
  <si>
    <t>CY</t>
  </si>
  <si>
    <t>SY1</t>
  </si>
  <si>
    <t>ADA</t>
  </si>
  <si>
    <t>Enrollment</t>
  </si>
  <si>
    <t>UPP (Rolling)</t>
  </si>
  <si>
    <t>Teacher FTE</t>
  </si>
  <si>
    <t>Other Cert FTE</t>
  </si>
  <si>
    <t>Cert Mgt FTE</t>
  </si>
  <si>
    <t>Class FTE</t>
  </si>
  <si>
    <t>Class MGMT FTE</t>
  </si>
  <si>
    <t xml:space="preserve">Teacher Ave salary Per FTE </t>
  </si>
  <si>
    <t>Other Cert Staff salary Per FTE</t>
  </si>
  <si>
    <t>Cert Mgt salary Per FTE</t>
  </si>
  <si>
    <t>Class Ave salary Per FTE</t>
  </si>
  <si>
    <t>Class Mgmt Ave salary Per FTE</t>
  </si>
  <si>
    <t>Class H&amp;W/EE</t>
  </si>
  <si>
    <t>Cert H&amp;W/EE</t>
  </si>
  <si>
    <t>FICA</t>
  </si>
  <si>
    <t>Medi</t>
  </si>
  <si>
    <t>Unrestricted FUND BALANCE</t>
  </si>
  <si>
    <t>Beginning Balance at Adopted Budget 9791</t>
  </si>
  <si>
    <t>Adjustments for Unaudited Actuals 9791</t>
  </si>
  <si>
    <t>Adjustments for Audit 9793</t>
  </si>
  <si>
    <t>Adjustments for Restatements 9795</t>
  </si>
  <si>
    <t>Ending Balance 9790</t>
  </si>
  <si>
    <t>Revolving Cash 9711</t>
  </si>
  <si>
    <t>Stores 9711</t>
  </si>
  <si>
    <t>Prepaid Expenditures 9713</t>
  </si>
  <si>
    <t>All Others 9719</t>
  </si>
  <si>
    <t>Committed - Stabilization Arrangements 9750</t>
  </si>
  <si>
    <t>Committed - Other 9760</t>
  </si>
  <si>
    <t>Assignments 9780</t>
  </si>
  <si>
    <t>Reserve for Ecomonic Uncertainties 9789</t>
  </si>
  <si>
    <t>Undesignated/Unappropriated Amount/Unrestricted Net Position 9790</t>
  </si>
  <si>
    <t>Restricted FUND BALANCE</t>
  </si>
  <si>
    <t>LCFF 8011</t>
  </si>
  <si>
    <t>EPA 8011</t>
  </si>
  <si>
    <t>State Aid - Prior Year 8019</t>
  </si>
  <si>
    <t>In Lieu Property Taxes 8096</t>
  </si>
  <si>
    <t>If MOU contains a Reserve Standard other than above</t>
  </si>
  <si>
    <t>Available Fund Balance %</t>
  </si>
  <si>
    <t>Deficit Spending %</t>
  </si>
  <si>
    <t>Unrestricted Total Rev and Funding Sources</t>
  </si>
  <si>
    <t>Unrestricted Total Exp and Other Uses</t>
  </si>
  <si>
    <t>Restricted Total Rev and Funding Sources</t>
  </si>
  <si>
    <t>Restricted Total Exp and Other Uses</t>
  </si>
  <si>
    <t>Charter under School District, or a member LEA for SELPA services?</t>
  </si>
  <si>
    <t>Unrestricted contribution to Special Ed</t>
  </si>
  <si>
    <t>Unrestricted Exp</t>
  </si>
  <si>
    <t xml:space="preserve">  Total</t>
  </si>
  <si>
    <t>Restricted Exp</t>
  </si>
  <si>
    <t>Other Contracted salarys</t>
  </si>
  <si>
    <t>Debt</t>
  </si>
  <si>
    <t>Cash Flow</t>
  </si>
  <si>
    <t>Beginning Cash</t>
  </si>
  <si>
    <t>Interim Check List</t>
  </si>
  <si>
    <r>
      <rPr>
        <b/>
        <sz val="10"/>
        <rFont val="Arial"/>
        <family val="2"/>
      </rPr>
      <t>On or before December 15</t>
    </r>
    <r>
      <rPr>
        <sz val="10"/>
        <rFont val="Arial"/>
        <family val="2"/>
      </rPr>
      <t xml:space="preserve"> (1st)  Interim Report to Authorizing District </t>
    </r>
    <r>
      <rPr>
        <b/>
        <i/>
        <sz val="10"/>
        <rFont val="Arial"/>
        <family val="2"/>
      </rPr>
      <t>(Coordinate due date with District)</t>
    </r>
  </si>
  <si>
    <r>
      <rPr>
        <b/>
        <sz val="10"/>
        <rFont val="Arial"/>
        <family val="2"/>
      </rPr>
      <t>On or before March 15</t>
    </r>
    <r>
      <rPr>
        <sz val="10"/>
        <rFont val="Arial"/>
        <family val="2"/>
      </rPr>
      <t xml:space="preserve"> (2nd) Interim Report to Authorizing District </t>
    </r>
    <r>
      <rPr>
        <b/>
        <i/>
        <sz val="10"/>
        <rFont val="Arial"/>
        <family val="2"/>
      </rPr>
      <t>(Coordinate due date with District)</t>
    </r>
  </si>
  <si>
    <t>Interim - Certification</t>
  </si>
  <si>
    <t>Interim - ADA Projections</t>
  </si>
  <si>
    <t>Interim-  Assumptions</t>
  </si>
  <si>
    <t>Interim - Unrestricted MYP</t>
  </si>
  <si>
    <t>Interim - Restricted MYP</t>
  </si>
  <si>
    <t>Interim - Summary MYP</t>
  </si>
  <si>
    <t>Interim - Debt (sheet has a field to report if No Debt)</t>
  </si>
  <si>
    <t>Interim - Cash Flow Year 1</t>
  </si>
  <si>
    <t>Interim - Cash Flow Year 2</t>
  </si>
  <si>
    <r>
      <t xml:space="preserve">Interim - Certification </t>
    </r>
    <r>
      <rPr>
        <b/>
        <i/>
        <sz val="10"/>
        <rFont val="Arial"/>
        <family val="2"/>
      </rPr>
      <t>Signed</t>
    </r>
  </si>
  <si>
    <t>CHARTER SCHOOL INTERIM REPORT</t>
  </si>
  <si>
    <t>1st Interim as of October 31</t>
  </si>
  <si>
    <t>2nd Interim as of January 31</t>
  </si>
  <si>
    <t>Charter Authorizer</t>
  </si>
  <si>
    <t>CHARTER SCHOOL CERTIFICATION</t>
  </si>
  <si>
    <t>`</t>
  </si>
  <si>
    <t>Ashlin Barkdull</t>
  </si>
  <si>
    <t>Interim Executive Director</t>
  </si>
  <si>
    <t>(</t>
  </si>
  <si>
    <t>) POSITIVE</t>
  </si>
  <si>
    <t>) QUALIFIED</t>
  </si>
  <si>
    <t>)   NEGATIVE</t>
  </si>
  <si>
    <t>As the Charter School Official, I certify that</t>
  </si>
  <si>
    <t>this Charter will be able to meet its financial</t>
  </si>
  <si>
    <t xml:space="preserve">this Charter may not meet its financial </t>
  </si>
  <si>
    <t>based upon current projections this charter</t>
  </si>
  <si>
    <t>obligations for the current fiscal year and two</t>
  </si>
  <si>
    <t>obligations for the current fiscal year or two</t>
  </si>
  <si>
    <t xml:space="preserve">will be unable to meet its financial </t>
  </si>
  <si>
    <t>subsequent fiscal years.</t>
  </si>
  <si>
    <t>obligations for remainder of the fiscal year</t>
  </si>
  <si>
    <t>or for the subsequent fiscal year.</t>
  </si>
  <si>
    <t>Kortney Grimm</t>
  </si>
  <si>
    <t>Director of Fiscal Services</t>
  </si>
  <si>
    <t>Finance Director - DMS</t>
  </si>
  <si>
    <t>(760) 244-4411 ext 7222</t>
  </si>
  <si>
    <t>(916) 649-6461</t>
  </si>
  <si>
    <t>kortney.grimm@heperiausd.org</t>
  </si>
  <si>
    <t>% Change over Prior Period</t>
  </si>
  <si>
    <r>
      <t>P-2</t>
    </r>
    <r>
      <rPr>
        <b/>
        <sz val="11"/>
        <rFont val="Arial Narrow"/>
        <family val="2"/>
      </rPr>
      <t xml:space="preserve"> </t>
    </r>
    <r>
      <rPr>
        <sz val="11"/>
        <color indexed="17"/>
        <rFont val="Arial Black"/>
        <family val="2"/>
      </rPr>
      <t>(19/20)</t>
    </r>
  </si>
  <si>
    <r>
      <rPr>
        <b/>
        <sz val="16"/>
        <color indexed="60"/>
        <rFont val="Arial Narrow"/>
        <family val="2"/>
      </rPr>
      <t>*</t>
    </r>
    <r>
      <rPr>
        <b/>
        <sz val="12"/>
        <rFont val="Arial Narrow"/>
        <family val="2"/>
      </rPr>
      <t xml:space="preserve"> For non-classroom, P-2 ADA multiplied by Funding Determination %.  Use this amount in the LCFF calculator and any other ADA based revenue calculations.</t>
    </r>
  </si>
  <si>
    <r>
      <t xml:space="preserve">Total Phase-In Entitlement </t>
    </r>
    <r>
      <rPr>
        <b/>
        <sz val="12"/>
        <rFont val="Arial Narrow"/>
        <family val="2"/>
      </rPr>
      <t>(FCMAT calculator, Summary Tab)</t>
    </r>
  </si>
  <si>
    <t>List Noteworthy Assumptions for other 1st Interim line items: (Books, Supplies, Services, Capital Outlay, Debt, etc.)</t>
  </si>
  <si>
    <t>First Interim</t>
  </si>
  <si>
    <t>Actual</t>
  </si>
  <si>
    <t>thru October 31,</t>
  </si>
  <si>
    <t xml:space="preserve">LIST UNRESTRICTED STATE FUNDS BUDGETED IN OTHER STATE </t>
  </si>
  <si>
    <t>Mandate Block Grant</t>
  </si>
  <si>
    <t>Local - Bus Revenue/Legal Services Refund (PY)/IRS refund (PY)</t>
  </si>
  <si>
    <t>PPP Foregivenss</t>
  </si>
  <si>
    <t>thru October 31</t>
  </si>
  <si>
    <t xml:space="preserve">         </t>
  </si>
  <si>
    <t>Ending Resticted Fund Balance</t>
  </si>
  <si>
    <t>ASSUMPTIONS RESTRICTED PROGRAMS:</t>
  </si>
  <si>
    <t>ESSER II 3212</t>
  </si>
  <si>
    <t>ESSER III 3213</t>
  </si>
  <si>
    <t>ESSER I 3210</t>
  </si>
  <si>
    <t>LLM GEER 3215</t>
  </si>
  <si>
    <t>LLM CR 3220</t>
  </si>
  <si>
    <t>AB86 - In Person Instruction Grant (7422) IPI Excess Refund to CDE</t>
  </si>
  <si>
    <t>NSLP (line 90)</t>
  </si>
  <si>
    <t>PY AB602 SPED</t>
  </si>
  <si>
    <t xml:space="preserve">AB606 SPED </t>
  </si>
  <si>
    <t>Education Effectiveness (New)</t>
  </si>
  <si>
    <t>Immaterial deficit is one time in nature and largely due to pandemic and temporary shortfall in enrollment and ADA.  School has plan to address this during 2nd half of fiscal 2021-22 and future budgets will not reflect deficit spending</t>
  </si>
  <si>
    <t>9640</t>
  </si>
  <si>
    <t>PPP forgiven</t>
  </si>
  <si>
    <t>final payment in March 2022 - La Fear Settlement</t>
  </si>
  <si>
    <t>additional CAM Loans during the year  (see cashflow)</t>
  </si>
  <si>
    <t>July 1 Cash  =</t>
  </si>
  <si>
    <t>Actuals - Actuals - Actuals - Actuals - Actuals - Actuals - Actuals - Actuals - Actuals - Actuals</t>
  </si>
  <si>
    <t>Error in formular for Projected budget, pointing to Actuals</t>
  </si>
  <si>
    <t>FA Acquistions</t>
  </si>
  <si>
    <t>PPP loan</t>
  </si>
  <si>
    <t>Non Classroom Funding Determination Rate*</t>
  </si>
  <si>
    <t>in the above</t>
  </si>
  <si>
    <t>Second Interim</t>
  </si>
  <si>
    <t>thru January 31,</t>
  </si>
  <si>
    <t>PY State Lottery</t>
  </si>
  <si>
    <t>Local - Bus revenue/Legal Services refund (PY) IRS Refund (PY)</t>
  </si>
  <si>
    <t>PPP Foregiveness</t>
  </si>
  <si>
    <t>EX. AB602 - Special Education</t>
  </si>
  <si>
    <t>ESSER (I-III 3210/3212/3213)</t>
  </si>
  <si>
    <t>Child Nutrition: SNP COVID-19 Emergency Operational Costs Reimbursement (ECR)</t>
  </si>
  <si>
    <t>AB86 In Person Instruction (7422)</t>
  </si>
  <si>
    <t>Education Effectiveness (New) 6266</t>
  </si>
  <si>
    <t>A-G Completion Grant (7412)</t>
  </si>
  <si>
    <t>Latest</t>
  </si>
  <si>
    <t>Revised</t>
  </si>
  <si>
    <t>paid in full</t>
  </si>
  <si>
    <t>CAM Factoring - paid in full</t>
  </si>
  <si>
    <t>Actuals - Actuals - Actuals - Actuals - Actuals - Actuals - Actuals - Actuals - Actuals - Actuals - Actuals - Actuals - Actuals - Actuals - Actuals - Actuals - Actuals - Actuals</t>
  </si>
  <si>
    <t>PPP Loan Forgiveness</t>
  </si>
  <si>
    <t>Fixed Assets</t>
  </si>
  <si>
    <t>La Fear Settlement</t>
  </si>
  <si>
    <t>Repair and Replacement Fund</t>
  </si>
  <si>
    <t>Sabrina Bow</t>
  </si>
  <si>
    <t>Interim CEO/ED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</si>
</sst>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0.00_);[Red]\(0.00\)"/>
    <numFmt numFmtId="167" formatCode="&quot;$&quot;#,##0"/>
    <numFmt numFmtId="168" formatCode="_(&quot;$&quot;* #,##0_);_(&quot;$&quot;* \(#,##0\);_(&quot;$&quot;* &quot;-&quot;??_);_(@_)"/>
    <numFmt numFmtId="169" formatCode="0.00000%"/>
    <numFmt numFmtId="170" formatCode="0.0%"/>
    <numFmt numFmtId="171" formatCode="0_);[Red]\(0\)"/>
    <numFmt numFmtId="172" formatCode="m/d;@"/>
  </numFmts>
  <fonts count="54">
    <font>
      <sz val="10"/>
      <name val="Arial"/>
    </font>
    <font>
      <sz val="10"/>
      <name val="Arial"/>
      <family val="2"/>
    </font>
    <font>
      <b/>
      <sz val="11"/>
      <color indexed="8"/>
      <name val="Arial"/>
      <family val="2"/>
    </font>
    <font>
      <sz val="11"/>
      <name val="Arial"/>
      <family val="2"/>
    </font>
    <font>
      <sz val="10"/>
      <name val="Arial Narrow"/>
      <family val="2"/>
    </font>
    <font>
      <sz val="8"/>
      <name val="Arial"/>
      <family val="2"/>
    </font>
    <font>
      <b/>
      <sz val="12"/>
      <name val="Arial Narrow"/>
      <family val="2"/>
    </font>
    <font>
      <sz val="12"/>
      <name val="Arial Narrow"/>
      <family val="2"/>
    </font>
    <font>
      <sz val="12"/>
      <name val="Times New Roman"/>
      <family val="1"/>
    </font>
    <font>
      <b/>
      <i/>
      <sz val="12"/>
      <name val="Arial Narrow"/>
      <family val="2"/>
    </font>
    <font>
      <b/>
      <sz val="8"/>
      <name val="Comic Sans MS"/>
      <family val="4"/>
    </font>
    <font>
      <sz val="8"/>
      <name val="Comic Sans MS"/>
      <family val="4"/>
    </font>
    <font>
      <b/>
      <sz val="10"/>
      <name val="Arial"/>
      <family val="2"/>
    </font>
    <font>
      <sz val="12"/>
      <name val="Arial"/>
      <family val="2"/>
    </font>
    <font>
      <b/>
      <sz val="11"/>
      <name val="Arial"/>
      <family val="2"/>
    </font>
    <font>
      <b/>
      <u/>
      <sz val="11"/>
      <name val="Arial"/>
      <family val="2"/>
    </font>
    <font>
      <u/>
      <sz val="11"/>
      <name val="Arial"/>
      <family val="2"/>
    </font>
    <font>
      <sz val="10"/>
      <name val="Geneva"/>
    </font>
    <font>
      <b/>
      <sz val="10"/>
      <name val="Arial Narrow"/>
      <family val="2"/>
    </font>
    <font>
      <sz val="10"/>
      <name val="Arial"/>
      <family val="2"/>
    </font>
    <font>
      <b/>
      <sz val="14"/>
      <name val="Arial"/>
      <family val="2"/>
    </font>
    <font>
      <b/>
      <sz val="9"/>
      <name val="Arial"/>
      <family val="2"/>
    </font>
    <font>
      <sz val="9"/>
      <name val="Arial"/>
      <family val="2"/>
    </font>
    <font>
      <b/>
      <u/>
      <sz val="9"/>
      <name val="Arial"/>
      <family val="2"/>
    </font>
    <font>
      <b/>
      <i/>
      <sz val="9"/>
      <name val="Arial"/>
      <family val="2"/>
    </font>
    <font>
      <b/>
      <i/>
      <u/>
      <sz val="9"/>
      <name val="Arial"/>
      <family val="2"/>
    </font>
    <font>
      <b/>
      <sz val="11"/>
      <color indexed="8"/>
      <name val="Arial Narrow"/>
      <family val="2"/>
    </font>
    <font>
      <b/>
      <sz val="12"/>
      <color indexed="8"/>
      <name val="Arial Narrow"/>
      <family val="2"/>
    </font>
    <font>
      <sz val="12"/>
      <color indexed="56"/>
      <name val="Arial Narrow"/>
      <family val="2"/>
    </font>
    <font>
      <sz val="12"/>
      <color indexed="8"/>
      <name val="Arial Narrow"/>
      <family val="2"/>
    </font>
    <font>
      <sz val="9"/>
      <color indexed="81"/>
      <name val="Tahoma"/>
      <family val="2"/>
    </font>
    <font>
      <b/>
      <sz val="9"/>
      <color indexed="81"/>
      <name val="Tahoma"/>
      <family val="2"/>
    </font>
    <font>
      <b/>
      <sz val="12"/>
      <color indexed="18"/>
      <name val="Arial Narrow"/>
      <family val="2"/>
    </font>
    <font>
      <b/>
      <i/>
      <sz val="10"/>
      <name val="Arial"/>
      <family val="2"/>
    </font>
    <font>
      <b/>
      <sz val="11"/>
      <name val="Arial Narrow"/>
      <family val="2"/>
    </font>
    <font>
      <b/>
      <sz val="8"/>
      <name val="Arial Narrow"/>
      <family val="2"/>
    </font>
    <font>
      <b/>
      <sz val="16"/>
      <color indexed="60"/>
      <name val="Arial Narrow"/>
      <family val="2"/>
    </font>
    <font>
      <sz val="10"/>
      <color indexed="8"/>
      <name val="Arial"/>
      <family val="2"/>
    </font>
    <font>
      <u/>
      <sz val="10"/>
      <name val="Arial"/>
      <family val="2"/>
    </font>
    <font>
      <b/>
      <sz val="10"/>
      <color indexed="60"/>
      <name val="Arial"/>
      <family val="2"/>
    </font>
    <font>
      <sz val="11"/>
      <name val="Arial Narrow"/>
      <family val="2"/>
    </font>
    <font>
      <sz val="8"/>
      <color indexed="81"/>
      <name val="Tahoma"/>
      <family val="2"/>
    </font>
    <font>
      <sz val="6"/>
      <name val="Arial"/>
      <family val="2"/>
    </font>
    <font>
      <sz val="8"/>
      <name val="Arial Narrow"/>
      <family val="2"/>
    </font>
    <font>
      <sz val="12"/>
      <color indexed="17"/>
      <name val="Arial Black"/>
      <family val="2"/>
    </font>
    <font>
      <sz val="11"/>
      <color indexed="17"/>
      <name val="Arial Black"/>
      <family val="2"/>
    </font>
    <font>
      <sz val="11"/>
      <color indexed="8"/>
      <name val="Arial Narrow"/>
      <family val="2"/>
    </font>
    <font>
      <b/>
      <u/>
      <sz val="12"/>
      <name val="Arial Narrow"/>
      <family val="2"/>
    </font>
    <font>
      <b/>
      <u/>
      <sz val="11"/>
      <name val="Arial Narrow"/>
      <family val="2"/>
    </font>
    <font>
      <u/>
      <sz val="10"/>
      <color theme="10"/>
      <name val="Arial"/>
      <family val="2"/>
    </font>
    <font>
      <sz val="12"/>
      <color theme="0" tint="-0.14999847407452621"/>
      <name val="Arial Narrow"/>
      <family val="2"/>
    </font>
    <font>
      <sz val="12"/>
      <color theme="0" tint="-0.249977111117893"/>
      <name val="Arial Narrow"/>
      <family val="2"/>
    </font>
    <font>
      <sz val="12"/>
      <color theme="3"/>
      <name val="Arial Narrow"/>
      <family val="2"/>
    </font>
    <font>
      <sz val="10"/>
      <color rgb="FFFF0000"/>
      <name val="Arial"/>
      <family val="2"/>
    </font>
  </fonts>
  <fills count="17">
    <fill>
      <patternFill patternType="none"/>
    </fill>
    <fill>
      <patternFill patternType="gray125"/>
    </fill>
    <fill>
      <patternFill patternType="solid">
        <fgColor indexed="42"/>
        <bgColor indexed="64"/>
      </patternFill>
    </fill>
    <fill>
      <patternFill patternType="solid">
        <fgColor indexed="22"/>
        <bgColor indexed="8"/>
      </patternFill>
    </fill>
    <fill>
      <patternFill patternType="solid">
        <fgColor indexed="42"/>
        <bgColor indexed="8"/>
      </patternFill>
    </fill>
    <fill>
      <patternFill patternType="solid">
        <fgColor rgb="FFCCFFCC"/>
        <bgColor indexed="64"/>
      </patternFill>
    </fill>
    <fill>
      <patternFill patternType="solid">
        <fgColor theme="0" tint="-0.249977111117893"/>
        <bgColor indexed="64"/>
      </patternFill>
    </fill>
    <fill>
      <patternFill patternType="solid">
        <fgColor theme="0" tint="-0.249977111117893"/>
        <bgColor indexed="8"/>
      </patternFill>
    </fill>
    <fill>
      <patternFill patternType="solid">
        <fgColor theme="0"/>
        <bgColor indexed="64"/>
      </patternFill>
    </fill>
    <fill>
      <patternFill patternType="solid">
        <fgColor rgb="FFFFFFFF"/>
        <bgColor indexed="64"/>
      </patternFill>
    </fill>
    <fill>
      <patternFill patternType="solid">
        <fgColor rgb="FFCCFFCC"/>
        <bgColor indexed="8"/>
      </patternFill>
    </fill>
    <fill>
      <patternFill patternType="solid">
        <fgColor theme="0"/>
        <bgColor indexed="8"/>
      </patternFill>
    </fill>
    <fill>
      <patternFill patternType="solid">
        <fgColor theme="0" tint="-0.34998626667073579"/>
        <bgColor indexed="64"/>
      </patternFill>
    </fill>
    <fill>
      <patternFill patternType="solid">
        <fgColor rgb="FFCDFECD"/>
        <bgColor indexed="64"/>
      </patternFill>
    </fill>
    <fill>
      <patternFill patternType="solid">
        <fgColor rgb="FFBFBFBF"/>
        <bgColor indexed="64"/>
      </patternFill>
    </fill>
    <fill>
      <patternFill patternType="solid">
        <fgColor theme="0" tint="-0.34998626667073579"/>
        <bgColor indexed="8"/>
      </patternFill>
    </fill>
    <fill>
      <patternFill patternType="solid">
        <fgColor rgb="FFFFFF00"/>
        <bgColor indexed="64"/>
      </patternFill>
    </fill>
  </fills>
  <borders count="266">
    <border>
      <left/>
      <right/>
      <top/>
      <bottom/>
      <diagonal/>
    </border>
    <border>
      <left/>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8"/>
      </left>
      <right style="thin">
        <color indexed="8"/>
      </right>
      <top/>
      <bottom style="thin">
        <color indexed="8"/>
      </bottom>
      <diagonal/>
    </border>
    <border>
      <left/>
      <right style="thick">
        <color indexed="8"/>
      </right>
      <top/>
      <bottom/>
      <diagonal/>
    </border>
    <border>
      <left/>
      <right style="thick">
        <color indexed="8"/>
      </right>
      <top/>
      <bottom style="thick">
        <color indexed="8"/>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top style="double">
        <color indexed="64"/>
      </top>
      <bottom/>
      <diagonal/>
    </border>
    <border>
      <left/>
      <right/>
      <top/>
      <bottom style="double">
        <color indexed="64"/>
      </bottom>
      <diagonal/>
    </border>
    <border>
      <left/>
      <right style="medium">
        <color indexed="64"/>
      </right>
      <top/>
      <bottom/>
      <diagonal/>
    </border>
    <border>
      <left style="thin">
        <color indexed="8"/>
      </left>
      <right style="thin">
        <color indexed="8"/>
      </right>
      <top/>
      <bottom/>
      <diagonal/>
    </border>
    <border>
      <left/>
      <right/>
      <top style="thin">
        <color indexed="8"/>
      </top>
      <bottom style="thin">
        <color indexed="8"/>
      </bottom>
      <diagonal/>
    </border>
    <border>
      <left/>
      <right/>
      <top/>
      <bottom style="thin">
        <color indexed="8"/>
      </bottom>
      <diagonal/>
    </border>
    <border>
      <left/>
      <right/>
      <top style="double">
        <color indexed="8"/>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8"/>
      </left>
      <right style="thin">
        <color indexed="8"/>
      </right>
      <top style="thin">
        <color indexed="8"/>
      </top>
      <bottom/>
      <diagonal/>
    </border>
    <border>
      <left/>
      <right/>
      <top/>
      <bottom style="thin">
        <color indexed="64"/>
      </bottom>
      <diagonal/>
    </border>
    <border>
      <left/>
      <right/>
      <top/>
      <bottom style="dashed">
        <color indexed="64"/>
      </bottom>
      <diagonal/>
    </border>
    <border>
      <left/>
      <right/>
      <top style="dashed">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8"/>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medium">
        <color indexed="8"/>
      </left>
      <right style="medium">
        <color indexed="8"/>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thin">
        <color indexed="64"/>
      </top>
      <bottom style="double">
        <color indexed="64"/>
      </bottom>
      <diagonal/>
    </border>
    <border>
      <left style="thick">
        <color indexed="64"/>
      </left>
      <right/>
      <top/>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right/>
      <top/>
      <bottom style="double">
        <color indexed="8"/>
      </bottom>
      <diagonal/>
    </border>
    <border>
      <left style="thick">
        <color indexed="8"/>
      </left>
      <right style="thick">
        <color indexed="8"/>
      </right>
      <top style="medium">
        <color indexed="64"/>
      </top>
      <bottom style="thick">
        <color indexed="8"/>
      </bottom>
      <diagonal/>
    </border>
    <border>
      <left style="thick">
        <color indexed="8"/>
      </left>
      <right style="medium">
        <color indexed="64"/>
      </right>
      <top style="medium">
        <color indexed="64"/>
      </top>
      <bottom style="thick">
        <color indexed="8"/>
      </bottom>
      <diagonal/>
    </border>
    <border>
      <left style="medium">
        <color indexed="8"/>
      </left>
      <right style="medium">
        <color indexed="64"/>
      </right>
      <top style="thin">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diagonal/>
    </border>
    <border>
      <left/>
      <right style="thick">
        <color indexed="8"/>
      </right>
      <top style="medium">
        <color indexed="64"/>
      </top>
      <bottom/>
      <diagonal/>
    </border>
    <border>
      <left style="thick">
        <color indexed="8"/>
      </left>
      <right style="thick">
        <color indexed="8"/>
      </right>
      <top style="medium">
        <color indexed="64"/>
      </top>
      <bottom/>
      <diagonal/>
    </border>
    <border>
      <left style="thick">
        <color indexed="8"/>
      </left>
      <right style="medium">
        <color indexed="64"/>
      </right>
      <top style="medium">
        <color indexed="64"/>
      </top>
      <bottom/>
      <diagonal/>
    </border>
    <border>
      <left style="thick">
        <color indexed="8"/>
      </left>
      <right style="medium">
        <color indexed="64"/>
      </right>
      <top/>
      <bottom/>
      <diagonal/>
    </border>
    <border>
      <left style="medium">
        <color indexed="64"/>
      </left>
      <right/>
      <top/>
      <bottom style="thick">
        <color indexed="8"/>
      </bottom>
      <diagonal/>
    </border>
    <border>
      <left style="thick">
        <color indexed="8"/>
      </left>
      <right style="medium">
        <color indexed="64"/>
      </right>
      <top/>
      <bottom style="thick">
        <color indexed="8"/>
      </bottom>
      <diagonal/>
    </border>
    <border>
      <left style="thin">
        <color indexed="8"/>
      </left>
      <right style="thin">
        <color indexed="8"/>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64"/>
      </top>
      <bottom/>
      <diagonal/>
    </border>
    <border>
      <left style="thin">
        <color indexed="8"/>
      </left>
      <right style="medium">
        <color indexed="64"/>
      </right>
      <top style="thin">
        <color indexed="64"/>
      </top>
      <bottom/>
      <diagonal/>
    </border>
    <border>
      <left style="thin">
        <color indexed="8"/>
      </left>
      <right style="medium">
        <color indexed="64"/>
      </right>
      <top/>
      <bottom/>
      <diagonal/>
    </border>
    <border>
      <left/>
      <right/>
      <top style="thick">
        <color indexed="8"/>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double">
        <color indexed="64"/>
      </right>
      <top style="medium">
        <color indexed="64"/>
      </top>
      <bottom style="double">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right/>
      <top style="thick">
        <color indexed="8"/>
      </top>
      <bottom style="thin">
        <color indexed="8"/>
      </bottom>
      <diagonal/>
    </border>
    <border>
      <left style="thin">
        <color indexed="64"/>
      </left>
      <right style="thin">
        <color indexed="8"/>
      </right>
      <top style="thin">
        <color indexed="8"/>
      </top>
      <bottom style="thin">
        <color indexed="8"/>
      </bottom>
      <diagonal/>
    </border>
    <border>
      <left/>
      <right style="medium">
        <color indexed="64"/>
      </right>
      <top style="thick">
        <color indexed="8"/>
      </top>
      <bottom style="thin">
        <color indexed="8"/>
      </bottom>
      <diagonal/>
    </border>
    <border>
      <left style="thin">
        <color indexed="64"/>
      </left>
      <right style="thin">
        <color indexed="64"/>
      </right>
      <top style="thin">
        <color indexed="8"/>
      </top>
      <bottom/>
      <diagonal/>
    </border>
    <border>
      <left/>
      <right style="medium">
        <color indexed="64"/>
      </right>
      <top/>
      <bottom style="thin">
        <color indexed="8"/>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medium">
        <color indexed="64"/>
      </right>
      <top style="thin">
        <color indexed="8"/>
      </top>
      <bottom/>
      <diagonal/>
    </border>
    <border>
      <left/>
      <right style="medium">
        <color indexed="64"/>
      </right>
      <top style="double">
        <color indexed="8"/>
      </top>
      <bottom/>
      <diagonal/>
    </border>
    <border>
      <left/>
      <right/>
      <top style="thin">
        <color indexed="8"/>
      </top>
      <bottom/>
      <diagonal/>
    </border>
    <border>
      <left style="thin">
        <color indexed="8"/>
      </left>
      <right/>
      <top style="thin">
        <color indexed="8"/>
      </top>
      <bottom/>
      <diagonal/>
    </border>
    <border>
      <left/>
      <right/>
      <top style="thin">
        <color indexed="8"/>
      </top>
      <bottom style="thin">
        <color indexed="64"/>
      </bottom>
      <diagonal/>
    </border>
    <border>
      <left/>
      <right style="medium">
        <color indexed="64"/>
      </right>
      <top style="thin">
        <color indexed="8"/>
      </top>
      <bottom style="thin">
        <color indexed="8"/>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right style="thick">
        <color indexed="64"/>
      </right>
      <top style="thick">
        <color indexed="64"/>
      </top>
      <bottom style="double">
        <color indexed="64"/>
      </bottom>
      <diagonal/>
    </border>
    <border>
      <left/>
      <right style="medium">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ck">
        <color indexed="64"/>
      </right>
      <top style="thick">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8"/>
      </top>
      <bottom style="double">
        <color indexed="8"/>
      </bottom>
      <diagonal/>
    </border>
    <border>
      <left style="thin">
        <color indexed="64"/>
      </left>
      <right style="medium">
        <color indexed="64"/>
      </right>
      <top style="double">
        <color indexed="8"/>
      </top>
      <bottom style="double">
        <color indexed="8"/>
      </bottom>
      <diagonal/>
    </border>
    <border>
      <left style="thin">
        <color indexed="64"/>
      </left>
      <right style="medium">
        <color indexed="64"/>
      </right>
      <top style="thin">
        <color indexed="64"/>
      </top>
      <bottom style="thin">
        <color indexed="8"/>
      </bottom>
      <diagonal/>
    </border>
    <border>
      <left style="thin">
        <color indexed="8"/>
      </left>
      <right/>
      <top/>
      <bottom style="thin">
        <color indexed="8"/>
      </bottom>
      <diagonal/>
    </border>
    <border>
      <left/>
      <right style="medium">
        <color indexed="64"/>
      </right>
      <top style="thin">
        <color indexed="64"/>
      </top>
      <bottom style="thin">
        <color indexed="8"/>
      </bottom>
      <diagonal/>
    </border>
    <border>
      <left style="thick">
        <color indexed="64"/>
      </left>
      <right/>
      <top style="medium">
        <color indexed="64"/>
      </top>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style="thin">
        <color indexed="8"/>
      </left>
      <right style="medium">
        <color indexed="64"/>
      </right>
      <top style="thin">
        <color indexed="8"/>
      </top>
      <bottom style="thin">
        <color indexed="64"/>
      </bottom>
      <diagonal/>
    </border>
    <border>
      <left style="thin">
        <color indexed="8"/>
      </left>
      <right style="medium">
        <color indexed="64"/>
      </right>
      <top style="thin">
        <color indexed="64"/>
      </top>
      <bottom style="thin">
        <color indexed="64"/>
      </bottom>
      <diagonal/>
    </border>
    <border>
      <left/>
      <right style="thin">
        <color indexed="8"/>
      </right>
      <top/>
      <bottom style="thin">
        <color indexed="8"/>
      </bottom>
      <diagonal/>
    </border>
    <border>
      <left/>
      <right style="medium">
        <color indexed="64"/>
      </right>
      <top style="thin">
        <color indexed="8"/>
      </top>
      <bottom/>
      <diagonal/>
    </border>
    <border>
      <left/>
      <right style="thick">
        <color indexed="8"/>
      </right>
      <top style="medium">
        <color indexed="64"/>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8"/>
      </right>
      <top style="thin">
        <color indexed="64"/>
      </top>
      <bottom style="thin">
        <color indexed="64"/>
      </bottom>
      <diagonal/>
    </border>
    <border>
      <left style="thin">
        <color indexed="64"/>
      </left>
      <right style="thin">
        <color indexed="8"/>
      </right>
      <top/>
      <bottom style="thin">
        <color indexed="8"/>
      </bottom>
      <diagonal/>
    </border>
    <border>
      <left style="double">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8"/>
      </left>
      <right style="thin">
        <color indexed="8"/>
      </right>
      <top style="double">
        <color indexed="8"/>
      </top>
      <bottom style="double">
        <color indexed="8"/>
      </bottom>
      <diagonal/>
    </border>
    <border>
      <left style="thin">
        <color indexed="8"/>
      </left>
      <right style="medium">
        <color indexed="64"/>
      </right>
      <top style="double">
        <color indexed="8"/>
      </top>
      <bottom style="double">
        <color indexed="8"/>
      </bottom>
      <diagonal/>
    </border>
    <border>
      <left style="thin">
        <color indexed="64"/>
      </left>
      <right/>
      <top style="thin">
        <color indexed="8"/>
      </top>
      <bottom/>
      <diagonal/>
    </border>
    <border>
      <left style="medium">
        <color indexed="64"/>
      </left>
      <right style="thin">
        <color indexed="64"/>
      </right>
      <top style="double">
        <color indexed="8"/>
      </top>
      <bottom style="double">
        <color indexed="8"/>
      </bottom>
      <diagonal/>
    </border>
    <border>
      <left style="thin">
        <color indexed="64"/>
      </left>
      <right/>
      <top style="double">
        <color indexed="8"/>
      </top>
      <bottom style="double">
        <color indexed="8"/>
      </bottom>
      <diagonal/>
    </border>
    <border>
      <left/>
      <right style="thin">
        <color indexed="64"/>
      </right>
      <top style="double">
        <color indexed="8"/>
      </top>
      <bottom style="double">
        <color indexed="8"/>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8"/>
      </bottom>
      <diagonal/>
    </border>
    <border>
      <left style="thin">
        <color indexed="64"/>
      </left>
      <right style="thin">
        <color indexed="64"/>
      </right>
      <top style="double">
        <color indexed="64"/>
      </top>
      <bottom style="double">
        <color indexed="8"/>
      </bottom>
      <diagonal/>
    </border>
    <border>
      <left style="thin">
        <color indexed="64"/>
      </left>
      <right style="medium">
        <color indexed="64"/>
      </right>
      <top style="double">
        <color indexed="64"/>
      </top>
      <bottom style="double">
        <color indexed="8"/>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double">
        <color indexed="8"/>
      </bottom>
      <diagonal/>
    </border>
    <border>
      <left/>
      <right style="thin">
        <color indexed="64"/>
      </right>
      <top style="double">
        <color indexed="64"/>
      </top>
      <bottom style="double">
        <color indexed="8"/>
      </bottom>
      <diagonal/>
    </border>
    <border>
      <left/>
      <right style="medium">
        <color indexed="64"/>
      </right>
      <top/>
      <bottom style="double">
        <color indexed="8"/>
      </bottom>
      <diagonal/>
    </border>
    <border>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8"/>
      </left>
      <right style="medium">
        <color indexed="8"/>
      </right>
      <top style="double">
        <color indexed="8"/>
      </top>
      <bottom style="double">
        <color indexed="8"/>
      </bottom>
      <diagonal/>
    </border>
    <border>
      <left style="double">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right style="medium">
        <color indexed="64"/>
      </right>
      <top style="double">
        <color indexed="8"/>
      </top>
      <bottom style="double">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double">
        <color indexed="64"/>
      </bottom>
      <diagonal/>
    </border>
    <border>
      <left style="thin">
        <color indexed="64"/>
      </left>
      <right style="thin">
        <color indexed="8"/>
      </right>
      <top/>
      <bottom/>
      <diagonal/>
    </border>
    <border>
      <left style="thin">
        <color indexed="64"/>
      </left>
      <right style="thin">
        <color indexed="8"/>
      </right>
      <top style="thin">
        <color indexed="64"/>
      </top>
      <bottom style="double">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8"/>
      </top>
      <bottom style="thin">
        <color indexed="64"/>
      </bottom>
      <diagonal/>
    </border>
    <border>
      <left/>
      <right/>
      <top/>
      <bottom style="dotted">
        <color indexed="64"/>
      </bottom>
      <diagonal/>
    </border>
    <border>
      <left/>
      <right style="medium">
        <color indexed="8"/>
      </right>
      <top style="double">
        <color indexed="8"/>
      </top>
      <bottom style="double">
        <color indexed="8"/>
      </bottom>
      <diagonal/>
    </border>
    <border>
      <left/>
      <right style="medium">
        <color indexed="8"/>
      </right>
      <top/>
      <bottom/>
      <diagonal/>
    </border>
    <border>
      <left style="thin">
        <color indexed="64"/>
      </left>
      <right style="medium">
        <color indexed="8"/>
      </right>
      <top style="thin">
        <color indexed="8"/>
      </top>
      <bottom style="thin">
        <color indexed="8"/>
      </bottom>
      <diagonal/>
    </border>
    <border>
      <left style="thin">
        <color indexed="64"/>
      </left>
      <right style="medium">
        <color indexed="8"/>
      </right>
      <top style="thin">
        <color indexed="8"/>
      </top>
      <bottom/>
      <diagonal/>
    </border>
    <border>
      <left style="thin">
        <color indexed="64"/>
      </left>
      <right style="medium">
        <color indexed="8"/>
      </right>
      <top style="double">
        <color indexed="64"/>
      </top>
      <bottom style="double">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thin">
        <color indexed="8"/>
      </bottom>
      <diagonal/>
    </border>
    <border>
      <left/>
      <right style="medium">
        <color indexed="8"/>
      </right>
      <top/>
      <bottom style="thin">
        <color indexed="8"/>
      </bottom>
      <diagonal/>
    </border>
    <border>
      <left style="thin">
        <color indexed="64"/>
      </left>
      <right style="thin">
        <color indexed="64"/>
      </right>
      <top style="double">
        <color indexed="64"/>
      </top>
      <bottom style="medium">
        <color indexed="64"/>
      </bottom>
      <diagonal/>
    </border>
    <border>
      <left style="thin">
        <color indexed="64"/>
      </left>
      <right style="thin">
        <color indexed="8"/>
      </right>
      <top/>
      <bottom style="medium">
        <color indexed="64"/>
      </bottom>
      <diagonal/>
    </border>
    <border>
      <left style="thin">
        <color indexed="8"/>
      </left>
      <right style="medium">
        <color indexed="8"/>
      </right>
      <top/>
      <bottom/>
      <diagonal/>
    </border>
    <border>
      <left style="thin">
        <color indexed="8"/>
      </left>
      <right style="thin">
        <color indexed="8"/>
      </right>
      <top style="thin">
        <color indexed="8"/>
      </top>
      <bottom style="double">
        <color indexed="8"/>
      </bottom>
      <diagonal/>
    </border>
    <border>
      <left style="thin">
        <color indexed="8"/>
      </left>
      <right style="medium">
        <color indexed="64"/>
      </right>
      <top style="thin">
        <color indexed="8"/>
      </top>
      <bottom style="medium">
        <color indexed="64"/>
      </bottom>
      <diagonal/>
    </border>
    <border>
      <left style="double">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top/>
      <bottom/>
      <diagonal/>
    </border>
    <border>
      <left style="medium">
        <color indexed="64"/>
      </left>
      <right style="double">
        <color indexed="64"/>
      </right>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style="medium">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8"/>
      </left>
      <right style="medium">
        <color indexed="64"/>
      </right>
      <top style="thin">
        <color indexed="64"/>
      </top>
      <bottom style="double">
        <color indexed="64"/>
      </bottom>
      <diagonal/>
    </border>
    <border>
      <left/>
      <right style="medium">
        <color indexed="8"/>
      </right>
      <top style="double">
        <color indexed="8"/>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style="double">
        <color indexed="64"/>
      </top>
      <bottom style="medium">
        <color indexed="64"/>
      </bottom>
      <diagonal/>
    </border>
    <border>
      <left/>
      <right style="thin">
        <color indexed="8"/>
      </right>
      <top/>
      <bottom style="thin">
        <color indexed="64"/>
      </bottom>
      <diagonal/>
    </border>
    <border>
      <left/>
      <right style="thin">
        <color indexed="8"/>
      </right>
      <top style="thin">
        <color indexed="64"/>
      </top>
      <bottom style="double">
        <color indexed="64"/>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style="thick">
        <color indexed="8"/>
      </top>
      <bottom/>
      <diagonal/>
    </border>
    <border>
      <left style="thick">
        <color indexed="8"/>
      </left>
      <right/>
      <top/>
      <bottom/>
      <diagonal/>
    </border>
    <border>
      <left style="thick">
        <color indexed="8"/>
      </left>
      <right/>
      <top/>
      <bottom style="thick">
        <color indexed="8"/>
      </bottom>
      <diagonal/>
    </border>
    <border>
      <left/>
      <right style="medium">
        <color indexed="64"/>
      </right>
      <top style="thick">
        <color indexed="8"/>
      </top>
      <bottom/>
      <diagonal/>
    </border>
    <border>
      <left/>
      <right style="thin">
        <color indexed="8"/>
      </right>
      <top/>
      <bottom/>
      <diagonal/>
    </border>
    <border>
      <left style="thin">
        <color indexed="64"/>
      </left>
      <right style="medium">
        <color indexed="64"/>
      </right>
      <top style="thin">
        <color indexed="8"/>
      </top>
      <bottom style="thin">
        <color indexed="64"/>
      </bottom>
      <diagonal/>
    </border>
    <border>
      <left style="thin">
        <color indexed="64"/>
      </left>
      <right style="thin">
        <color indexed="64"/>
      </right>
      <top style="thin">
        <color indexed="8"/>
      </top>
      <bottom style="medium">
        <color indexed="64"/>
      </bottom>
      <diagonal/>
    </border>
    <border>
      <left style="thin">
        <color indexed="64"/>
      </left>
      <right style="medium">
        <color indexed="64"/>
      </right>
      <top style="thin">
        <color indexed="8"/>
      </top>
      <bottom style="medium">
        <color indexed="64"/>
      </bottom>
      <diagonal/>
    </border>
    <border>
      <left style="thin">
        <color indexed="64"/>
      </left>
      <right style="medium">
        <color indexed="64"/>
      </right>
      <top/>
      <bottom style="double">
        <color indexed="64"/>
      </bottom>
      <diagonal/>
    </border>
    <border>
      <left style="double">
        <color indexed="8"/>
      </left>
      <right style="thin">
        <color indexed="8"/>
      </right>
      <top style="double">
        <color indexed="8"/>
      </top>
      <bottom style="double">
        <color indexed="8"/>
      </bottom>
      <diagonal/>
    </border>
    <border>
      <left style="medium">
        <color indexed="64"/>
      </left>
      <right/>
      <top style="double">
        <color indexed="8"/>
      </top>
      <bottom style="double">
        <color indexed="8"/>
      </bottom>
      <diagonal/>
    </border>
    <border>
      <left style="thin">
        <color indexed="64"/>
      </left>
      <right/>
      <top style="thin">
        <color indexed="8"/>
      </top>
      <bottom style="double">
        <color indexed="64"/>
      </bottom>
      <diagonal/>
    </border>
    <border>
      <left/>
      <right/>
      <top style="thin">
        <color indexed="8"/>
      </top>
      <bottom style="double">
        <color indexed="64"/>
      </bottom>
      <diagonal/>
    </border>
    <border>
      <left/>
      <right style="thin">
        <color indexed="64"/>
      </right>
      <top style="thin">
        <color indexed="8"/>
      </top>
      <bottom style="double">
        <color indexed="64"/>
      </bottom>
      <diagonal/>
    </border>
    <border>
      <left/>
      <right style="thin">
        <color indexed="64"/>
      </right>
      <top style="thin">
        <color indexed="8"/>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4">
    <xf numFmtId="0" fontId="0" fillId="0" borderId="0"/>
    <xf numFmtId="43" fontId="1" fillId="0" borderId="0" applyFont="0" applyFill="0" applyBorder="0" applyAlignment="0" applyProtection="0"/>
    <xf numFmtId="40" fontId="17" fillId="0" borderId="0" applyFont="0" applyFill="0" applyBorder="0" applyAlignment="0" applyProtection="0"/>
    <xf numFmtId="3" fontId="19" fillId="0" borderId="0" applyFont="0" applyFill="0" applyBorder="0" applyAlignment="0" applyProtection="0"/>
    <xf numFmtId="3" fontId="1" fillId="0" borderId="0" applyFont="0" applyFill="0" applyBorder="0" applyAlignment="0" applyProtection="0"/>
    <xf numFmtId="44" fontId="1" fillId="0" borderId="0" applyFont="0" applyFill="0" applyBorder="0" applyAlignment="0" applyProtection="0"/>
    <xf numFmtId="5" fontId="19" fillId="0" borderId="0" applyFont="0" applyFill="0" applyBorder="0" applyAlignment="0" applyProtection="0"/>
    <xf numFmtId="5" fontId="1" fillId="0" borderId="0" applyFont="0" applyFill="0" applyBorder="0" applyAlignment="0" applyProtection="0"/>
    <xf numFmtId="0" fontId="49" fillId="0" borderId="0" applyNumberFormat="0" applyFill="0" applyBorder="0" applyAlignment="0" applyProtection="0"/>
    <xf numFmtId="0" fontId="1" fillId="0" borderId="0"/>
    <xf numFmtId="0" fontId="17" fillId="0" borderId="0"/>
    <xf numFmtId="0" fontId="1" fillId="0" borderId="0"/>
    <xf numFmtId="0" fontId="1" fillId="0" borderId="0"/>
    <xf numFmtId="9" fontId="1" fillId="0" borderId="0" applyFont="0" applyFill="0" applyBorder="0" applyAlignment="0" applyProtection="0"/>
  </cellStyleXfs>
  <cellXfs count="1868">
    <xf numFmtId="0" fontId="0" fillId="0" borderId="0" xfId="0"/>
    <xf numFmtId="0" fontId="7" fillId="0" borderId="0" xfId="0" applyFont="1"/>
    <xf numFmtId="0" fontId="8" fillId="0" borderId="0" xfId="0" applyFont="1"/>
    <xf numFmtId="0" fontId="7" fillId="0" borderId="0" xfId="0" applyFont="1" applyProtection="1">
      <protection locked="0"/>
    </xf>
    <xf numFmtId="43" fontId="7" fillId="0" borderId="0" xfId="0" applyNumberFormat="1" applyFont="1" applyProtection="1">
      <protection locked="0"/>
    </xf>
    <xf numFmtId="0" fontId="11" fillId="0" borderId="0" xfId="11" applyFont="1" applyAlignment="1">
      <alignment vertical="center"/>
    </xf>
    <xf numFmtId="0" fontId="1" fillId="0" borderId="0" xfId="11"/>
    <xf numFmtId="49" fontId="11" fillId="0" borderId="0" xfId="11" applyNumberFormat="1" applyFont="1" applyAlignment="1">
      <alignment vertical="center"/>
    </xf>
    <xf numFmtId="0" fontId="3" fillId="0" borderId="0" xfId="12" applyFont="1"/>
    <xf numFmtId="38" fontId="6" fillId="0" borderId="0" xfId="6" applyNumberFormat="1" applyFont="1"/>
    <xf numFmtId="38" fontId="6" fillId="0" borderId="0" xfId="6" applyNumberFormat="1" applyFont="1" applyAlignment="1">
      <alignment horizontal="left"/>
    </xf>
    <xf numFmtId="0" fontId="6" fillId="0" borderId="0" xfId="0" applyFont="1" applyAlignment="1">
      <alignment horizontal="centerContinuous"/>
    </xf>
    <xf numFmtId="0" fontId="7" fillId="0" borderId="1"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21" fillId="0" borderId="0" xfId="0" applyFont="1"/>
    <xf numFmtId="0" fontId="22" fillId="0" borderId="0" xfId="0" applyFont="1"/>
    <xf numFmtId="0" fontId="23" fillId="0" borderId="0" xfId="0" applyFont="1"/>
    <xf numFmtId="0" fontId="24" fillId="0" borderId="0" xfId="0" applyFont="1"/>
    <xf numFmtId="38" fontId="7" fillId="0" borderId="0" xfId="6" applyNumberFormat="1" applyFont="1"/>
    <xf numFmtId="41" fontId="7" fillId="0" borderId="0" xfId="2" applyNumberFormat="1" applyFont="1"/>
    <xf numFmtId="41" fontId="28" fillId="0" borderId="4" xfId="2" applyNumberFormat="1" applyFont="1" applyBorder="1"/>
    <xf numFmtId="0" fontId="7" fillId="0" borderId="0" xfId="10" applyFont="1" applyAlignment="1">
      <alignment horizontal="center"/>
    </xf>
    <xf numFmtId="41" fontId="7" fillId="0" borderId="5" xfId="2" applyNumberFormat="1" applyFont="1" applyBorder="1"/>
    <xf numFmtId="9" fontId="7" fillId="0" borderId="0" xfId="13" applyFont="1"/>
    <xf numFmtId="43" fontId="7" fillId="0" borderId="0" xfId="2" applyNumberFormat="1" applyFont="1"/>
    <xf numFmtId="43" fontId="7" fillId="0" borderId="0" xfId="10" applyNumberFormat="1" applyFont="1"/>
    <xf numFmtId="165" fontId="11" fillId="0" borderId="0" xfId="1" applyNumberFormat="1" applyFont="1" applyAlignment="1">
      <alignment vertical="center"/>
    </xf>
    <xf numFmtId="41" fontId="0" fillId="5" borderId="6" xfId="0" applyNumberFormat="1" applyFill="1" applyBorder="1" applyProtection="1">
      <protection locked="0"/>
    </xf>
    <xf numFmtId="38" fontId="7" fillId="0" borderId="7" xfId="6" applyNumberFormat="1" applyFont="1" applyBorder="1"/>
    <xf numFmtId="10" fontId="7" fillId="0" borderId="7" xfId="13" applyNumberFormat="1" applyFont="1" applyBorder="1"/>
    <xf numFmtId="10" fontId="8" fillId="0" borderId="0" xfId="0" applyNumberFormat="1" applyFont="1"/>
    <xf numFmtId="49" fontId="7" fillId="0" borderId="0" xfId="11" applyNumberFormat="1" applyFont="1" applyAlignment="1">
      <alignment vertical="center"/>
    </xf>
    <xf numFmtId="164" fontId="7" fillId="0" borderId="0" xfId="11" applyNumberFormat="1" applyFont="1" applyAlignment="1">
      <alignment vertical="center"/>
    </xf>
    <xf numFmtId="0" fontId="6" fillId="0" borderId="0" xfId="11" applyFont="1" applyAlignment="1">
      <alignment horizontal="centerContinuous" vertical="center"/>
    </xf>
    <xf numFmtId="37" fontId="6" fillId="0" borderId="0" xfId="11" applyNumberFormat="1" applyFont="1" applyAlignment="1">
      <alignment vertical="center"/>
    </xf>
    <xf numFmtId="37" fontId="6" fillId="0" borderId="0" xfId="11" applyNumberFormat="1" applyFont="1" applyAlignment="1">
      <alignment horizontal="center" vertical="center"/>
    </xf>
    <xf numFmtId="164" fontId="7" fillId="0" borderId="0" xfId="11" applyNumberFormat="1" applyFont="1" applyAlignment="1">
      <alignment horizontal="left" vertical="center"/>
    </xf>
    <xf numFmtId="43" fontId="7" fillId="0" borderId="0" xfId="11" applyNumberFormat="1" applyFont="1" applyAlignment="1">
      <alignment horizontal="right" vertical="center"/>
    </xf>
    <xf numFmtId="37" fontId="6" fillId="0" borderId="5" xfId="11" applyNumberFormat="1" applyFont="1" applyBorder="1" applyAlignment="1">
      <alignment vertical="center"/>
    </xf>
    <xf numFmtId="164" fontId="7" fillId="0" borderId="5" xfId="11" applyNumberFormat="1" applyFont="1" applyBorder="1" applyAlignment="1">
      <alignment vertical="center"/>
    </xf>
    <xf numFmtId="164" fontId="7" fillId="0" borderId="5" xfId="11" applyNumberFormat="1" applyFont="1" applyBorder="1" applyAlignment="1">
      <alignment horizontal="left" vertical="center"/>
    </xf>
    <xf numFmtId="37" fontId="6" fillId="0" borderId="8" xfId="11" applyNumberFormat="1" applyFont="1" applyBorder="1" applyAlignment="1">
      <alignment horizontal="left" vertical="center"/>
    </xf>
    <xf numFmtId="49" fontId="7" fillId="0" borderId="9" xfId="11" applyNumberFormat="1" applyFont="1" applyBorder="1" applyAlignment="1">
      <alignment vertical="center"/>
    </xf>
    <xf numFmtId="164" fontId="7" fillId="0" borderId="9" xfId="11" applyNumberFormat="1" applyFont="1" applyBorder="1" applyAlignment="1">
      <alignment vertical="center"/>
    </xf>
    <xf numFmtId="0" fontId="7" fillId="0" borderId="0" xfId="0" applyFont="1" applyAlignment="1" applyProtection="1">
      <alignment horizontal="left"/>
      <protection locked="0"/>
    </xf>
    <xf numFmtId="10" fontId="7" fillId="0" borderId="0" xfId="0" applyNumberFormat="1" applyFont="1" applyProtection="1">
      <protection locked="0"/>
    </xf>
    <xf numFmtId="41" fontId="28" fillId="0" borderId="10" xfId="2" applyNumberFormat="1" applyFont="1" applyBorder="1"/>
    <xf numFmtId="43" fontId="7" fillId="0" borderId="5" xfId="2" applyNumberFormat="1" applyFont="1" applyBorder="1"/>
    <xf numFmtId="10" fontId="7" fillId="0" borderId="7" xfId="6" applyNumberFormat="1" applyFont="1" applyBorder="1"/>
    <xf numFmtId="10" fontId="7" fillId="0" borderId="11" xfId="13" applyNumberFormat="1" applyFont="1" applyBorder="1"/>
    <xf numFmtId="10" fontId="7" fillId="0" borderId="0" xfId="13" applyNumberFormat="1" applyFont="1"/>
    <xf numFmtId="0" fontId="6" fillId="0" borderId="0" xfId="0" applyFont="1" applyAlignment="1">
      <alignment horizontal="center"/>
    </xf>
    <xf numFmtId="0" fontId="7" fillId="0" borderId="12" xfId="0" applyFont="1" applyBorder="1"/>
    <xf numFmtId="0" fontId="7" fillId="0" borderId="13" xfId="0" applyFont="1" applyBorder="1"/>
    <xf numFmtId="43" fontId="7" fillId="0" borderId="14" xfId="10" applyNumberFormat="1" applyFont="1" applyBorder="1" applyAlignment="1">
      <alignment horizontal="center"/>
    </xf>
    <xf numFmtId="43" fontId="7" fillId="0" borderId="15" xfId="10" applyNumberFormat="1" applyFont="1" applyBorder="1" applyAlignment="1">
      <alignment horizontal="center"/>
    </xf>
    <xf numFmtId="41" fontId="7" fillId="0" borderId="16" xfId="10" applyNumberFormat="1" applyFont="1" applyBorder="1"/>
    <xf numFmtId="43" fontId="7" fillId="0" borderId="16" xfId="10" applyNumberFormat="1" applyFont="1" applyBorder="1"/>
    <xf numFmtId="9" fontId="7" fillId="0" borderId="17" xfId="13" applyFont="1" applyBorder="1" applyAlignment="1">
      <alignment horizontal="center"/>
    </xf>
    <xf numFmtId="9" fontId="7" fillId="0" borderId="0" xfId="13" applyFont="1" applyAlignment="1">
      <alignment horizontal="center"/>
    </xf>
    <xf numFmtId="41" fontId="7" fillId="0" borderId="18" xfId="13" applyNumberFormat="1" applyFont="1" applyBorder="1"/>
    <xf numFmtId="9" fontId="7" fillId="0" borderId="17" xfId="13" applyFont="1" applyBorder="1"/>
    <xf numFmtId="9" fontId="7" fillId="0" borderId="19" xfId="13" applyFont="1" applyBorder="1" applyAlignment="1">
      <alignment horizontal="center"/>
    </xf>
    <xf numFmtId="0" fontId="7" fillId="0" borderId="17" xfId="10" applyFont="1" applyBorder="1" applyAlignment="1">
      <alignment horizontal="center"/>
    </xf>
    <xf numFmtId="43" fontId="7" fillId="0" borderId="17" xfId="10" applyNumberFormat="1" applyFont="1" applyBorder="1"/>
    <xf numFmtId="0" fontId="6" fillId="0" borderId="5" xfId="10" applyFont="1" applyBorder="1"/>
    <xf numFmtId="0" fontId="7" fillId="0" borderId="5" xfId="0" applyFont="1" applyBorder="1"/>
    <xf numFmtId="0" fontId="7" fillId="0" borderId="5" xfId="10" applyFont="1" applyBorder="1"/>
    <xf numFmtId="0" fontId="6" fillId="0" borderId="10" xfId="10" applyFont="1" applyBorder="1"/>
    <xf numFmtId="0" fontId="7" fillId="0" borderId="4" xfId="10" applyFont="1" applyBorder="1" applyAlignment="1">
      <alignment horizontal="center"/>
    </xf>
    <xf numFmtId="0" fontId="7" fillId="0" borderId="9" xfId="10" applyFont="1" applyBorder="1" applyAlignment="1">
      <alignment horizontal="center"/>
    </xf>
    <xf numFmtId="41" fontId="7" fillId="0" borderId="8" xfId="2" applyNumberFormat="1" applyFont="1" applyBorder="1"/>
    <xf numFmtId="41" fontId="7" fillId="0" borderId="9" xfId="2" applyNumberFormat="1" applyFont="1" applyBorder="1"/>
    <xf numFmtId="41" fontId="28" fillId="0" borderId="8" xfId="2" applyNumberFormat="1" applyFont="1" applyBorder="1"/>
    <xf numFmtId="41" fontId="28" fillId="0" borderId="9" xfId="2" applyNumberFormat="1" applyFont="1" applyBorder="1"/>
    <xf numFmtId="43" fontId="7" fillId="0" borderId="8" xfId="2" applyNumberFormat="1" applyFont="1" applyBorder="1"/>
    <xf numFmtId="0" fontId="22" fillId="5" borderId="0" xfId="0" applyFont="1" applyFill="1"/>
    <xf numFmtId="0" fontId="21" fillId="5" borderId="0" xfId="0" applyFont="1" applyFill="1"/>
    <xf numFmtId="10" fontId="7" fillId="0" borderId="20" xfId="0" applyNumberFormat="1" applyFont="1" applyBorder="1"/>
    <xf numFmtId="38" fontId="7" fillId="0" borderId="21" xfId="6" applyNumberFormat="1" applyFont="1" applyBorder="1"/>
    <xf numFmtId="0" fontId="6" fillId="0" borderId="0" xfId="0" applyFont="1"/>
    <xf numFmtId="5" fontId="7" fillId="0" borderId="22" xfId="6" applyFont="1" applyBorder="1"/>
    <xf numFmtId="5" fontId="7" fillId="0" borderId="23" xfId="6" applyFont="1" applyBorder="1"/>
    <xf numFmtId="0" fontId="22" fillId="0" borderId="0" xfId="0" applyFont="1" applyAlignment="1">
      <alignment vertical="top" wrapText="1"/>
    </xf>
    <xf numFmtId="0" fontId="22" fillId="0" borderId="0" xfId="0" applyFont="1" applyAlignment="1">
      <alignment horizontal="left" vertical="top" wrapText="1"/>
    </xf>
    <xf numFmtId="37" fontId="6" fillId="0" borderId="24" xfId="11" applyNumberFormat="1" applyFont="1" applyBorder="1" applyAlignment="1">
      <alignment horizontal="center" vertical="center"/>
    </xf>
    <xf numFmtId="37" fontId="6" fillId="0" borderId="0" xfId="11" applyNumberFormat="1" applyFont="1" applyAlignment="1">
      <alignment horizontal="centerContinuous" vertical="center"/>
    </xf>
    <xf numFmtId="0" fontId="0" fillId="0" borderId="0" xfId="0" applyAlignment="1">
      <alignment wrapText="1"/>
    </xf>
    <xf numFmtId="37" fontId="35" fillId="0" borderId="25" xfId="11" applyNumberFormat="1" applyFont="1" applyBorder="1" applyAlignment="1">
      <alignment horizontal="center" vertical="center" wrapText="1"/>
    </xf>
    <xf numFmtId="43" fontId="6" fillId="0" borderId="0" xfId="11" applyNumberFormat="1" applyFont="1" applyAlignment="1">
      <alignment horizontal="centerContinuous" vertical="center"/>
    </xf>
    <xf numFmtId="43" fontId="7" fillId="0" borderId="0" xfId="11" applyNumberFormat="1" applyFont="1" applyAlignment="1">
      <alignment horizontal="left" vertical="center"/>
    </xf>
    <xf numFmtId="43" fontId="0" fillId="0" borderId="0" xfId="0" applyNumberFormat="1"/>
    <xf numFmtId="37" fontId="6" fillId="0" borderId="0" xfId="11" quotePrefix="1" applyNumberFormat="1" applyFont="1" applyAlignment="1">
      <alignment horizontal="center" vertical="center"/>
    </xf>
    <xf numFmtId="10" fontId="7" fillId="6" borderId="11" xfId="13" applyNumberFormat="1" applyFont="1" applyFill="1" applyBorder="1"/>
    <xf numFmtId="10" fontId="7" fillId="0" borderId="26" xfId="13" applyNumberFormat="1" applyFont="1" applyBorder="1"/>
    <xf numFmtId="14" fontId="6" fillId="2" borderId="27" xfId="10" applyNumberFormat="1" applyFont="1" applyFill="1" applyBorder="1" applyProtection="1">
      <protection locked="0"/>
    </xf>
    <xf numFmtId="38" fontId="6" fillId="0" borderId="9" xfId="6" applyNumberFormat="1" applyFont="1" applyBorder="1" applyAlignment="1">
      <alignment horizontal="left"/>
    </xf>
    <xf numFmtId="0" fontId="29" fillId="0" borderId="0" xfId="0" applyFont="1"/>
    <xf numFmtId="0" fontId="1" fillId="0" borderId="0" xfId="12"/>
    <xf numFmtId="0" fontId="22" fillId="0" borderId="0" xfId="0" applyFont="1" applyAlignment="1">
      <alignment vertical="top"/>
    </xf>
    <xf numFmtId="0" fontId="22" fillId="0" borderId="0" xfId="0" applyFont="1" applyAlignment="1">
      <alignment horizontal="right" vertical="top"/>
    </xf>
    <xf numFmtId="0" fontId="6" fillId="0" borderId="9" xfId="0" applyFont="1" applyBorder="1"/>
    <xf numFmtId="0" fontId="6" fillId="0" borderId="18" xfId="11" applyFont="1" applyBorder="1" applyAlignment="1">
      <alignment horizontal="left" vertical="center"/>
    </xf>
    <xf numFmtId="9" fontId="7" fillId="0" borderId="0" xfId="0" applyNumberFormat="1" applyFont="1" applyAlignment="1">
      <alignment horizontal="center" vertical="center"/>
    </xf>
    <xf numFmtId="43" fontId="7" fillId="0" borderId="0" xfId="0" applyNumberFormat="1" applyFont="1" applyAlignment="1">
      <alignment horizontal="center" vertical="center"/>
    </xf>
    <xf numFmtId="0" fontId="7" fillId="0" borderId="0" xfId="11" applyFont="1" applyAlignment="1">
      <alignment vertical="center"/>
    </xf>
    <xf numFmtId="0" fontId="7" fillId="0" borderId="5" xfId="11" applyFont="1" applyBorder="1" applyAlignment="1">
      <alignment vertical="center"/>
    </xf>
    <xf numFmtId="0" fontId="1" fillId="0" borderId="0" xfId="12" applyAlignment="1">
      <alignment horizontal="centerContinuous"/>
    </xf>
    <xf numFmtId="0" fontId="14" fillId="0" borderId="0" xfId="12" applyFont="1" applyAlignment="1">
      <alignment horizontal="centerContinuous"/>
    </xf>
    <xf numFmtId="0" fontId="15" fillId="0" borderId="0" xfId="12" applyFont="1" applyAlignment="1">
      <alignment horizontal="centerContinuous"/>
    </xf>
    <xf numFmtId="0" fontId="14" fillId="0" borderId="0" xfId="12" applyFont="1" applyAlignment="1">
      <alignment horizontal="left"/>
    </xf>
    <xf numFmtId="0" fontId="14" fillId="0" borderId="0" xfId="12" applyFont="1" applyAlignment="1">
      <alignment horizontal="center"/>
    </xf>
    <xf numFmtId="0" fontId="37" fillId="0" borderId="0" xfId="0" applyFont="1"/>
    <xf numFmtId="0" fontId="3" fillId="0" borderId="0" xfId="0" applyFont="1" applyAlignment="1">
      <alignment horizontal="right"/>
    </xf>
    <xf numFmtId="49" fontId="2" fillId="0" borderId="0" xfId="0" applyNumberFormat="1" applyFont="1" applyAlignment="1">
      <alignment horizontal="right"/>
    </xf>
    <xf numFmtId="0" fontId="1" fillId="0" borderId="18" xfId="12" applyBorder="1"/>
    <xf numFmtId="0" fontId="3" fillId="0" borderId="18" xfId="12" applyFont="1" applyBorder="1"/>
    <xf numFmtId="0" fontId="3" fillId="0" borderId="17" xfId="12" applyFont="1" applyBorder="1"/>
    <xf numFmtId="0" fontId="3" fillId="0" borderId="17" xfId="0" applyFont="1" applyBorder="1"/>
    <xf numFmtId="0" fontId="1" fillId="0" borderId="0" xfId="12" applyAlignment="1">
      <alignment horizontal="centerContinuous" vertical="top"/>
    </xf>
    <xf numFmtId="0" fontId="3" fillId="0" borderId="0" xfId="0" applyFont="1" applyAlignment="1">
      <alignment horizontal="centerContinuous" vertical="top"/>
    </xf>
    <xf numFmtId="0" fontId="3" fillId="0" borderId="0" xfId="12" applyFont="1" applyAlignment="1">
      <alignment wrapText="1"/>
    </xf>
    <xf numFmtId="0" fontId="3" fillId="0" borderId="28" xfId="12" applyFont="1" applyBorder="1"/>
    <xf numFmtId="0" fontId="3" fillId="0" borderId="29" xfId="12" applyFont="1" applyBorder="1"/>
    <xf numFmtId="0" fontId="3" fillId="0" borderId="29" xfId="0" applyFont="1" applyBorder="1"/>
    <xf numFmtId="0" fontId="1" fillId="0" borderId="30" xfId="12" applyBorder="1" applyAlignment="1">
      <alignment horizontal="centerContinuous" wrapText="1"/>
    </xf>
    <xf numFmtId="0" fontId="1" fillId="0" borderId="30" xfId="12" applyBorder="1"/>
    <xf numFmtId="0" fontId="1" fillId="0" borderId="0" xfId="12" applyAlignment="1">
      <alignment horizontal="center"/>
    </xf>
    <xf numFmtId="0" fontId="16" fillId="0" borderId="0" xfId="12" applyFont="1"/>
    <xf numFmtId="0" fontId="3" fillId="0" borderId="0" xfId="0" applyFont="1"/>
    <xf numFmtId="0" fontId="3" fillId="0" borderId="30" xfId="12" applyFont="1" applyBorder="1"/>
    <xf numFmtId="0" fontId="3" fillId="0" borderId="30" xfId="0" applyFont="1" applyBorder="1"/>
    <xf numFmtId="0" fontId="12" fillId="0" borderId="0" xfId="0" applyFont="1"/>
    <xf numFmtId="15" fontId="0" fillId="0" borderId="0" xfId="0" applyNumberFormat="1"/>
    <xf numFmtId="0" fontId="1" fillId="0" borderId="0" xfId="0" applyFont="1"/>
    <xf numFmtId="0" fontId="20" fillId="0" borderId="0" xfId="0" applyFont="1"/>
    <xf numFmtId="15" fontId="1" fillId="0" borderId="0" xfId="0" applyNumberFormat="1" applyFont="1"/>
    <xf numFmtId="0" fontId="3" fillId="0" borderId="0" xfId="12" applyFont="1" applyAlignment="1">
      <alignment horizontal="left"/>
    </xf>
    <xf numFmtId="0" fontId="0" fillId="0" borderId="0" xfId="0" applyAlignment="1">
      <alignment horizontal="left"/>
    </xf>
    <xf numFmtId="0" fontId="7" fillId="0" borderId="31" xfId="0" applyFont="1" applyBorder="1"/>
    <xf numFmtId="0" fontId="7" fillId="0" borderId="32" xfId="0" applyFont="1" applyBorder="1" applyAlignment="1">
      <alignment horizontal="left"/>
    </xf>
    <xf numFmtId="0" fontId="7" fillId="0" borderId="31" xfId="0" quotePrefix="1" applyFont="1" applyBorder="1"/>
    <xf numFmtId="9" fontId="7" fillId="0" borderId="32" xfId="13" applyFont="1" applyBorder="1"/>
    <xf numFmtId="9" fontId="7" fillId="0" borderId="31" xfId="13" applyFont="1" applyBorder="1"/>
    <xf numFmtId="0" fontId="0" fillId="0" borderId="31" xfId="0" applyBorder="1"/>
    <xf numFmtId="0" fontId="7" fillId="0" borderId="32" xfId="0" applyFont="1" applyBorder="1"/>
    <xf numFmtId="3" fontId="7" fillId="0" borderId="32" xfId="1" applyNumberFormat="1" applyFont="1" applyBorder="1"/>
    <xf numFmtId="3" fontId="7" fillId="0" borderId="31" xfId="1" applyNumberFormat="1" applyFont="1" applyBorder="1"/>
    <xf numFmtId="3" fontId="7" fillId="0" borderId="31" xfId="1" applyNumberFormat="1" applyFont="1" applyBorder="1" applyAlignment="1">
      <alignment horizontal="right"/>
    </xf>
    <xf numFmtId="0" fontId="7" fillId="0" borderId="32" xfId="0" quotePrefix="1" applyFont="1" applyBorder="1" applyAlignment="1">
      <alignment horizontal="left"/>
    </xf>
    <xf numFmtId="0" fontId="0" fillId="0" borderId="27" xfId="0" applyBorder="1"/>
    <xf numFmtId="0" fontId="7" fillId="0" borderId="30" xfId="0" applyFont="1" applyBorder="1"/>
    <xf numFmtId="9" fontId="7" fillId="0" borderId="32" xfId="13" applyFont="1" applyBorder="1" applyAlignment="1">
      <alignment horizontal="center"/>
    </xf>
    <xf numFmtId="0" fontId="7" fillId="0" borderId="27" xfId="0" applyFont="1" applyBorder="1"/>
    <xf numFmtId="14" fontId="4" fillId="5" borderId="31" xfId="0" applyNumberFormat="1" applyFont="1" applyFill="1" applyBorder="1" applyProtection="1">
      <protection locked="0"/>
    </xf>
    <xf numFmtId="10" fontId="6" fillId="0" borderId="0" xfId="0" applyNumberFormat="1" applyFont="1" applyAlignment="1">
      <alignment horizontal="centerContinuous"/>
    </xf>
    <xf numFmtId="10" fontId="6" fillId="0" borderId="0" xfId="0" applyNumberFormat="1" applyFont="1"/>
    <xf numFmtId="10" fontId="7" fillId="0" borderId="0" xfId="0" applyNumberFormat="1" applyFont="1"/>
    <xf numFmtId="37" fontId="6" fillId="0" borderId="0" xfId="0" applyNumberFormat="1" applyFont="1" applyAlignment="1">
      <alignment horizontal="center"/>
    </xf>
    <xf numFmtId="10" fontId="6" fillId="0" borderId="0" xfId="0" applyNumberFormat="1" applyFont="1" applyAlignment="1">
      <alignment horizontal="center"/>
    </xf>
    <xf numFmtId="10" fontId="6" fillId="0" borderId="0" xfId="0" applyNumberFormat="1" applyFont="1" applyAlignment="1">
      <alignment horizontal="right"/>
    </xf>
    <xf numFmtId="10" fontId="7" fillId="0" borderId="2" xfId="0" applyNumberFormat="1" applyFont="1" applyBorder="1" applyAlignment="1">
      <alignment horizontal="center"/>
    </xf>
    <xf numFmtId="0" fontId="7" fillId="0" borderId="33" xfId="0" applyFont="1" applyBorder="1"/>
    <xf numFmtId="10" fontId="7" fillId="0" borderId="3" xfId="0" applyNumberFormat="1" applyFont="1" applyBorder="1" applyAlignment="1">
      <alignment horizontal="center"/>
    </xf>
    <xf numFmtId="9" fontId="7" fillId="0" borderId="27" xfId="13" applyFont="1" applyBorder="1"/>
    <xf numFmtId="9" fontId="7" fillId="0" borderId="31" xfId="13" applyFont="1" applyBorder="1" applyAlignment="1">
      <alignment horizontal="left"/>
    </xf>
    <xf numFmtId="0" fontId="7" fillId="0" borderId="0" xfId="0" applyFont="1" applyAlignment="1">
      <alignment horizontal="center"/>
    </xf>
    <xf numFmtId="6" fontId="7" fillId="0" borderId="0" xfId="6" applyNumberFormat="1" applyFont="1"/>
    <xf numFmtId="37" fontId="12" fillId="0" borderId="0" xfId="0" applyNumberFormat="1" applyFont="1" applyAlignment="1">
      <alignment horizontal="left"/>
    </xf>
    <xf numFmtId="0" fontId="12" fillId="0" borderId="0" xfId="0" applyFont="1" applyAlignment="1">
      <alignment horizontal="left"/>
    </xf>
    <xf numFmtId="0" fontId="0" fillId="0" borderId="34" xfId="0" applyBorder="1"/>
    <xf numFmtId="0" fontId="0" fillId="0" borderId="35" xfId="0" applyBorder="1"/>
    <xf numFmtId="0" fontId="1" fillId="0" borderId="34" xfId="0" applyFont="1" applyBorder="1"/>
    <xf numFmtId="41" fontId="0" fillId="0" borderId="0" xfId="0" applyNumberFormat="1"/>
    <xf numFmtId="0" fontId="0" fillId="0" borderId="4" xfId="0" applyBorder="1"/>
    <xf numFmtId="43" fontId="6" fillId="0" borderId="0" xfId="10" applyNumberFormat="1" applyFont="1" applyAlignment="1">
      <alignment horizontal="left"/>
    </xf>
    <xf numFmtId="49" fontId="6" fillId="0" borderId="0" xfId="10" applyNumberFormat="1" applyFont="1"/>
    <xf numFmtId="43" fontId="6" fillId="0" borderId="0" xfId="10" applyNumberFormat="1" applyFont="1"/>
    <xf numFmtId="43" fontId="6" fillId="0" borderId="0" xfId="10" applyNumberFormat="1" applyFont="1" applyAlignment="1">
      <alignment horizontal="center"/>
    </xf>
    <xf numFmtId="0" fontId="6" fillId="0" borderId="0" xfId="10" applyFont="1"/>
    <xf numFmtId="49" fontId="6" fillId="0" borderId="0" xfId="10" applyNumberFormat="1" applyFont="1" applyAlignment="1">
      <alignment horizontal="center"/>
    </xf>
    <xf numFmtId="0" fontId="7" fillId="0" borderId="0" xfId="10" applyFont="1"/>
    <xf numFmtId="43" fontId="6" fillId="0" borderId="0" xfId="10" applyNumberFormat="1" applyFont="1" applyAlignment="1">
      <alignment horizontal="right"/>
    </xf>
    <xf numFmtId="14" fontId="6" fillId="0" borderId="0" xfId="10" applyNumberFormat="1" applyFont="1"/>
    <xf numFmtId="43" fontId="7" fillId="0" borderId="17" xfId="10" applyNumberFormat="1" applyFont="1" applyBorder="1" applyAlignment="1">
      <alignment horizontal="center"/>
    </xf>
    <xf numFmtId="0" fontId="7" fillId="0" borderId="5" xfId="10" applyFont="1" applyBorder="1" applyAlignment="1">
      <alignment horizontal="center"/>
    </xf>
    <xf numFmtId="43" fontId="7" fillId="0" borderId="0" xfId="10" applyNumberFormat="1" applyFont="1" applyAlignment="1">
      <alignment horizontal="center"/>
    </xf>
    <xf numFmtId="43" fontId="7" fillId="0" borderId="5" xfId="10" applyNumberFormat="1" applyFont="1" applyBorder="1" applyAlignment="1">
      <alignment horizontal="center"/>
    </xf>
    <xf numFmtId="0" fontId="6" fillId="0" borderId="36" xfId="10" applyFont="1" applyBorder="1"/>
    <xf numFmtId="41" fontId="28" fillId="0" borderId="18" xfId="10" applyNumberFormat="1" applyFont="1" applyBorder="1"/>
    <xf numFmtId="41" fontId="28" fillId="0" borderId="37" xfId="2" applyNumberFormat="1" applyFont="1" applyBorder="1"/>
    <xf numFmtId="43" fontId="7" fillId="0" borderId="9" xfId="2" applyNumberFormat="1" applyFont="1" applyBorder="1"/>
    <xf numFmtId="41" fontId="1" fillId="5" borderId="6" xfId="0" applyNumberFormat="1" applyFont="1" applyFill="1" applyBorder="1" applyProtection="1">
      <protection locked="0"/>
    </xf>
    <xf numFmtId="10" fontId="28" fillId="0" borderId="0" xfId="13" applyNumberFormat="1" applyFont="1"/>
    <xf numFmtId="10" fontId="7" fillId="0" borderId="9" xfId="13" applyNumberFormat="1" applyFont="1" applyBorder="1"/>
    <xf numFmtId="10" fontId="28" fillId="0" borderId="9" xfId="13" applyNumberFormat="1" applyFont="1" applyBorder="1"/>
    <xf numFmtId="10" fontId="28" fillId="0" borderId="4" xfId="13" applyNumberFormat="1" applyFont="1" applyBorder="1"/>
    <xf numFmtId="10" fontId="7" fillId="0" borderId="0" xfId="13" applyNumberFormat="1" applyFont="1" applyAlignment="1">
      <alignment horizontal="center"/>
    </xf>
    <xf numFmtId="0" fontId="1" fillId="5" borderId="4" xfId="0" applyFont="1" applyFill="1" applyBorder="1" applyAlignment="1" applyProtection="1">
      <alignment horizontal="center"/>
      <protection locked="0"/>
    </xf>
    <xf numFmtId="0" fontId="1" fillId="5" borderId="35"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0" fontId="7" fillId="6" borderId="38" xfId="13" applyNumberFormat="1" applyFont="1" applyFill="1" applyBorder="1"/>
    <xf numFmtId="0" fontId="1" fillId="0" borderId="0" xfId="0" applyFont="1" applyAlignment="1">
      <alignment horizontal="center"/>
    </xf>
    <xf numFmtId="0" fontId="6" fillId="0" borderId="9" xfId="0" applyFont="1" applyBorder="1" applyAlignment="1">
      <alignment horizontal="left"/>
    </xf>
    <xf numFmtId="38" fontId="6" fillId="0" borderId="18" xfId="6" applyNumberFormat="1" applyFont="1" applyBorder="1" applyAlignment="1">
      <alignment horizontal="left"/>
    </xf>
    <xf numFmtId="49" fontId="7" fillId="0" borderId="3" xfId="0" applyNumberFormat="1" applyFont="1" applyBorder="1" applyAlignment="1">
      <alignment horizontal="center"/>
    </xf>
    <xf numFmtId="37" fontId="7" fillId="0" borderId="3" xfId="0" applyNumberFormat="1" applyFont="1" applyBorder="1" applyAlignment="1">
      <alignment horizontal="center"/>
    </xf>
    <xf numFmtId="0" fontId="6" fillId="0" borderId="0" xfId="11" applyFont="1" applyAlignment="1">
      <alignment horizontal="left" vertical="center"/>
    </xf>
    <xf numFmtId="41" fontId="0" fillId="5" borderId="39" xfId="0" applyNumberFormat="1" applyFill="1" applyBorder="1" applyProtection="1">
      <protection locked="0"/>
    </xf>
    <xf numFmtId="41" fontId="1" fillId="5" borderId="39" xfId="0" applyNumberFormat="1" applyFont="1" applyFill="1" applyBorder="1" applyProtection="1">
      <protection locked="0"/>
    </xf>
    <xf numFmtId="41" fontId="0" fillId="5" borderId="40" xfId="0" applyNumberFormat="1" applyFill="1" applyBorder="1" applyProtection="1">
      <protection locked="0"/>
    </xf>
    <xf numFmtId="49" fontId="1" fillId="5" borderId="41" xfId="0" applyNumberFormat="1" applyFont="1" applyFill="1" applyBorder="1" applyAlignment="1" applyProtection="1">
      <alignment horizontal="center" wrapText="1"/>
      <protection locked="0"/>
    </xf>
    <xf numFmtId="0" fontId="6" fillId="0" borderId="2" xfId="0" applyFont="1" applyBorder="1" applyAlignment="1">
      <alignment horizontal="center"/>
    </xf>
    <xf numFmtId="15" fontId="12" fillId="0" borderId="0" xfId="0" applyNumberFormat="1" applyFont="1"/>
    <xf numFmtId="0" fontId="34" fillId="0" borderId="0" xfId="0" applyFont="1" applyAlignment="1">
      <alignment horizontal="left"/>
    </xf>
    <xf numFmtId="0" fontId="3" fillId="0" borderId="42" xfId="12" applyFont="1" applyBorder="1"/>
    <xf numFmtId="43" fontId="6" fillId="0" borderId="9" xfId="10" applyNumberFormat="1" applyFont="1" applyBorder="1" applyAlignment="1">
      <alignment horizontal="center"/>
    </xf>
    <xf numFmtId="0" fontId="7" fillId="0" borderId="31" xfId="1" applyNumberFormat="1" applyFont="1" applyBorder="1" applyAlignment="1">
      <alignment horizontal="center"/>
    </xf>
    <xf numFmtId="43" fontId="7" fillId="0" borderId="43" xfId="10" applyNumberFormat="1" applyFont="1" applyBorder="1" applyAlignment="1">
      <alignment horizontal="center"/>
    </xf>
    <xf numFmtId="0" fontId="49" fillId="0" borderId="0" xfId="8" applyProtection="1">
      <protection locked="0"/>
    </xf>
    <xf numFmtId="0" fontId="1" fillId="0" borderId="17" xfId="12" applyBorder="1"/>
    <xf numFmtId="0" fontId="1" fillId="0" borderId="0" xfId="12" applyAlignment="1">
      <alignment horizontal="right"/>
    </xf>
    <xf numFmtId="0" fontId="1" fillId="5" borderId="27" xfId="12" applyFill="1" applyBorder="1" applyAlignment="1" applyProtection="1">
      <alignment horizontal="center"/>
      <protection locked="0"/>
    </xf>
    <xf numFmtId="0" fontId="9" fillId="0" borderId="0" xfId="0" applyFont="1"/>
    <xf numFmtId="10" fontId="7" fillId="0" borderId="0" xfId="0" applyNumberFormat="1" applyFont="1" applyAlignment="1">
      <alignment horizontal="center"/>
    </xf>
    <xf numFmtId="10" fontId="7" fillId="0" borderId="17" xfId="13" applyNumberFormat="1" applyFont="1" applyBorder="1"/>
    <xf numFmtId="0" fontId="6" fillId="0" borderId="0" xfId="0" applyFont="1" applyAlignment="1">
      <alignment horizontal="left" vertical="top" wrapText="1"/>
    </xf>
    <xf numFmtId="0" fontId="22" fillId="0" borderId="0" xfId="0" applyFont="1" applyAlignment="1">
      <alignment vertical="center"/>
    </xf>
    <xf numFmtId="0" fontId="21" fillId="5" borderId="0" xfId="0" applyFont="1" applyFill="1" applyAlignment="1">
      <alignment vertical="center"/>
    </xf>
    <xf numFmtId="0" fontId="22" fillId="5" borderId="0" xfId="0" applyFont="1" applyFill="1" applyAlignment="1">
      <alignment vertical="center"/>
    </xf>
    <xf numFmtId="37" fontId="35" fillId="0" borderId="44" xfId="11" applyNumberFormat="1" applyFont="1" applyBorder="1" applyAlignment="1">
      <alignment horizontal="center" wrapText="1"/>
    </xf>
    <xf numFmtId="37" fontId="6" fillId="0" borderId="24" xfId="11" applyNumberFormat="1" applyFont="1" applyBorder="1" applyAlignment="1">
      <alignment horizontal="center"/>
    </xf>
    <xf numFmtId="37" fontId="35" fillId="0" borderId="25" xfId="11" applyNumberFormat="1" applyFont="1" applyBorder="1" applyAlignment="1">
      <alignment horizontal="center" wrapText="1"/>
    </xf>
    <xf numFmtId="37" fontId="6" fillId="0" borderId="45" xfId="11" applyNumberFormat="1" applyFont="1" applyBorder="1" applyAlignment="1">
      <alignment horizontal="center"/>
    </xf>
    <xf numFmtId="9" fontId="7" fillId="0" borderId="0" xfId="0" applyNumberFormat="1" applyFont="1" applyAlignment="1">
      <alignment horizontal="center"/>
    </xf>
    <xf numFmtId="0" fontId="7" fillId="0" borderId="9" xfId="0" applyFont="1" applyBorder="1"/>
    <xf numFmtId="164" fontId="7" fillId="0" borderId="19" xfId="11" applyNumberFormat="1" applyFont="1" applyBorder="1" applyAlignment="1">
      <alignment horizontal="left" vertical="center"/>
    </xf>
    <xf numFmtId="0" fontId="0" fillId="0" borderId="5" xfId="0" applyBorder="1"/>
    <xf numFmtId="0" fontId="7" fillId="0" borderId="10" xfId="0" applyFont="1" applyBorder="1"/>
    <xf numFmtId="43" fontId="7" fillId="0" borderId="46" xfId="11" applyNumberFormat="1" applyFont="1" applyBorder="1" applyAlignment="1">
      <alignment horizontal="left" vertical="center"/>
    </xf>
    <xf numFmtId="0" fontId="7" fillId="0" borderId="8" xfId="0" applyFont="1" applyBorder="1"/>
    <xf numFmtId="164" fontId="7" fillId="0" borderId="27" xfId="11" applyNumberFormat="1" applyFont="1" applyBorder="1" applyAlignment="1">
      <alignment horizontal="left" vertical="center"/>
    </xf>
    <xf numFmtId="164" fontId="7" fillId="0" borderId="27" xfId="11" applyNumberFormat="1" applyFont="1" applyBorder="1" applyAlignment="1">
      <alignment vertical="center"/>
    </xf>
    <xf numFmtId="164" fontId="7" fillId="0" borderId="31" xfId="11" applyNumberFormat="1" applyFont="1" applyBorder="1" applyAlignment="1">
      <alignment vertical="center"/>
    </xf>
    <xf numFmtId="164" fontId="7" fillId="0" borderId="47" xfId="11" applyNumberFormat="1" applyFont="1" applyBorder="1" applyAlignment="1">
      <alignment horizontal="center" vertical="center"/>
    </xf>
    <xf numFmtId="0" fontId="7" fillId="0" borderId="32" xfId="11" applyFont="1" applyBorder="1" applyAlignment="1">
      <alignment vertical="center"/>
    </xf>
    <xf numFmtId="164" fontId="7" fillId="0" borderId="31" xfId="11" applyNumberFormat="1" applyFont="1" applyBorder="1" applyAlignment="1">
      <alignment horizontal="left" vertical="center"/>
    </xf>
    <xf numFmtId="43" fontId="7" fillId="5" borderId="31" xfId="11" applyNumberFormat="1" applyFont="1" applyFill="1" applyBorder="1" applyAlignment="1" applyProtection="1">
      <alignment horizontal="left" vertical="center"/>
      <protection locked="0"/>
    </xf>
    <xf numFmtId="43" fontId="7" fillId="5" borderId="48" xfId="11" applyNumberFormat="1" applyFont="1" applyFill="1" applyBorder="1" applyAlignment="1" applyProtection="1">
      <alignment horizontal="left" vertical="center"/>
      <protection locked="0"/>
    </xf>
    <xf numFmtId="10" fontId="7" fillId="0" borderId="49" xfId="11" applyNumberFormat="1" applyFont="1" applyBorder="1" applyAlignment="1">
      <alignment vertical="center"/>
    </xf>
    <xf numFmtId="10" fontId="7" fillId="0" borderId="50" xfId="11" applyNumberFormat="1" applyFont="1" applyBorder="1" applyAlignment="1">
      <alignment vertical="center"/>
    </xf>
    <xf numFmtId="10" fontId="7" fillId="0" borderId="51" xfId="11" applyNumberFormat="1" applyFont="1" applyBorder="1" applyAlignment="1">
      <alignment vertical="center"/>
    </xf>
    <xf numFmtId="43" fontId="7" fillId="0" borderId="31" xfId="11" applyNumberFormat="1" applyFont="1" applyBorder="1" applyAlignment="1">
      <alignment horizontal="left" vertical="center"/>
    </xf>
    <xf numFmtId="43" fontId="7" fillId="0" borderId="50" xfId="11" applyNumberFormat="1" applyFont="1" applyBorder="1" applyAlignment="1">
      <alignment horizontal="left" vertical="center" wrapText="1"/>
    </xf>
    <xf numFmtId="43" fontId="7" fillId="0" borderId="48" xfId="11" applyNumberFormat="1" applyFont="1" applyBorder="1" applyAlignment="1">
      <alignment horizontal="left" vertical="center"/>
    </xf>
    <xf numFmtId="10" fontId="7" fillId="0" borderId="52" xfId="13" applyNumberFormat="1" applyFont="1" applyBorder="1" applyAlignment="1">
      <alignment vertical="center"/>
    </xf>
    <xf numFmtId="0" fontId="0" fillId="0" borderId="9" xfId="0" applyBorder="1"/>
    <xf numFmtId="0" fontId="6" fillId="0" borderId="37" xfId="0" applyFont="1" applyBorder="1" applyAlignment="1">
      <alignment horizontal="left"/>
    </xf>
    <xf numFmtId="49" fontId="7" fillId="0" borderId="5" xfId="11" applyNumberFormat="1" applyFont="1" applyBorder="1" applyAlignment="1">
      <alignment horizontal="center" vertical="center"/>
    </xf>
    <xf numFmtId="38" fontId="6" fillId="0" borderId="19" xfId="6" applyNumberFormat="1" applyFont="1" applyBorder="1" applyAlignment="1">
      <alignment horizontal="left"/>
    </xf>
    <xf numFmtId="0" fontId="6" fillId="0" borderId="19" xfId="11" applyFont="1" applyBorder="1" applyAlignment="1">
      <alignment horizontal="centerContinuous" vertical="center"/>
    </xf>
    <xf numFmtId="37" fontId="6" fillId="0" borderId="19" xfId="11" applyNumberFormat="1" applyFont="1" applyBorder="1" applyAlignment="1">
      <alignment horizontal="center" vertical="center"/>
    </xf>
    <xf numFmtId="9" fontId="7" fillId="0" borderId="4" xfId="0" applyNumberFormat="1" applyFont="1" applyBorder="1" applyAlignment="1">
      <alignment horizontal="center" vertical="center"/>
    </xf>
    <xf numFmtId="43" fontId="7" fillId="0" borderId="4" xfId="0" applyNumberFormat="1" applyFont="1" applyBorder="1" applyAlignment="1">
      <alignment horizontal="center" vertical="center"/>
    </xf>
    <xf numFmtId="9" fontId="7" fillId="0" borderId="4" xfId="0" applyNumberFormat="1" applyFont="1" applyBorder="1" applyAlignment="1">
      <alignment horizontal="center"/>
    </xf>
    <xf numFmtId="0" fontId="7" fillId="0" borderId="4" xfId="0" applyFont="1" applyBorder="1"/>
    <xf numFmtId="0" fontId="7" fillId="0" borderId="53" xfId="0" applyFont="1" applyBorder="1"/>
    <xf numFmtId="5" fontId="7" fillId="0" borderId="0" xfId="6" applyFont="1"/>
    <xf numFmtId="10" fontId="7" fillId="0" borderId="54" xfId="6" applyNumberFormat="1" applyFont="1" applyBorder="1"/>
    <xf numFmtId="38" fontId="7" fillId="3" borderId="54" xfId="6" applyNumberFormat="1" applyFont="1" applyFill="1" applyBorder="1"/>
    <xf numFmtId="10" fontId="7" fillId="0" borderId="54" xfId="13" applyNumberFormat="1" applyFont="1" applyBorder="1"/>
    <xf numFmtId="38" fontId="7" fillId="3" borderId="54" xfId="5" applyNumberFormat="1" applyFont="1" applyFill="1" applyBorder="1"/>
    <xf numFmtId="10" fontId="7" fillId="3" borderId="54" xfId="13" applyNumberFormat="1" applyFont="1" applyFill="1" applyBorder="1"/>
    <xf numFmtId="38" fontId="7" fillId="3" borderId="54" xfId="13" applyNumberFormat="1" applyFont="1" applyFill="1" applyBorder="1"/>
    <xf numFmtId="10" fontId="7" fillId="0" borderId="55" xfId="13" applyNumberFormat="1" applyFont="1" applyBorder="1"/>
    <xf numFmtId="38" fontId="7" fillId="0" borderId="56" xfId="6" applyNumberFormat="1" applyFont="1" applyBorder="1"/>
    <xf numFmtId="0" fontId="7" fillId="0" borderId="54" xfId="0" applyFont="1" applyBorder="1"/>
    <xf numFmtId="0" fontId="7" fillId="0" borderId="54" xfId="0" applyFont="1" applyBorder="1" applyAlignment="1">
      <alignment horizontal="center"/>
    </xf>
    <xf numFmtId="0" fontId="7" fillId="0" borderId="49" xfId="0" applyFont="1" applyBorder="1"/>
    <xf numFmtId="37" fontId="7" fillId="0" borderId="57" xfId="0" applyNumberFormat="1" applyFont="1" applyBorder="1" applyAlignment="1">
      <alignment horizontal="center"/>
    </xf>
    <xf numFmtId="0" fontId="7" fillId="0" borderId="57" xfId="0" applyFont="1" applyBorder="1" applyAlignment="1">
      <alignment horizontal="center"/>
    </xf>
    <xf numFmtId="0" fontId="7" fillId="0" borderId="58" xfId="0" applyFont="1" applyBorder="1" applyAlignment="1">
      <alignment horizontal="center"/>
    </xf>
    <xf numFmtId="9" fontId="7" fillId="0" borderId="5" xfId="13" applyFont="1" applyBorder="1"/>
    <xf numFmtId="3" fontId="7" fillId="0" borderId="5" xfId="1" applyNumberFormat="1" applyFont="1" applyBorder="1"/>
    <xf numFmtId="10" fontId="7" fillId="6" borderId="59" xfId="13" applyNumberFormat="1" applyFont="1" applyFill="1" applyBorder="1"/>
    <xf numFmtId="0" fontId="8" fillId="0" borderId="5" xfId="0" applyFont="1" applyBorder="1"/>
    <xf numFmtId="0" fontId="8" fillId="0" borderId="10" xfId="0" applyFont="1" applyBorder="1"/>
    <xf numFmtId="0" fontId="29" fillId="0" borderId="54" xfId="0" applyFont="1" applyBorder="1" applyAlignment="1">
      <alignment horizontal="center"/>
    </xf>
    <xf numFmtId="0" fontId="29" fillId="0" borderId="54" xfId="0" quotePrefix="1" applyFont="1" applyBorder="1" applyAlignment="1">
      <alignment horizontal="center"/>
    </xf>
    <xf numFmtId="41" fontId="7" fillId="0" borderId="32" xfId="13" applyNumberFormat="1" applyFont="1" applyBorder="1"/>
    <xf numFmtId="41" fontId="7" fillId="0" borderId="32" xfId="0" applyNumberFormat="1" applyFont="1" applyBorder="1"/>
    <xf numFmtId="0" fontId="7" fillId="0" borderId="60" xfId="0" applyFont="1" applyBorder="1"/>
    <xf numFmtId="0" fontId="7" fillId="0" borderId="61" xfId="0" applyFont="1" applyBorder="1"/>
    <xf numFmtId="0" fontId="7" fillId="0" borderId="62" xfId="0" applyFont="1" applyBorder="1" applyAlignment="1">
      <alignment horizontal="center"/>
    </xf>
    <xf numFmtId="0" fontId="7" fillId="0" borderId="0" xfId="6" applyNumberFormat="1" applyFont="1"/>
    <xf numFmtId="10" fontId="7" fillId="0" borderId="63" xfId="6" applyNumberFormat="1" applyFont="1" applyBorder="1"/>
    <xf numFmtId="10" fontId="7" fillId="0" borderId="63" xfId="13" applyNumberFormat="1" applyFont="1" applyBorder="1"/>
    <xf numFmtId="0" fontId="7" fillId="0" borderId="64" xfId="0" applyFont="1" applyBorder="1"/>
    <xf numFmtId="0" fontId="7" fillId="0" borderId="65" xfId="0" applyFont="1" applyBorder="1" applyAlignment="1">
      <alignment horizontal="center"/>
    </xf>
    <xf numFmtId="10" fontId="7" fillId="0" borderId="65" xfId="0" applyNumberFormat="1" applyFont="1" applyBorder="1" applyAlignment="1">
      <alignment horizontal="center"/>
    </xf>
    <xf numFmtId="10" fontId="7" fillId="0" borderId="66" xfId="0" applyNumberFormat="1" applyFont="1" applyBorder="1" applyAlignment="1">
      <alignment horizontal="center"/>
    </xf>
    <xf numFmtId="10" fontId="7" fillId="0" borderId="67" xfId="0" applyNumberFormat="1" applyFont="1" applyBorder="1" applyAlignment="1">
      <alignment horizontal="center"/>
    </xf>
    <xf numFmtId="0" fontId="7" fillId="0" borderId="68" xfId="0" applyFont="1" applyBorder="1"/>
    <xf numFmtId="10" fontId="7" fillId="0" borderId="69" xfId="0" applyNumberFormat="1" applyFont="1" applyBorder="1" applyAlignment="1">
      <alignment horizontal="center"/>
    </xf>
    <xf numFmtId="0" fontId="6" fillId="0" borderId="5" xfId="0" applyFont="1" applyBorder="1"/>
    <xf numFmtId="10" fontId="7" fillId="0" borderId="52" xfId="6" applyNumberFormat="1" applyFont="1" applyBorder="1"/>
    <xf numFmtId="10" fontId="7" fillId="0" borderId="52" xfId="13" applyNumberFormat="1" applyFont="1" applyBorder="1"/>
    <xf numFmtId="10" fontId="7" fillId="3" borderId="52" xfId="13" applyNumberFormat="1" applyFont="1" applyFill="1" applyBorder="1"/>
    <xf numFmtId="0" fontId="7" fillId="0" borderId="70" xfId="0" applyFont="1" applyBorder="1" applyAlignment="1">
      <alignment horizontal="center"/>
    </xf>
    <xf numFmtId="10" fontId="7" fillId="0" borderId="71" xfId="13" applyNumberFormat="1" applyFont="1" applyBorder="1"/>
    <xf numFmtId="10" fontId="7" fillId="0" borderId="72" xfId="13" applyNumberFormat="1" applyFont="1" applyBorder="1"/>
    <xf numFmtId="10" fontId="7" fillId="0" borderId="19" xfId="13" applyNumberFormat="1" applyFont="1" applyBorder="1"/>
    <xf numFmtId="10" fontId="7" fillId="0" borderId="73" xfId="13" applyNumberFormat="1" applyFont="1" applyBorder="1"/>
    <xf numFmtId="0" fontId="7" fillId="0" borderId="74" xfId="0" applyFont="1" applyBorder="1"/>
    <xf numFmtId="0" fontId="7" fillId="0" borderId="21" xfId="0" applyFont="1" applyBorder="1"/>
    <xf numFmtId="0" fontId="7" fillId="0" borderId="75" xfId="0" applyFont="1" applyBorder="1" applyAlignment="1">
      <alignment horizontal="center"/>
    </xf>
    <xf numFmtId="38" fontId="7" fillId="7" borderId="76" xfId="6" applyNumberFormat="1" applyFont="1" applyFill="1" applyBorder="1"/>
    <xf numFmtId="38" fontId="7" fillId="3" borderId="7" xfId="6" applyNumberFormat="1" applyFont="1" applyFill="1" applyBorder="1"/>
    <xf numFmtId="38" fontId="7" fillId="3" borderId="71" xfId="6" applyNumberFormat="1" applyFont="1" applyFill="1" applyBorder="1"/>
    <xf numFmtId="10" fontId="7" fillId="6" borderId="26" xfId="13" applyNumberFormat="1" applyFont="1" applyFill="1" applyBorder="1"/>
    <xf numFmtId="38" fontId="7" fillId="3" borderId="26" xfId="6" applyNumberFormat="1" applyFont="1" applyFill="1" applyBorder="1"/>
    <xf numFmtId="38" fontId="7" fillId="3" borderId="72" xfId="6" applyNumberFormat="1" applyFont="1" applyFill="1" applyBorder="1"/>
    <xf numFmtId="0" fontId="27" fillId="0" borderId="5" xfId="0" applyFont="1" applyBorder="1"/>
    <xf numFmtId="10" fontId="7" fillId="0" borderId="77" xfId="13" applyNumberFormat="1" applyFont="1" applyBorder="1"/>
    <xf numFmtId="0" fontId="7" fillId="8" borderId="5" xfId="0" applyFont="1" applyFill="1" applyBorder="1"/>
    <xf numFmtId="171" fontId="7" fillId="7" borderId="76" xfId="6" applyNumberFormat="1" applyFont="1" applyFill="1" applyBorder="1"/>
    <xf numFmtId="171" fontId="7" fillId="7" borderId="7" xfId="6" applyNumberFormat="1" applyFont="1" applyFill="1" applyBorder="1"/>
    <xf numFmtId="38" fontId="7" fillId="7" borderId="7" xfId="6" applyNumberFormat="1" applyFont="1" applyFill="1" applyBorder="1"/>
    <xf numFmtId="171" fontId="7" fillId="0" borderId="7" xfId="6" applyNumberFormat="1" applyFont="1" applyBorder="1"/>
    <xf numFmtId="38" fontId="7" fillId="0" borderId="71" xfId="6" applyNumberFormat="1" applyFont="1" applyBorder="1"/>
    <xf numFmtId="0" fontId="9" fillId="0" borderId="5" xfId="0" applyFont="1" applyBorder="1"/>
    <xf numFmtId="9" fontId="7" fillId="0" borderId="30" xfId="13" applyFont="1" applyBorder="1"/>
    <xf numFmtId="10" fontId="7" fillId="0" borderId="78" xfId="0" applyNumberFormat="1" applyFont="1" applyBorder="1"/>
    <xf numFmtId="10" fontId="7" fillId="0" borderId="79" xfId="0" applyNumberFormat="1" applyFont="1" applyBorder="1"/>
    <xf numFmtId="10" fontId="7" fillId="0" borderId="80" xfId="0" applyNumberFormat="1" applyFont="1" applyBorder="1"/>
    <xf numFmtId="0" fontId="7" fillId="0" borderId="81" xfId="0" applyFont="1" applyBorder="1"/>
    <xf numFmtId="166" fontId="7" fillId="0" borderId="31" xfId="0" applyNumberFormat="1" applyFont="1" applyBorder="1"/>
    <xf numFmtId="38" fontId="7" fillId="0" borderId="31" xfId="6" applyNumberFormat="1" applyFont="1" applyBorder="1"/>
    <xf numFmtId="38" fontId="7" fillId="0" borderId="31" xfId="5" applyNumberFormat="1" applyFont="1" applyBorder="1"/>
    <xf numFmtId="10" fontId="7" fillId="0" borderId="31" xfId="13" applyNumberFormat="1" applyFont="1" applyBorder="1"/>
    <xf numFmtId="10" fontId="7" fillId="0" borderId="51" xfId="13" applyNumberFormat="1" applyFont="1" applyBorder="1"/>
    <xf numFmtId="0" fontId="7" fillId="0" borderId="23" xfId="0" applyFont="1" applyBorder="1"/>
    <xf numFmtId="0" fontId="7" fillId="0" borderId="23" xfId="0" applyFont="1" applyBorder="1" applyAlignment="1">
      <alignment horizontal="center"/>
    </xf>
    <xf numFmtId="0" fontId="7" fillId="0" borderId="27" xfId="0" applyFont="1" applyBorder="1" applyAlignment="1">
      <alignment horizontal="center"/>
    </xf>
    <xf numFmtId="0" fontId="7" fillId="0" borderId="32" xfId="0" applyFont="1" applyBorder="1" applyAlignment="1">
      <alignment horizontal="center"/>
    </xf>
    <xf numFmtId="0" fontId="7" fillId="0" borderId="31" xfId="0" applyFont="1" applyBorder="1" applyAlignment="1">
      <alignment horizontal="center"/>
    </xf>
    <xf numFmtId="0" fontId="29" fillId="0" borderId="32" xfId="0" applyFont="1" applyBorder="1"/>
    <xf numFmtId="0" fontId="29" fillId="0" borderId="49" xfId="0" applyFont="1" applyBorder="1"/>
    <xf numFmtId="0" fontId="27" fillId="0" borderId="49" xfId="0" applyFont="1" applyBorder="1"/>
    <xf numFmtId="9" fontId="7" fillId="0" borderId="32" xfId="13" applyFont="1" applyBorder="1" applyAlignment="1">
      <alignment horizontal="left"/>
    </xf>
    <xf numFmtId="10" fontId="7" fillId="6" borderId="52" xfId="6" applyNumberFormat="1" applyFont="1" applyFill="1" applyBorder="1"/>
    <xf numFmtId="0" fontId="27" fillId="0" borderId="31" xfId="0" applyFont="1" applyBorder="1"/>
    <xf numFmtId="0" fontId="29" fillId="0" borderId="30" xfId="0" applyFont="1" applyBorder="1" applyAlignment="1">
      <alignment horizontal="center"/>
    </xf>
    <xf numFmtId="5" fontId="7" fillId="0" borderId="30" xfId="6" applyFont="1" applyBorder="1"/>
    <xf numFmtId="5" fontId="7" fillId="0" borderId="61" xfId="6" applyFont="1" applyBorder="1"/>
    <xf numFmtId="5" fontId="7" fillId="6" borderId="54" xfId="6" applyFont="1" applyFill="1" applyBorder="1"/>
    <xf numFmtId="10" fontId="7" fillId="6" borderId="77" xfId="13" applyNumberFormat="1" applyFont="1" applyFill="1" applyBorder="1"/>
    <xf numFmtId="171" fontId="7" fillId="6" borderId="76" xfId="6" applyNumberFormat="1" applyFont="1" applyFill="1" applyBorder="1"/>
    <xf numFmtId="38" fontId="7" fillId="6" borderId="71" xfId="6" applyNumberFormat="1" applyFont="1" applyFill="1" applyBorder="1"/>
    <xf numFmtId="9" fontId="7" fillId="0" borderId="30" xfId="13" applyFont="1" applyBorder="1" applyAlignment="1">
      <alignment horizontal="left"/>
    </xf>
    <xf numFmtId="0" fontId="7" fillId="0" borderId="17" xfId="0" applyFont="1" applyBorder="1" applyAlignment="1">
      <alignment horizontal="left"/>
    </xf>
    <xf numFmtId="6" fontId="7" fillId="0" borderId="17" xfId="6" applyNumberFormat="1" applyFont="1" applyBorder="1"/>
    <xf numFmtId="9" fontId="40" fillId="0" borderId="0" xfId="13" applyFont="1" applyAlignment="1">
      <alignment horizontal="left"/>
    </xf>
    <xf numFmtId="166" fontId="7" fillId="0" borderId="61" xfId="0" applyNumberFormat="1" applyFont="1" applyBorder="1"/>
    <xf numFmtId="10" fontId="7" fillId="0" borderId="71" xfId="6" applyNumberFormat="1" applyFont="1" applyBorder="1"/>
    <xf numFmtId="5" fontId="7" fillId="0" borderId="21" xfId="6" applyFont="1" applyBorder="1"/>
    <xf numFmtId="0" fontId="0" fillId="0" borderId="0" xfId="0" applyAlignment="1">
      <alignment horizontal="left" wrapText="1"/>
    </xf>
    <xf numFmtId="0" fontId="7" fillId="0" borderId="17" xfId="10" applyFont="1" applyBorder="1"/>
    <xf numFmtId="0" fontId="6" fillId="0" borderId="4" xfId="10" applyFont="1" applyBorder="1"/>
    <xf numFmtId="0" fontId="7" fillId="0" borderId="9" xfId="10" applyFont="1" applyBorder="1"/>
    <xf numFmtId="0" fontId="6" fillId="0" borderId="9" xfId="10" applyFont="1" applyBorder="1"/>
    <xf numFmtId="9" fontId="7" fillId="0" borderId="32" xfId="13" applyFont="1" applyBorder="1" applyAlignment="1">
      <alignment horizontal="right"/>
    </xf>
    <xf numFmtId="0" fontId="7" fillId="0" borderId="27" xfId="10" applyFont="1" applyBorder="1" applyAlignment="1">
      <alignment horizontal="center"/>
    </xf>
    <xf numFmtId="43" fontId="7" fillId="0" borderId="82" xfId="2" applyNumberFormat="1" applyFont="1" applyBorder="1"/>
    <xf numFmtId="43" fontId="7" fillId="0" borderId="27" xfId="10" applyNumberFormat="1" applyFont="1" applyBorder="1"/>
    <xf numFmtId="0" fontId="7" fillId="0" borderId="31" xfId="10" applyFont="1" applyBorder="1" applyAlignment="1">
      <alignment horizontal="center"/>
    </xf>
    <xf numFmtId="41" fontId="7" fillId="2" borderId="83" xfId="2" applyNumberFormat="1" applyFont="1" applyFill="1" applyBorder="1" applyProtection="1">
      <protection locked="0"/>
    </xf>
    <xf numFmtId="41" fontId="7" fillId="2" borderId="31" xfId="2" applyNumberFormat="1" applyFont="1" applyFill="1" applyBorder="1" applyProtection="1">
      <protection locked="0"/>
    </xf>
    <xf numFmtId="41" fontId="28" fillId="0" borderId="47" xfId="10" applyNumberFormat="1" applyFont="1" applyBorder="1"/>
    <xf numFmtId="41" fontId="28" fillId="0" borderId="47" xfId="10" applyNumberFormat="1" applyFont="1" applyBorder="1" applyAlignment="1">
      <alignment horizontal="center"/>
    </xf>
    <xf numFmtId="41" fontId="7" fillId="0" borderId="83" xfId="2" applyNumberFormat="1" applyFont="1" applyBorder="1"/>
    <xf numFmtId="0" fontId="6" fillId="0" borderId="84" xfId="10" applyFont="1" applyBorder="1"/>
    <xf numFmtId="0" fontId="7" fillId="0" borderId="84" xfId="10" applyFont="1" applyBorder="1" applyAlignment="1">
      <alignment horizontal="center"/>
    </xf>
    <xf numFmtId="10" fontId="28" fillId="0" borderId="84" xfId="13" applyNumberFormat="1" applyFont="1" applyBorder="1"/>
    <xf numFmtId="43" fontId="7" fillId="0" borderId="83" xfId="2" applyNumberFormat="1" applyFont="1" applyBorder="1"/>
    <xf numFmtId="9" fontId="28" fillId="0" borderId="31" xfId="13" applyFont="1" applyBorder="1"/>
    <xf numFmtId="41" fontId="28" fillId="0" borderId="51" xfId="10" applyNumberFormat="1" applyFont="1" applyBorder="1"/>
    <xf numFmtId="10" fontId="7" fillId="0" borderId="84" xfId="13" applyNumberFormat="1" applyFont="1" applyBorder="1"/>
    <xf numFmtId="41" fontId="28" fillId="0" borderId="85" xfId="10" applyNumberFormat="1" applyFont="1" applyBorder="1"/>
    <xf numFmtId="41" fontId="7" fillId="2" borderId="32" xfId="2" applyNumberFormat="1" applyFont="1" applyFill="1" applyBorder="1" applyProtection="1">
      <protection locked="0"/>
    </xf>
    <xf numFmtId="41" fontId="7" fillId="0" borderId="32" xfId="2" applyNumberFormat="1" applyFont="1" applyBorder="1"/>
    <xf numFmtId="41" fontId="7" fillId="0" borderId="86" xfId="2" applyNumberFormat="1" applyFont="1" applyBorder="1"/>
    <xf numFmtId="43" fontId="7" fillId="0" borderId="86" xfId="2" applyNumberFormat="1" applyFont="1" applyBorder="1"/>
    <xf numFmtId="41" fontId="28" fillId="0" borderId="87" xfId="2" applyNumberFormat="1" applyFont="1" applyBorder="1"/>
    <xf numFmtId="0" fontId="7" fillId="0" borderId="31" xfId="10" quotePrefix="1" applyFont="1" applyBorder="1" applyAlignment="1">
      <alignment horizontal="center"/>
    </xf>
    <xf numFmtId="0" fontId="7" fillId="0" borderId="31" xfId="10" applyFont="1" applyBorder="1"/>
    <xf numFmtId="41" fontId="7" fillId="4" borderId="83" xfId="13" applyNumberFormat="1" applyFont="1" applyFill="1" applyBorder="1" applyProtection="1">
      <protection locked="0"/>
    </xf>
    <xf numFmtId="41" fontId="7" fillId="4" borderId="32" xfId="13" applyNumberFormat="1" applyFont="1" applyFill="1" applyBorder="1" applyProtection="1">
      <protection locked="0"/>
    </xf>
    <xf numFmtId="41" fontId="7" fillId="0" borderId="47" xfId="2" applyNumberFormat="1" applyFont="1" applyBorder="1"/>
    <xf numFmtId="0" fontId="6" fillId="0" borderId="83" xfId="10" applyFont="1" applyBorder="1"/>
    <xf numFmtId="0" fontId="6" fillId="0" borderId="31" xfId="10" applyFont="1" applyBorder="1"/>
    <xf numFmtId="0" fontId="7" fillId="0" borderId="8" xfId="10" applyFont="1" applyBorder="1" applyAlignment="1">
      <alignment horizontal="center"/>
    </xf>
    <xf numFmtId="9" fontId="7" fillId="0" borderId="9" xfId="13" applyFont="1" applyBorder="1" applyAlignment="1">
      <alignment horizontal="center"/>
    </xf>
    <xf numFmtId="0" fontId="7" fillId="0" borderId="88" xfId="10" applyFont="1" applyBorder="1"/>
    <xf numFmtId="0" fontId="7" fillId="0" borderId="89" xfId="0" applyFont="1" applyBorder="1"/>
    <xf numFmtId="0" fontId="7" fillId="0" borderId="83" xfId="0" applyFont="1" applyBorder="1"/>
    <xf numFmtId="0" fontId="7" fillId="0" borderId="8" xfId="10" applyFont="1" applyBorder="1"/>
    <xf numFmtId="0" fontId="7" fillId="0" borderId="90" xfId="0" applyFont="1" applyBorder="1"/>
    <xf numFmtId="0" fontId="6" fillId="0" borderId="8" xfId="10" applyFont="1" applyBorder="1"/>
    <xf numFmtId="0" fontId="7" fillId="0" borderId="91" xfId="0" applyFont="1" applyBorder="1"/>
    <xf numFmtId="0" fontId="7" fillId="0" borderId="83" xfId="10" applyFont="1" applyBorder="1"/>
    <xf numFmtId="0" fontId="7" fillId="0" borderId="18" xfId="10" applyFont="1" applyBorder="1" applyAlignment="1">
      <alignment horizontal="right"/>
    </xf>
    <xf numFmtId="0" fontId="11" fillId="0" borderId="18" xfId="11" applyFont="1" applyBorder="1" applyAlignment="1">
      <alignment vertical="center"/>
    </xf>
    <xf numFmtId="0" fontId="6" fillId="0" borderId="8" xfId="11" applyFont="1" applyBorder="1" applyAlignment="1">
      <alignment vertical="center"/>
    </xf>
    <xf numFmtId="0" fontId="7" fillId="0" borderId="9" xfId="11" applyFont="1" applyBorder="1" applyAlignment="1">
      <alignment vertical="center"/>
    </xf>
    <xf numFmtId="37" fontId="32" fillId="0" borderId="39" xfId="11" applyNumberFormat="1" applyFont="1" applyBorder="1" applyAlignment="1">
      <alignment vertical="center"/>
    </xf>
    <xf numFmtId="37" fontId="32" fillId="0" borderId="35" xfId="11" applyNumberFormat="1" applyFont="1" applyBorder="1" applyAlignment="1">
      <alignment vertical="center"/>
    </xf>
    <xf numFmtId="37" fontId="6" fillId="0" borderId="35" xfId="11" applyNumberFormat="1" applyFont="1" applyBorder="1" applyAlignment="1">
      <alignment vertical="center"/>
    </xf>
    <xf numFmtId="37" fontId="6" fillId="0" borderId="35" xfId="11" applyNumberFormat="1" applyFont="1" applyBorder="1" applyAlignment="1">
      <alignment horizontal="left" vertical="center"/>
    </xf>
    <xf numFmtId="37" fontId="32" fillId="0" borderId="8" xfId="11" applyNumberFormat="1" applyFont="1" applyBorder="1" applyAlignment="1">
      <alignment vertical="center"/>
    </xf>
    <xf numFmtId="37" fontId="32" fillId="0" borderId="9" xfId="11" applyNumberFormat="1" applyFont="1" applyBorder="1" applyAlignment="1">
      <alignment vertical="center"/>
    </xf>
    <xf numFmtId="37" fontId="6" fillId="0" borderId="9" xfId="11" applyNumberFormat="1" applyFont="1" applyBorder="1" applyAlignment="1">
      <alignment vertical="center"/>
    </xf>
    <xf numFmtId="37" fontId="6" fillId="0" borderId="9" xfId="11" applyNumberFormat="1" applyFont="1" applyBorder="1" applyAlignment="1">
      <alignment horizontal="left" vertical="center"/>
    </xf>
    <xf numFmtId="37" fontId="6" fillId="0" borderId="92" xfId="11" applyNumberFormat="1" applyFont="1" applyBorder="1" applyAlignment="1">
      <alignment horizontal="center" vertical="center"/>
    </xf>
    <xf numFmtId="43" fontId="6" fillId="0" borderId="93" xfId="11" applyNumberFormat="1" applyFont="1" applyBorder="1" applyAlignment="1">
      <alignment horizontal="center" vertical="center"/>
    </xf>
    <xf numFmtId="37" fontId="6" fillId="0" borderId="94" xfId="11" applyNumberFormat="1" applyFont="1" applyBorder="1" applyAlignment="1">
      <alignment horizontal="center" vertical="center"/>
    </xf>
    <xf numFmtId="43" fontId="7" fillId="0" borderId="95" xfId="11" applyNumberFormat="1" applyFont="1" applyBorder="1" applyAlignment="1">
      <alignment horizontal="left" vertical="center"/>
    </xf>
    <xf numFmtId="0" fontId="6" fillId="0" borderId="96" xfId="0" applyFont="1" applyBorder="1" applyAlignment="1">
      <alignment horizontal="center" wrapText="1"/>
    </xf>
    <xf numFmtId="0" fontId="6" fillId="0" borderId="97" xfId="0" applyFont="1" applyBorder="1" applyAlignment="1">
      <alignment horizontal="center"/>
    </xf>
    <xf numFmtId="0" fontId="6" fillId="0" borderId="98" xfId="0" applyFont="1" applyBorder="1" applyAlignment="1">
      <alignment horizontal="center" wrapText="1"/>
    </xf>
    <xf numFmtId="0" fontId="6" fillId="0" borderId="99" xfId="0" applyFont="1" applyBorder="1" applyAlignment="1">
      <alignment horizontal="center" wrapText="1"/>
    </xf>
    <xf numFmtId="37" fontId="6" fillId="0" borderId="100" xfId="11" applyNumberFormat="1" applyFont="1" applyBorder="1" applyAlignment="1">
      <alignment horizontal="center" vertical="center"/>
    </xf>
    <xf numFmtId="37" fontId="6" fillId="0" borderId="63" xfId="11" applyNumberFormat="1" applyFont="1" applyBorder="1" applyAlignment="1">
      <alignment horizontal="center" vertical="center"/>
    </xf>
    <xf numFmtId="10" fontId="7" fillId="0" borderId="52" xfId="11" applyNumberFormat="1" applyFont="1" applyBorder="1" applyAlignment="1">
      <alignment vertical="center"/>
    </xf>
    <xf numFmtId="164" fontId="7" fillId="0" borderId="30" xfId="11" applyNumberFormat="1" applyFont="1" applyBorder="1" applyAlignment="1">
      <alignment vertical="center"/>
    </xf>
    <xf numFmtId="0" fontId="11" fillId="0" borderId="27" xfId="11" applyFont="1" applyBorder="1" applyAlignment="1">
      <alignment vertical="center"/>
    </xf>
    <xf numFmtId="164" fontId="7" fillId="0" borderId="101" xfId="11" applyNumberFormat="1" applyFont="1" applyBorder="1" applyAlignment="1">
      <alignment horizontal="left" vertical="center"/>
    </xf>
    <xf numFmtId="43" fontId="7" fillId="0" borderId="27" xfId="11" applyNumberFormat="1" applyFont="1" applyBorder="1" applyAlignment="1">
      <alignment horizontal="left" vertical="center"/>
    </xf>
    <xf numFmtId="0" fontId="7" fillId="0" borderId="102" xfId="0" applyFont="1" applyBorder="1"/>
    <xf numFmtId="164" fontId="7" fillId="0" borderId="102" xfId="11" applyNumberFormat="1" applyFont="1" applyBorder="1" applyAlignment="1">
      <alignment vertical="center"/>
    </xf>
    <xf numFmtId="10" fontId="7" fillId="0" borderId="103" xfId="11" applyNumberFormat="1" applyFont="1" applyBorder="1" applyAlignment="1">
      <alignment vertical="center"/>
    </xf>
    <xf numFmtId="43" fontId="7" fillId="0" borderId="54" xfId="11" applyNumberFormat="1" applyFont="1" applyBorder="1" applyAlignment="1">
      <alignment horizontal="left" vertical="center" wrapText="1"/>
    </xf>
    <xf numFmtId="37" fontId="6" fillId="0" borderId="100" xfId="11" applyNumberFormat="1" applyFont="1" applyBorder="1" applyAlignment="1">
      <alignment horizontal="center"/>
    </xf>
    <xf numFmtId="37" fontId="6" fillId="0" borderId="94" xfId="11" applyNumberFormat="1" applyFont="1" applyBorder="1" applyAlignment="1">
      <alignment horizontal="center"/>
    </xf>
    <xf numFmtId="37" fontId="6" fillId="0" borderId="63" xfId="11" applyNumberFormat="1" applyFont="1" applyBorder="1" applyAlignment="1">
      <alignment horizontal="center"/>
    </xf>
    <xf numFmtId="37" fontId="6" fillId="0" borderId="104" xfId="11" applyNumberFormat="1" applyFont="1" applyBorder="1" applyAlignment="1">
      <alignment horizontal="center"/>
    </xf>
    <xf numFmtId="37" fontId="6" fillId="9" borderId="63" xfId="11" applyNumberFormat="1" applyFont="1" applyFill="1" applyBorder="1" applyAlignment="1">
      <alignment horizontal="center"/>
    </xf>
    <xf numFmtId="0" fontId="11" fillId="0" borderId="9" xfId="11" applyFont="1" applyBorder="1" applyAlignment="1">
      <alignment vertical="center"/>
    </xf>
    <xf numFmtId="0" fontId="11" fillId="0" borderId="37" xfId="11" applyFont="1" applyBorder="1" applyAlignment="1">
      <alignment vertical="center"/>
    </xf>
    <xf numFmtId="49" fontId="6" fillId="0" borderId="5" xfId="11" applyNumberFormat="1" applyFont="1" applyBorder="1" applyAlignment="1">
      <alignment horizontal="center" vertical="center"/>
    </xf>
    <xf numFmtId="0" fontId="11" fillId="0" borderId="19" xfId="11" applyFont="1" applyBorder="1" applyAlignment="1">
      <alignment vertical="center"/>
    </xf>
    <xf numFmtId="0" fontId="10" fillId="0" borderId="19" xfId="11" applyFont="1" applyBorder="1" applyAlignment="1">
      <alignment vertical="center"/>
    </xf>
    <xf numFmtId="10" fontId="6" fillId="0" borderId="2" xfId="0" applyNumberFormat="1" applyFont="1" applyBorder="1" applyAlignment="1">
      <alignment horizontal="center"/>
    </xf>
    <xf numFmtId="0" fontId="0" fillId="0" borderId="105" xfId="0" applyBorder="1"/>
    <xf numFmtId="5" fontId="7" fillId="0" borderId="27" xfId="6" applyFont="1" applyBorder="1"/>
    <xf numFmtId="0" fontId="0" fillId="0" borderId="22" xfId="0" applyBorder="1"/>
    <xf numFmtId="10" fontId="7" fillId="0" borderId="30" xfId="0" applyNumberFormat="1" applyFont="1" applyBorder="1"/>
    <xf numFmtId="171" fontId="7" fillId="7" borderId="106" xfId="6" applyNumberFormat="1" applyFont="1" applyFill="1" applyBorder="1"/>
    <xf numFmtId="171" fontId="7" fillId="0" borderId="106" xfId="6" applyNumberFormat="1" applyFont="1" applyBorder="1"/>
    <xf numFmtId="0" fontId="7" fillId="0" borderId="66" xfId="0" applyFont="1" applyBorder="1" applyAlignment="1">
      <alignment horizontal="center"/>
    </xf>
    <xf numFmtId="0" fontId="7" fillId="0" borderId="67" xfId="0" applyFont="1" applyBorder="1" applyAlignment="1">
      <alignment horizontal="center"/>
    </xf>
    <xf numFmtId="0" fontId="7" fillId="0" borderId="69" xfId="0" applyFont="1" applyBorder="1" applyAlignment="1">
      <alignment horizontal="center"/>
    </xf>
    <xf numFmtId="0" fontId="0" fillId="0" borderId="107" xfId="0" applyBorder="1"/>
    <xf numFmtId="0" fontId="0" fillId="0" borderId="101" xfId="0" applyBorder="1"/>
    <xf numFmtId="0" fontId="7" fillId="6" borderId="32" xfId="0" applyFont="1" applyFill="1" applyBorder="1"/>
    <xf numFmtId="0" fontId="7" fillId="6" borderId="49" xfId="0" applyFont="1" applyFill="1" applyBorder="1"/>
    <xf numFmtId="0" fontId="7" fillId="6" borderId="32" xfId="0" applyFont="1" applyFill="1" applyBorder="1" applyAlignment="1">
      <alignment horizontal="center"/>
    </xf>
    <xf numFmtId="10" fontId="7" fillId="6" borderId="54" xfId="13" applyNumberFormat="1" applyFont="1" applyFill="1" applyBorder="1"/>
    <xf numFmtId="38" fontId="7" fillId="6" borderId="52" xfId="6" applyNumberFormat="1" applyFont="1" applyFill="1" applyBorder="1"/>
    <xf numFmtId="0" fontId="0" fillId="0" borderId="19" xfId="0" applyBorder="1"/>
    <xf numFmtId="38" fontId="7" fillId="6" borderId="7" xfId="6" applyNumberFormat="1" applyFont="1" applyFill="1" applyBorder="1"/>
    <xf numFmtId="38" fontId="7" fillId="6" borderId="108" xfId="6" applyNumberFormat="1" applyFont="1" applyFill="1" applyBorder="1"/>
    <xf numFmtId="6" fontId="7" fillId="0" borderId="19" xfId="6" applyNumberFormat="1" applyFont="1" applyBorder="1"/>
    <xf numFmtId="0" fontId="0" fillId="0" borderId="109" xfId="0" applyBorder="1"/>
    <xf numFmtId="0" fontId="29" fillId="6" borderId="32" xfId="0" applyFont="1" applyFill="1" applyBorder="1"/>
    <xf numFmtId="0" fontId="27" fillId="6" borderId="49" xfId="0" applyFont="1" applyFill="1" applyBorder="1"/>
    <xf numFmtId="0" fontId="29" fillId="6" borderId="54" xfId="0" applyFont="1" applyFill="1" applyBorder="1" applyAlignment="1">
      <alignment horizontal="center"/>
    </xf>
    <xf numFmtId="0" fontId="29" fillId="0" borderId="27" xfId="0" applyFont="1" applyBorder="1"/>
    <xf numFmtId="0" fontId="29" fillId="0" borderId="27" xfId="0" applyFont="1" applyBorder="1" applyAlignment="1">
      <alignment horizontal="center"/>
    </xf>
    <xf numFmtId="6" fontId="7" fillId="0" borderId="27" xfId="6" applyNumberFormat="1" applyFont="1" applyBorder="1"/>
    <xf numFmtId="0" fontId="7" fillId="0" borderId="27" xfId="6" applyNumberFormat="1" applyFont="1" applyBorder="1"/>
    <xf numFmtId="10" fontId="7" fillId="0" borderId="27" xfId="13" applyNumberFormat="1" applyFont="1" applyBorder="1"/>
    <xf numFmtId="6" fontId="7" fillId="0" borderId="101" xfId="6" applyNumberFormat="1" applyFont="1" applyBorder="1"/>
    <xf numFmtId="10" fontId="7" fillId="6" borderId="54" xfId="6" applyNumberFormat="1" applyFont="1" applyFill="1" applyBorder="1"/>
    <xf numFmtId="6" fontId="7" fillId="0" borderId="110" xfId="6" applyNumberFormat="1" applyFont="1" applyBorder="1"/>
    <xf numFmtId="10" fontId="7" fillId="0" borderId="111" xfId="13" applyNumberFormat="1" applyFont="1" applyBorder="1"/>
    <xf numFmtId="10" fontId="7" fillId="0" borderId="112" xfId="13" applyNumberFormat="1" applyFont="1" applyBorder="1"/>
    <xf numFmtId="10" fontId="7" fillId="0" borderId="108" xfId="13" applyNumberFormat="1" applyFont="1" applyBorder="1"/>
    <xf numFmtId="10" fontId="7" fillId="0" borderId="113" xfId="13" applyNumberFormat="1" applyFont="1" applyBorder="1"/>
    <xf numFmtId="0" fontId="0" fillId="0" borderId="23" xfId="0" applyBorder="1"/>
    <xf numFmtId="0" fontId="0" fillId="0" borderId="114" xfId="0" applyBorder="1"/>
    <xf numFmtId="38" fontId="7" fillId="0" borderId="51" xfId="6" applyNumberFormat="1" applyFont="1" applyBorder="1"/>
    <xf numFmtId="10" fontId="7" fillId="0" borderId="115" xfId="13" applyNumberFormat="1" applyFont="1" applyBorder="1"/>
    <xf numFmtId="10" fontId="7" fillId="6" borderId="7" xfId="13" applyNumberFormat="1" applyFont="1" applyFill="1" applyBorder="1"/>
    <xf numFmtId="38" fontId="7" fillId="6" borderId="52" xfId="6" applyNumberFormat="1" applyFont="1" applyFill="1" applyBorder="1" applyProtection="1">
      <protection locked="0"/>
    </xf>
    <xf numFmtId="6" fontId="7" fillId="0" borderId="0" xfId="13" applyNumberFormat="1" applyFont="1" applyAlignment="1">
      <alignment horizontal="right"/>
    </xf>
    <xf numFmtId="6" fontId="7" fillId="0" borderId="0" xfId="13" applyNumberFormat="1" applyFont="1"/>
    <xf numFmtId="38" fontId="7" fillId="6" borderId="75" xfId="7" applyNumberFormat="1" applyFont="1" applyFill="1" applyBorder="1"/>
    <xf numFmtId="38" fontId="7" fillId="6" borderId="116" xfId="7" applyNumberFormat="1" applyFont="1" applyFill="1" applyBorder="1"/>
    <xf numFmtId="0" fontId="29" fillId="6" borderId="49" xfId="0" applyFont="1" applyFill="1" applyBorder="1"/>
    <xf numFmtId="0" fontId="7" fillId="0" borderId="115" xfId="0" applyFont="1" applyBorder="1"/>
    <xf numFmtId="0" fontId="27" fillId="0" borderId="117" xfId="0" applyFont="1" applyBorder="1"/>
    <xf numFmtId="0" fontId="29" fillId="6" borderId="54" xfId="0" quotePrefix="1" applyFont="1" applyFill="1" applyBorder="1" applyAlignment="1">
      <alignment horizontal="center"/>
    </xf>
    <xf numFmtId="10" fontId="7" fillId="0" borderId="21" xfId="13" applyNumberFormat="1" applyFont="1" applyBorder="1"/>
    <xf numFmtId="10" fontId="7" fillId="0" borderId="118" xfId="13" applyNumberFormat="1" applyFont="1" applyBorder="1"/>
    <xf numFmtId="10" fontId="7" fillId="6" borderId="71" xfId="13" applyNumberFormat="1" applyFont="1" applyFill="1" applyBorder="1"/>
    <xf numFmtId="0" fontId="29" fillId="0" borderId="119" xfId="0" applyFont="1" applyBorder="1"/>
    <xf numFmtId="0" fontId="27" fillId="0" borderId="30" xfId="0" applyFont="1" applyBorder="1"/>
    <xf numFmtId="43" fontId="7" fillId="0" borderId="31" xfId="10" applyNumberFormat="1" applyFont="1" applyBorder="1"/>
    <xf numFmtId="41" fontId="7" fillId="0" borderId="31" xfId="2" applyNumberFormat="1" applyFont="1" applyBorder="1"/>
    <xf numFmtId="41" fontId="7" fillId="4" borderId="31" xfId="13" applyNumberFormat="1" applyFont="1" applyFill="1" applyBorder="1" applyProtection="1">
      <protection locked="0"/>
    </xf>
    <xf numFmtId="41" fontId="7" fillId="0" borderId="0" xfId="13" applyNumberFormat="1" applyFont="1"/>
    <xf numFmtId="41" fontId="28" fillId="0" borderId="0" xfId="10" applyNumberFormat="1" applyFont="1"/>
    <xf numFmtId="9" fontId="28" fillId="0" borderId="51" xfId="13" applyFont="1" applyBorder="1"/>
    <xf numFmtId="10" fontId="28" fillId="0" borderId="120" xfId="13" applyNumberFormat="1" applyFont="1" applyBorder="1"/>
    <xf numFmtId="10" fontId="7" fillId="0" borderId="37" xfId="13" applyNumberFormat="1" applyFont="1" applyBorder="1"/>
    <xf numFmtId="10" fontId="7" fillId="0" borderId="120" xfId="13" applyNumberFormat="1" applyFont="1" applyBorder="1"/>
    <xf numFmtId="10" fontId="28" fillId="0" borderId="37" xfId="13" applyNumberFormat="1" applyFont="1" applyBorder="1"/>
    <xf numFmtId="10" fontId="7" fillId="0" borderId="19" xfId="13" applyNumberFormat="1" applyFont="1" applyBorder="1" applyAlignment="1">
      <alignment horizontal="center"/>
    </xf>
    <xf numFmtId="10" fontId="28" fillId="0" borderId="19" xfId="13" applyNumberFormat="1" applyFont="1" applyBorder="1"/>
    <xf numFmtId="10" fontId="28" fillId="0" borderId="53" xfId="13" applyNumberFormat="1" applyFont="1" applyBorder="1"/>
    <xf numFmtId="0" fontId="6" fillId="0" borderId="27" xfId="10" applyFont="1" applyBorder="1"/>
    <xf numFmtId="43" fontId="7" fillId="0" borderId="27" xfId="2" applyNumberFormat="1" applyFont="1" applyBorder="1"/>
    <xf numFmtId="43" fontId="7" fillId="0" borderId="101" xfId="10" applyNumberFormat="1" applyFont="1" applyBorder="1"/>
    <xf numFmtId="41" fontId="7" fillId="0" borderId="27" xfId="2" applyNumberFormat="1" applyFont="1" applyBorder="1"/>
    <xf numFmtId="41" fontId="7" fillId="2" borderId="121" xfId="2" applyNumberFormat="1" applyFont="1" applyFill="1" applyBorder="1" applyProtection="1">
      <protection locked="0"/>
    </xf>
    <xf numFmtId="0" fontId="7" fillId="0" borderId="37" xfId="10" applyFont="1" applyBorder="1" applyAlignment="1">
      <alignment horizontal="center"/>
    </xf>
    <xf numFmtId="0" fontId="7" fillId="0" borderId="19" xfId="10" applyFont="1" applyBorder="1" applyAlignment="1">
      <alignment horizontal="center"/>
    </xf>
    <xf numFmtId="0" fontId="7" fillId="0" borderId="122" xfId="10" applyFont="1" applyBorder="1" applyAlignment="1">
      <alignment horizontal="right"/>
    </xf>
    <xf numFmtId="10" fontId="28" fillId="0" borderId="27" xfId="13" applyNumberFormat="1" applyFont="1" applyBorder="1"/>
    <xf numFmtId="10" fontId="7" fillId="0" borderId="49" xfId="13" applyNumberFormat="1" applyFont="1" applyBorder="1"/>
    <xf numFmtId="10" fontId="7" fillId="0" borderId="123" xfId="13" applyNumberFormat="1" applyFont="1" applyBorder="1"/>
    <xf numFmtId="10" fontId="28" fillId="0" borderId="123" xfId="13" applyNumberFormat="1" applyFont="1" applyBorder="1"/>
    <xf numFmtId="10" fontId="7" fillId="0" borderId="124" xfId="13" applyNumberFormat="1" applyFont="1" applyBorder="1" applyAlignment="1">
      <alignment horizontal="center"/>
    </xf>
    <xf numFmtId="10" fontId="7" fillId="0" borderId="125" xfId="13" applyNumberFormat="1" applyFont="1" applyBorder="1" applyAlignment="1">
      <alignment horizontal="center"/>
    </xf>
    <xf numFmtId="10" fontId="28" fillId="0" borderId="125" xfId="13" applyNumberFormat="1" applyFont="1" applyBorder="1"/>
    <xf numFmtId="10" fontId="28" fillId="0" borderId="126" xfId="13" applyNumberFormat="1" applyFont="1" applyBorder="1"/>
    <xf numFmtId="10" fontId="7" fillId="0" borderId="125" xfId="13" applyNumberFormat="1" applyFont="1" applyBorder="1"/>
    <xf numFmtId="43" fontId="7" fillId="0" borderId="8" xfId="2" applyNumberFormat="1" applyFont="1" applyBorder="1" applyAlignment="1">
      <alignment horizontal="center"/>
    </xf>
    <xf numFmtId="43" fontId="7" fillId="0" borderId="9" xfId="10" applyNumberFormat="1" applyFont="1" applyBorder="1" applyAlignment="1">
      <alignment horizontal="center"/>
    </xf>
    <xf numFmtId="9" fontId="7" fillId="0" borderId="37" xfId="13" applyFont="1" applyBorder="1" applyAlignment="1">
      <alignment horizontal="center"/>
    </xf>
    <xf numFmtId="41" fontId="7" fillId="2" borderId="127" xfId="2" applyNumberFormat="1" applyFont="1" applyFill="1" applyBorder="1" applyProtection="1">
      <protection locked="0"/>
    </xf>
    <xf numFmtId="41" fontId="7" fillId="0" borderId="122" xfId="13" applyNumberFormat="1" applyFont="1" applyBorder="1"/>
    <xf numFmtId="9" fontId="7" fillId="0" borderId="101" xfId="13" applyFont="1" applyBorder="1"/>
    <xf numFmtId="41" fontId="7" fillId="0" borderId="82" xfId="2" applyNumberFormat="1" applyFont="1" applyBorder="1"/>
    <xf numFmtId="10" fontId="7" fillId="0" borderId="101" xfId="13" applyNumberFormat="1" applyFont="1" applyBorder="1"/>
    <xf numFmtId="10" fontId="7" fillId="0" borderId="37" xfId="13" applyNumberFormat="1" applyFont="1" applyBorder="1" applyAlignment="1">
      <alignment horizontal="center"/>
    </xf>
    <xf numFmtId="10" fontId="28" fillId="0" borderId="101" xfId="13" applyNumberFormat="1" applyFont="1" applyBorder="1"/>
    <xf numFmtId="0" fontId="49" fillId="0" borderId="0" xfId="8" applyAlignment="1">
      <alignment horizontal="left"/>
    </xf>
    <xf numFmtId="10" fontId="7" fillId="0" borderId="22" xfId="13" applyNumberFormat="1" applyFont="1" applyBorder="1"/>
    <xf numFmtId="10" fontId="7" fillId="0" borderId="109" xfId="13" applyNumberFormat="1" applyFont="1" applyBorder="1"/>
    <xf numFmtId="43" fontId="7" fillId="0" borderId="128" xfId="10" applyNumberFormat="1" applyFont="1" applyBorder="1"/>
    <xf numFmtId="0" fontId="7" fillId="0" borderId="56" xfId="0" applyFont="1" applyBorder="1" applyAlignment="1">
      <alignment horizontal="center"/>
    </xf>
    <xf numFmtId="0" fontId="29" fillId="0" borderId="0" xfId="0" applyFont="1" applyAlignment="1">
      <alignment horizontal="center"/>
    </xf>
    <xf numFmtId="6" fontId="7" fillId="0" borderId="22" xfId="6" applyNumberFormat="1" applyFont="1" applyBorder="1"/>
    <xf numFmtId="43" fontId="7" fillId="0" borderId="32" xfId="11" applyNumberFormat="1" applyFont="1" applyBorder="1" applyAlignment="1">
      <alignment horizontal="left" vertical="center" wrapText="1"/>
    </xf>
    <xf numFmtId="0" fontId="6" fillId="0" borderId="17" xfId="11" applyFont="1" applyBorder="1" applyAlignment="1">
      <alignment horizontal="center" vertical="center"/>
    </xf>
    <xf numFmtId="43" fontId="6" fillId="0" borderId="17" xfId="11" applyNumberFormat="1" applyFont="1" applyBorder="1" applyAlignment="1">
      <alignment horizontal="center" vertical="center"/>
    </xf>
    <xf numFmtId="0" fontId="6" fillId="0" borderId="128" xfId="11" applyFont="1" applyBorder="1" applyAlignment="1">
      <alignment horizontal="center" vertical="center"/>
    </xf>
    <xf numFmtId="164" fontId="7" fillId="0" borderId="27" xfId="11" applyNumberFormat="1" applyFont="1" applyBorder="1" applyAlignment="1">
      <alignment horizontal="center" vertical="center"/>
    </xf>
    <xf numFmtId="164" fontId="7" fillId="0" borderId="30" xfId="11" applyNumberFormat="1" applyFont="1" applyBorder="1" applyAlignment="1">
      <alignment horizontal="center" vertical="center"/>
    </xf>
    <xf numFmtId="43" fontId="7" fillId="0" borderId="30" xfId="11" applyNumberFormat="1" applyFont="1" applyBorder="1" applyAlignment="1">
      <alignment horizontal="left" vertical="center"/>
    </xf>
    <xf numFmtId="164" fontId="7" fillId="0" borderId="30" xfId="11" applyNumberFormat="1" applyFont="1" applyBorder="1" applyAlignment="1">
      <alignment horizontal="left" vertical="center"/>
    </xf>
    <xf numFmtId="164" fontId="7" fillId="0" borderId="129" xfId="11" applyNumberFormat="1" applyFont="1" applyBorder="1" applyAlignment="1">
      <alignment horizontal="left" vertical="center"/>
    </xf>
    <xf numFmtId="0" fontId="7" fillId="0" borderId="30" xfId="11" applyFont="1" applyBorder="1" applyAlignment="1">
      <alignment vertical="center"/>
    </xf>
    <xf numFmtId="10" fontId="7" fillId="0" borderId="30" xfId="11" applyNumberFormat="1" applyFont="1" applyBorder="1" applyAlignment="1">
      <alignment vertical="center"/>
    </xf>
    <xf numFmtId="10" fontId="7" fillId="0" borderId="129" xfId="11" applyNumberFormat="1" applyFont="1" applyBorder="1" applyAlignment="1">
      <alignment vertical="center"/>
    </xf>
    <xf numFmtId="164" fontId="7" fillId="0" borderId="0" xfId="11" applyNumberFormat="1" applyFont="1" applyAlignment="1">
      <alignment horizontal="center" vertical="center"/>
    </xf>
    <xf numFmtId="10" fontId="7" fillId="0" borderId="27" xfId="11" applyNumberFormat="1" applyFont="1" applyBorder="1" applyAlignment="1">
      <alignment vertical="center"/>
    </xf>
    <xf numFmtId="10" fontId="7" fillId="0" borderId="0" xfId="11" applyNumberFormat="1" applyFont="1" applyAlignment="1">
      <alignment vertical="center"/>
    </xf>
    <xf numFmtId="0" fontId="6" fillId="0" borderId="0" xfId="0" applyFont="1" applyAlignment="1">
      <alignment horizontal="left" vertical="top"/>
    </xf>
    <xf numFmtId="43" fontId="7" fillId="0" borderId="46" xfId="11" applyNumberFormat="1" applyFont="1" applyBorder="1" applyAlignment="1">
      <alignment horizontal="left" vertical="center" wrapText="1"/>
    </xf>
    <xf numFmtId="165" fontId="7" fillId="0" borderId="0" xfId="1" applyNumberFormat="1" applyFont="1" applyAlignment="1">
      <alignment vertical="center"/>
    </xf>
    <xf numFmtId="164" fontId="7" fillId="0" borderId="130" xfId="11" applyNumberFormat="1" applyFont="1" applyBorder="1" applyAlignment="1">
      <alignment horizontal="center" vertical="center"/>
    </xf>
    <xf numFmtId="3" fontId="7" fillId="0" borderId="54" xfId="13" applyNumberFormat="1" applyFont="1" applyBorder="1"/>
    <xf numFmtId="3" fontId="7" fillId="0" borderId="31" xfId="6" applyNumberFormat="1" applyFont="1" applyBorder="1"/>
    <xf numFmtId="3" fontId="7" fillId="0" borderId="31" xfId="5" applyNumberFormat="1" applyFont="1" applyBorder="1"/>
    <xf numFmtId="3" fontId="7" fillId="0" borderId="31" xfId="13" applyNumberFormat="1" applyFont="1" applyBorder="1"/>
    <xf numFmtId="3" fontId="7" fillId="6" borderId="54" xfId="13" applyNumberFormat="1" applyFont="1" applyFill="1" applyBorder="1"/>
    <xf numFmtId="3" fontId="7" fillId="6" borderId="54" xfId="6" applyNumberFormat="1" applyFont="1" applyFill="1" applyBorder="1"/>
    <xf numFmtId="10" fontId="7" fillId="0" borderId="76" xfId="7" applyNumberFormat="1" applyFont="1" applyBorder="1"/>
    <xf numFmtId="10" fontId="7" fillId="0" borderId="31" xfId="6" applyNumberFormat="1" applyFont="1" applyBorder="1"/>
    <xf numFmtId="3" fontId="7" fillId="6" borderId="32" xfId="6" applyNumberFormat="1" applyFont="1" applyFill="1" applyBorder="1"/>
    <xf numFmtId="3" fontId="7" fillId="6" borderId="32" xfId="13" applyNumberFormat="1" applyFont="1" applyFill="1" applyBorder="1"/>
    <xf numFmtId="10" fontId="7" fillId="0" borderId="131" xfId="6" applyNumberFormat="1" applyFont="1" applyBorder="1"/>
    <xf numFmtId="10" fontId="7" fillId="0" borderId="51" xfId="6" applyNumberFormat="1" applyFont="1" applyBorder="1"/>
    <xf numFmtId="10" fontId="7" fillId="0" borderId="132" xfId="6" applyNumberFormat="1" applyFont="1" applyBorder="1"/>
    <xf numFmtId="10" fontId="7" fillId="0" borderId="110" xfId="6" applyNumberFormat="1" applyFont="1" applyBorder="1"/>
    <xf numFmtId="10" fontId="7" fillId="0" borderId="133" xfId="6" applyNumberFormat="1" applyFont="1" applyBorder="1"/>
    <xf numFmtId="10" fontId="7" fillId="0" borderId="134" xfId="6" applyNumberFormat="1" applyFont="1" applyBorder="1"/>
    <xf numFmtId="3" fontId="7" fillId="6" borderId="112" xfId="6" applyNumberFormat="1" applyFont="1" applyFill="1" applyBorder="1"/>
    <xf numFmtId="3" fontId="7" fillId="6" borderId="75" xfId="6" applyNumberFormat="1" applyFont="1" applyFill="1" applyBorder="1"/>
    <xf numFmtId="10" fontId="7" fillId="0" borderId="26" xfId="6" applyNumberFormat="1" applyFont="1" applyBorder="1"/>
    <xf numFmtId="10" fontId="7" fillId="6" borderId="112" xfId="6" applyNumberFormat="1" applyFont="1" applyFill="1" applyBorder="1"/>
    <xf numFmtId="10" fontId="7" fillId="6" borderId="108" xfId="6" applyNumberFormat="1" applyFont="1" applyFill="1" applyBorder="1"/>
    <xf numFmtId="10" fontId="7" fillId="6" borderId="111" xfId="6" applyNumberFormat="1" applyFont="1" applyFill="1" applyBorder="1"/>
    <xf numFmtId="10" fontId="7" fillId="6" borderId="113" xfId="6" applyNumberFormat="1" applyFont="1" applyFill="1" applyBorder="1"/>
    <xf numFmtId="5" fontId="7" fillId="0" borderId="31" xfId="6" applyFont="1" applyBorder="1"/>
    <xf numFmtId="0" fontId="0" fillId="0" borderId="51" xfId="0" applyBorder="1"/>
    <xf numFmtId="3" fontId="7" fillId="6" borderId="7" xfId="13" applyNumberFormat="1" applyFont="1" applyFill="1" applyBorder="1"/>
    <xf numFmtId="0" fontId="29" fillId="0" borderId="31" xfId="0" quotePrefix="1" applyFont="1" applyBorder="1" applyAlignment="1">
      <alignment horizontal="center"/>
    </xf>
    <xf numFmtId="10" fontId="7" fillId="0" borderId="63" xfId="0" applyNumberFormat="1" applyFont="1" applyBorder="1"/>
    <xf numFmtId="10" fontId="7" fillId="0" borderId="132" xfId="0" applyNumberFormat="1" applyFont="1" applyBorder="1"/>
    <xf numFmtId="6" fontId="7" fillId="0" borderId="19" xfId="13" applyNumberFormat="1" applyFont="1" applyBorder="1"/>
    <xf numFmtId="10" fontId="7" fillId="0" borderId="135" xfId="13" applyNumberFormat="1" applyFont="1" applyBorder="1"/>
    <xf numFmtId="3" fontId="7" fillId="6" borderId="54" xfId="6" applyNumberFormat="1" applyFont="1" applyFill="1" applyBorder="1" applyProtection="1">
      <protection locked="0"/>
    </xf>
    <xf numFmtId="10" fontId="7" fillId="6" borderId="76" xfId="7" applyNumberFormat="1" applyFont="1" applyFill="1" applyBorder="1" applyProtection="1">
      <protection locked="0"/>
    </xf>
    <xf numFmtId="10" fontId="7" fillId="6" borderId="76" xfId="7" applyNumberFormat="1" applyFont="1" applyFill="1" applyBorder="1"/>
    <xf numFmtId="10" fontId="7" fillId="6" borderId="7" xfId="7" applyNumberFormat="1" applyFont="1" applyFill="1" applyBorder="1" applyProtection="1">
      <protection locked="0"/>
    </xf>
    <xf numFmtId="10" fontId="7" fillId="6" borderId="54" xfId="6" applyNumberFormat="1" applyFont="1" applyFill="1" applyBorder="1" applyProtection="1">
      <protection locked="0"/>
    </xf>
    <xf numFmtId="10" fontId="7" fillId="6" borderId="131" xfId="6" applyNumberFormat="1" applyFont="1" applyFill="1" applyBorder="1"/>
    <xf numFmtId="10" fontId="7" fillId="6" borderId="26" xfId="6" applyNumberFormat="1" applyFont="1" applyFill="1" applyBorder="1"/>
    <xf numFmtId="3" fontId="7" fillId="6" borderId="11" xfId="13" applyNumberFormat="1" applyFont="1" applyFill="1" applyBorder="1"/>
    <xf numFmtId="3" fontId="7" fillId="6" borderId="76" xfId="6" applyNumberFormat="1" applyFont="1" applyFill="1" applyBorder="1"/>
    <xf numFmtId="3" fontId="7" fillId="6" borderId="7" xfId="6" applyNumberFormat="1" applyFont="1" applyFill="1" applyBorder="1"/>
    <xf numFmtId="3" fontId="7" fillId="6" borderId="136" xfId="13" applyNumberFormat="1" applyFont="1" applyFill="1" applyBorder="1"/>
    <xf numFmtId="3" fontId="7" fillId="6" borderId="75" xfId="13" applyNumberFormat="1" applyFont="1" applyFill="1" applyBorder="1"/>
    <xf numFmtId="3" fontId="7" fillId="6" borderId="112" xfId="13" applyNumberFormat="1" applyFont="1" applyFill="1" applyBorder="1"/>
    <xf numFmtId="0" fontId="0" fillId="0" borderId="61" xfId="0" applyBorder="1"/>
    <xf numFmtId="0" fontId="0" fillId="0" borderId="137" xfId="0" applyBorder="1"/>
    <xf numFmtId="10" fontId="7" fillId="6" borderId="7" xfId="6" applyNumberFormat="1" applyFont="1" applyFill="1" applyBorder="1"/>
    <xf numFmtId="0" fontId="6" fillId="0" borderId="0" xfId="11" applyFont="1" applyAlignment="1">
      <alignment horizontal="center" vertical="center"/>
    </xf>
    <xf numFmtId="0" fontId="7" fillId="0" borderId="54" xfId="10" quotePrefix="1" applyFont="1" applyBorder="1" applyAlignment="1">
      <alignment horizontal="center"/>
    </xf>
    <xf numFmtId="0" fontId="7" fillId="0" borderId="54" xfId="10" applyFont="1" applyBorder="1" applyAlignment="1">
      <alignment horizontal="center"/>
    </xf>
    <xf numFmtId="43" fontId="7" fillId="0" borderId="138" xfId="2" applyNumberFormat="1" applyFont="1" applyBorder="1" applyAlignment="1">
      <alignment horizontal="center"/>
    </xf>
    <xf numFmtId="0" fontId="7" fillId="0" borderId="63" xfId="0" applyFont="1" applyBorder="1" applyAlignment="1">
      <alignment horizontal="center"/>
    </xf>
    <xf numFmtId="3" fontId="7" fillId="7" borderId="7" xfId="6" applyNumberFormat="1" applyFont="1" applyFill="1" applyBorder="1"/>
    <xf numFmtId="10" fontId="7" fillId="6" borderId="20" xfId="0" applyNumberFormat="1" applyFont="1" applyFill="1" applyBorder="1"/>
    <xf numFmtId="10" fontId="7" fillId="6" borderId="78" xfId="0" applyNumberFormat="1" applyFont="1" applyFill="1" applyBorder="1"/>
    <xf numFmtId="10" fontId="7" fillId="0" borderId="111" xfId="6" applyNumberFormat="1" applyFont="1" applyBorder="1"/>
    <xf numFmtId="10" fontId="7" fillId="0" borderId="112" xfId="6" applyNumberFormat="1" applyFont="1" applyBorder="1"/>
    <xf numFmtId="10" fontId="7" fillId="0" borderId="11" xfId="6" applyNumberFormat="1" applyFont="1" applyBorder="1"/>
    <xf numFmtId="10" fontId="7" fillId="0" borderId="21" xfId="6" applyNumberFormat="1" applyFont="1" applyBorder="1"/>
    <xf numFmtId="10" fontId="0" fillId="0" borderId="54" xfId="0" applyNumberFormat="1" applyBorder="1"/>
    <xf numFmtId="10" fontId="7" fillId="0" borderId="139" xfId="6" applyNumberFormat="1" applyFont="1" applyBorder="1"/>
    <xf numFmtId="10" fontId="7" fillId="0" borderId="140" xfId="6" applyNumberFormat="1" applyFont="1" applyBorder="1"/>
    <xf numFmtId="10" fontId="7" fillId="0" borderId="118" xfId="6" applyNumberFormat="1" applyFont="1" applyBorder="1"/>
    <xf numFmtId="10" fontId="7" fillId="0" borderId="108" xfId="6" applyNumberFormat="1" applyFont="1" applyBorder="1"/>
    <xf numFmtId="10" fontId="7" fillId="0" borderId="113" xfId="6" applyNumberFormat="1" applyFont="1" applyBorder="1"/>
    <xf numFmtId="10" fontId="7" fillId="0" borderId="7" xfId="7" applyNumberFormat="1" applyFont="1" applyBorder="1"/>
    <xf numFmtId="10" fontId="7" fillId="0" borderId="141" xfId="6" applyNumberFormat="1" applyFont="1" applyBorder="1"/>
    <xf numFmtId="10" fontId="7" fillId="0" borderId="80" xfId="6" applyNumberFormat="1" applyFont="1" applyBorder="1"/>
    <xf numFmtId="10" fontId="7" fillId="0" borderId="79" xfId="6" applyNumberFormat="1" applyFont="1" applyBorder="1"/>
    <xf numFmtId="10" fontId="7" fillId="0" borderId="142" xfId="6" applyNumberFormat="1" applyFont="1" applyBorder="1"/>
    <xf numFmtId="10" fontId="0" fillId="6" borderId="112" xfId="0" applyNumberFormat="1" applyFill="1" applyBorder="1"/>
    <xf numFmtId="3" fontId="0" fillId="6" borderId="112" xfId="0" applyNumberFormat="1" applyFill="1" applyBorder="1"/>
    <xf numFmtId="10" fontId="0" fillId="6" borderId="111" xfId="0" applyNumberFormat="1" applyFill="1" applyBorder="1"/>
    <xf numFmtId="3" fontId="7" fillId="6" borderId="143" xfId="6" applyNumberFormat="1" applyFont="1" applyFill="1" applyBorder="1"/>
    <xf numFmtId="10" fontId="7" fillId="6" borderId="11" xfId="6" applyNumberFormat="1" applyFont="1" applyFill="1" applyBorder="1"/>
    <xf numFmtId="0" fontId="7" fillId="0" borderId="31" xfId="0" applyFont="1" applyBorder="1" applyAlignment="1">
      <alignment vertical="center"/>
    </xf>
    <xf numFmtId="9" fontId="7" fillId="0" borderId="32" xfId="13" applyFont="1" applyBorder="1" applyAlignment="1">
      <alignment vertical="center"/>
    </xf>
    <xf numFmtId="10" fontId="7" fillId="0" borderId="22" xfId="13" applyNumberFormat="1" applyFont="1" applyBorder="1" applyAlignment="1">
      <alignment horizontal="right"/>
    </xf>
    <xf numFmtId="10" fontId="7" fillId="0" borderId="109" xfId="13" applyNumberFormat="1" applyFont="1" applyBorder="1" applyAlignment="1">
      <alignment horizontal="right"/>
    </xf>
    <xf numFmtId="1" fontId="7" fillId="0" borderId="3" xfId="0" applyNumberFormat="1" applyFont="1" applyBorder="1" applyAlignment="1">
      <alignment horizontal="center"/>
    </xf>
    <xf numFmtId="38" fontId="7" fillId="0" borderId="17" xfId="6" applyNumberFormat="1" applyFont="1" applyBorder="1"/>
    <xf numFmtId="43" fontId="7" fillId="6" borderId="50" xfId="11" applyNumberFormat="1" applyFont="1" applyFill="1" applyBorder="1" applyAlignment="1">
      <alignment horizontal="left" vertical="center"/>
    </xf>
    <xf numFmtId="43" fontId="7" fillId="6" borderId="54" xfId="11" applyNumberFormat="1" applyFont="1" applyFill="1" applyBorder="1" applyAlignment="1">
      <alignment horizontal="left" vertical="center"/>
    </xf>
    <xf numFmtId="43" fontId="7" fillId="6" borderId="32" xfId="11" applyNumberFormat="1" applyFont="1" applyFill="1" applyBorder="1" applyAlignment="1">
      <alignment horizontal="left" vertical="center"/>
    </xf>
    <xf numFmtId="37" fontId="6" fillId="0" borderId="41" xfId="11" applyNumberFormat="1" applyFont="1" applyBorder="1" applyAlignment="1">
      <alignment horizontal="center" vertical="center"/>
    </xf>
    <xf numFmtId="0" fontId="6" fillId="0" borderId="5" xfId="11" applyFont="1" applyBorder="1" applyAlignment="1">
      <alignment vertical="center"/>
    </xf>
    <xf numFmtId="37" fontId="6" fillId="0" borderId="37" xfId="11" applyNumberFormat="1" applyFont="1" applyBorder="1" applyAlignment="1">
      <alignment vertical="center"/>
    </xf>
    <xf numFmtId="0" fontId="4" fillId="0" borderId="27" xfId="0" applyFont="1" applyBorder="1"/>
    <xf numFmtId="0" fontId="7" fillId="0" borderId="19" xfId="0" applyFont="1" applyBorder="1" applyAlignment="1">
      <alignment horizontal="center"/>
    </xf>
    <xf numFmtId="166" fontId="7" fillId="0" borderId="22" xfId="6" applyNumberFormat="1" applyFont="1" applyBorder="1" applyAlignment="1">
      <alignment horizontal="right"/>
    </xf>
    <xf numFmtId="0" fontId="4" fillId="0" borderId="30" xfId="0" applyFont="1" applyBorder="1"/>
    <xf numFmtId="43" fontId="7" fillId="0" borderId="115" xfId="13" applyNumberFormat="1" applyFont="1" applyBorder="1"/>
    <xf numFmtId="171" fontId="7" fillId="0" borderId="115" xfId="6" applyNumberFormat="1" applyFont="1" applyBorder="1"/>
    <xf numFmtId="165" fontId="7" fillId="0" borderId="115" xfId="13" applyNumberFormat="1" applyFont="1" applyBorder="1"/>
    <xf numFmtId="10" fontId="7" fillId="0" borderId="144" xfId="13" applyNumberFormat="1" applyFont="1" applyBorder="1"/>
    <xf numFmtId="0" fontId="6" fillId="0" borderId="27" xfId="0" applyFont="1" applyBorder="1"/>
    <xf numFmtId="0" fontId="18" fillId="0" borderId="27" xfId="0" applyFont="1" applyBorder="1"/>
    <xf numFmtId="166" fontId="6" fillId="0" borderId="22" xfId="6" applyNumberFormat="1" applyFont="1" applyBorder="1" applyAlignment="1">
      <alignment horizontal="right"/>
    </xf>
    <xf numFmtId="10" fontId="6" fillId="0" borderId="22" xfId="13" applyNumberFormat="1" applyFont="1" applyBorder="1" applyAlignment="1">
      <alignment horizontal="right"/>
    </xf>
    <xf numFmtId="10" fontId="6" fillId="0" borderId="109" xfId="13" applyNumberFormat="1" applyFont="1" applyBorder="1" applyAlignment="1">
      <alignment horizontal="right"/>
    </xf>
    <xf numFmtId="43" fontId="7" fillId="0" borderId="22" xfId="13" applyNumberFormat="1" applyFont="1" applyBorder="1"/>
    <xf numFmtId="40" fontId="7" fillId="0" borderId="22" xfId="13" applyNumberFormat="1" applyFont="1" applyBorder="1"/>
    <xf numFmtId="43" fontId="7" fillId="0" borderId="22" xfId="0" applyNumberFormat="1" applyFont="1" applyBorder="1"/>
    <xf numFmtId="43" fontId="7" fillId="0" borderId="27" xfId="6" applyNumberFormat="1" applyFont="1" applyBorder="1"/>
    <xf numFmtId="10" fontId="7" fillId="0" borderId="27" xfId="0" applyNumberFormat="1" applyFont="1" applyBorder="1"/>
    <xf numFmtId="10" fontId="7" fillId="0" borderId="101" xfId="0" applyNumberFormat="1" applyFont="1" applyBorder="1"/>
    <xf numFmtId="0" fontId="9" fillId="0" borderId="39" xfId="0" applyFont="1" applyBorder="1"/>
    <xf numFmtId="0" fontId="7" fillId="0" borderId="35" xfId="0" applyFont="1" applyBorder="1"/>
    <xf numFmtId="0" fontId="4" fillId="0" borderId="145" xfId="0" applyFont="1" applyBorder="1"/>
    <xf numFmtId="0" fontId="6" fillId="0" borderId="5" xfId="0" applyFont="1" applyBorder="1" applyAlignment="1">
      <alignment horizontal="left"/>
    </xf>
    <xf numFmtId="9" fontId="6" fillId="0" borderId="5" xfId="13" applyFont="1" applyBorder="1"/>
    <xf numFmtId="0" fontId="6" fillId="0" borderId="5" xfId="0" quotePrefix="1" applyFont="1" applyBorder="1" applyAlignment="1">
      <alignment horizontal="left"/>
    </xf>
    <xf numFmtId="10" fontId="7" fillId="6" borderId="52" xfId="13" applyNumberFormat="1" applyFont="1" applyFill="1" applyBorder="1"/>
    <xf numFmtId="168" fontId="7" fillId="6" borderId="38" xfId="13" applyNumberFormat="1" applyFont="1" applyFill="1" applyBorder="1"/>
    <xf numFmtId="168" fontId="7" fillId="6" borderId="38" xfId="6" applyNumberFormat="1" applyFont="1" applyFill="1" applyBorder="1"/>
    <xf numFmtId="10" fontId="7" fillId="5" borderId="32" xfId="0" quotePrefix="1" applyNumberFormat="1" applyFont="1" applyFill="1" applyBorder="1" applyAlignment="1" applyProtection="1">
      <alignment horizontal="center"/>
      <protection locked="0"/>
    </xf>
    <xf numFmtId="41" fontId="7" fillId="10" borderId="75" xfId="7" applyNumberFormat="1" applyFont="1" applyFill="1" applyBorder="1" applyProtection="1">
      <protection locked="0"/>
    </xf>
    <xf numFmtId="41" fontId="7" fillId="4" borderId="54" xfId="5" applyNumberFormat="1" applyFont="1" applyFill="1" applyBorder="1" applyProtection="1">
      <protection locked="0"/>
    </xf>
    <xf numFmtId="41" fontId="7" fillId="0" borderId="54" xfId="6" applyNumberFormat="1" applyFont="1" applyBorder="1"/>
    <xf numFmtId="41" fontId="7" fillId="0" borderId="54" xfId="5" applyNumberFormat="1" applyFont="1" applyBorder="1"/>
    <xf numFmtId="41" fontId="7" fillId="11" borderId="54" xfId="6" applyNumberFormat="1" applyFont="1" applyFill="1" applyBorder="1"/>
    <xf numFmtId="41" fontId="7" fillId="11" borderId="54" xfId="5" applyNumberFormat="1" applyFont="1" applyFill="1" applyBorder="1"/>
    <xf numFmtId="41" fontId="7" fillId="4" borderId="54" xfId="6" applyNumberFormat="1" applyFont="1" applyFill="1" applyBorder="1" applyProtection="1">
      <protection locked="0"/>
    </xf>
    <xf numFmtId="41" fontId="7" fillId="3" borderId="54" xfId="6" applyNumberFormat="1" applyFont="1" applyFill="1" applyBorder="1"/>
    <xf numFmtId="41" fontId="7" fillId="0" borderId="63" xfId="5" applyNumberFormat="1" applyFont="1" applyBorder="1"/>
    <xf numFmtId="41" fontId="7" fillId="0" borderId="63" xfId="6" applyNumberFormat="1" applyFont="1" applyBorder="1"/>
    <xf numFmtId="41" fontId="7" fillId="4" borderId="112" xfId="7" applyNumberFormat="1" applyFont="1" applyFill="1" applyBorder="1" applyProtection="1">
      <protection locked="0"/>
    </xf>
    <xf numFmtId="41" fontId="7" fillId="4" borderId="7" xfId="7" applyNumberFormat="1" applyFont="1" applyFill="1" applyBorder="1" applyProtection="1">
      <protection locked="0"/>
    </xf>
    <xf numFmtId="42" fontId="7" fillId="10" borderId="106" xfId="6" applyNumberFormat="1" applyFont="1" applyFill="1" applyBorder="1" applyProtection="1">
      <protection locked="0"/>
    </xf>
    <xf numFmtId="42" fontId="7" fillId="4" borderId="7" xfId="6" applyNumberFormat="1" applyFont="1" applyFill="1" applyBorder="1" applyProtection="1">
      <protection locked="0"/>
    </xf>
    <xf numFmtId="42" fontId="7" fillId="4" borderId="146" xfId="6" applyNumberFormat="1" applyFont="1" applyFill="1" applyBorder="1" applyProtection="1">
      <protection locked="0"/>
    </xf>
    <xf numFmtId="42" fontId="7" fillId="4" borderId="26" xfId="6" applyNumberFormat="1" applyFont="1" applyFill="1" applyBorder="1" applyProtection="1">
      <protection locked="0"/>
    </xf>
    <xf numFmtId="41" fontId="7" fillId="5" borderId="112" xfId="6" applyNumberFormat="1" applyFont="1" applyFill="1" applyBorder="1" applyProtection="1">
      <protection locked="0"/>
    </xf>
    <xf numFmtId="41" fontId="7" fillId="5" borderId="108" xfId="6" applyNumberFormat="1" applyFont="1" applyFill="1" applyBorder="1" applyProtection="1">
      <protection locked="0"/>
    </xf>
    <xf numFmtId="41" fontId="7" fillId="0" borderId="108" xfId="6" applyNumberFormat="1" applyFont="1" applyBorder="1"/>
    <xf numFmtId="41" fontId="7" fillId="0" borderId="147" xfId="6" applyNumberFormat="1" applyFont="1" applyBorder="1"/>
    <xf numFmtId="41" fontId="7" fillId="0" borderId="55" xfId="6" applyNumberFormat="1" applyFont="1" applyBorder="1"/>
    <xf numFmtId="41" fontId="7" fillId="5" borderId="148" xfId="6" applyNumberFormat="1" applyFont="1" applyFill="1" applyBorder="1" applyProtection="1">
      <protection locked="0"/>
    </xf>
    <xf numFmtId="41" fontId="7" fillId="5" borderId="21" xfId="6" applyNumberFormat="1" applyFont="1" applyFill="1" applyBorder="1" applyProtection="1">
      <protection locked="0"/>
    </xf>
    <xf numFmtId="41" fontId="7" fillId="5" borderId="112" xfId="13" applyNumberFormat="1" applyFont="1" applyFill="1" applyBorder="1" applyProtection="1">
      <protection locked="0"/>
    </xf>
    <xf numFmtId="41" fontId="7" fillId="5" borderId="21" xfId="13" applyNumberFormat="1" applyFont="1" applyFill="1" applyBorder="1" applyProtection="1">
      <protection locked="0"/>
    </xf>
    <xf numFmtId="41" fontId="7" fillId="5" borderId="115" xfId="6" applyNumberFormat="1" applyFont="1" applyFill="1" applyBorder="1" applyProtection="1">
      <protection locked="0"/>
    </xf>
    <xf numFmtId="41" fontId="7" fillId="5" borderId="76" xfId="6" applyNumberFormat="1" applyFont="1" applyFill="1" applyBorder="1" applyProtection="1">
      <protection locked="0"/>
    </xf>
    <xf numFmtId="41" fontId="7" fillId="5" borderId="76" xfId="13" applyNumberFormat="1" applyFont="1" applyFill="1" applyBorder="1" applyProtection="1">
      <protection locked="0"/>
    </xf>
    <xf numFmtId="41" fontId="7" fillId="5" borderId="149" xfId="6" applyNumberFormat="1" applyFont="1" applyFill="1" applyBorder="1" applyProtection="1">
      <protection locked="0"/>
    </xf>
    <xf numFmtId="41" fontId="7" fillId="5" borderId="7" xfId="6" applyNumberFormat="1" applyFont="1" applyFill="1" applyBorder="1" applyProtection="1">
      <protection locked="0"/>
    </xf>
    <xf numFmtId="41" fontId="7" fillId="5" borderId="7" xfId="13" applyNumberFormat="1" applyFont="1" applyFill="1" applyBorder="1" applyProtection="1">
      <protection locked="0"/>
    </xf>
    <xf numFmtId="41" fontId="7" fillId="5" borderId="26" xfId="6" applyNumberFormat="1" applyFont="1" applyFill="1" applyBorder="1" applyProtection="1">
      <protection locked="0"/>
    </xf>
    <xf numFmtId="41" fontId="7" fillId="5" borderId="75" xfId="6" applyNumberFormat="1" applyFont="1" applyFill="1" applyBorder="1" applyProtection="1">
      <protection locked="0"/>
    </xf>
    <xf numFmtId="41" fontId="7" fillId="5" borderId="112" xfId="7" applyNumberFormat="1" applyFont="1" applyFill="1" applyBorder="1" applyProtection="1">
      <protection locked="0"/>
    </xf>
    <xf numFmtId="41" fontId="7" fillId="5" borderId="75" xfId="13" applyNumberFormat="1" applyFont="1" applyFill="1" applyBorder="1" applyProtection="1">
      <protection locked="0"/>
    </xf>
    <xf numFmtId="41" fontId="7" fillId="5" borderId="21" xfId="3" applyNumberFormat="1" applyFont="1" applyFill="1" applyBorder="1" applyProtection="1">
      <protection locked="0"/>
    </xf>
    <xf numFmtId="41" fontId="7" fillId="5" borderId="21" xfId="1" applyNumberFormat="1" applyFont="1" applyFill="1" applyBorder="1" applyProtection="1">
      <protection locked="0"/>
    </xf>
    <xf numFmtId="41" fontId="7" fillId="5" borderId="21" xfId="0" applyNumberFormat="1" applyFont="1" applyFill="1" applyBorder="1" applyProtection="1">
      <protection locked="0"/>
    </xf>
    <xf numFmtId="41" fontId="7" fillId="5" borderId="0" xfId="0" applyNumberFormat="1" applyFont="1" applyFill="1" applyProtection="1">
      <protection locked="0"/>
    </xf>
    <xf numFmtId="41" fontId="7" fillId="5" borderId="31" xfId="13" applyNumberFormat="1" applyFont="1" applyFill="1" applyBorder="1" applyProtection="1">
      <protection locked="0"/>
    </xf>
    <xf numFmtId="41" fontId="7" fillId="5" borderId="31" xfId="6" applyNumberFormat="1" applyFont="1" applyFill="1" applyBorder="1" applyProtection="1">
      <protection locked="0"/>
    </xf>
    <xf numFmtId="41" fontId="7" fillId="5" borderId="31" xfId="1" applyNumberFormat="1" applyFont="1" applyFill="1" applyBorder="1" applyProtection="1">
      <protection locked="0"/>
    </xf>
    <xf numFmtId="41" fontId="7" fillId="5" borderId="31" xfId="3" applyNumberFormat="1" applyFont="1" applyFill="1" applyBorder="1" applyProtection="1">
      <protection locked="0"/>
    </xf>
    <xf numFmtId="41" fontId="7" fillId="5" borderId="30" xfId="6" applyNumberFormat="1" applyFont="1" applyFill="1" applyBorder="1" applyProtection="1">
      <protection locked="0"/>
    </xf>
    <xf numFmtId="41" fontId="7" fillId="5" borderId="76" xfId="3" applyNumberFormat="1" applyFont="1" applyFill="1" applyBorder="1" applyProtection="1">
      <protection locked="0"/>
    </xf>
    <xf numFmtId="41" fontId="7" fillId="5" borderId="76" xfId="1" applyNumberFormat="1" applyFont="1" applyFill="1" applyBorder="1" applyProtection="1">
      <protection locked="0"/>
    </xf>
    <xf numFmtId="41" fontId="7" fillId="5" borderId="49" xfId="13" applyNumberFormat="1" applyFont="1" applyFill="1" applyBorder="1" applyProtection="1">
      <protection locked="0"/>
    </xf>
    <xf numFmtId="41" fontId="7" fillId="5" borderId="49" xfId="6" applyNumberFormat="1" applyFont="1" applyFill="1" applyBorder="1" applyProtection="1">
      <protection locked="0"/>
    </xf>
    <xf numFmtId="41" fontId="7" fillId="5" borderId="49" xfId="1" applyNumberFormat="1" applyFont="1" applyFill="1" applyBorder="1" applyProtection="1">
      <protection locked="0"/>
    </xf>
    <xf numFmtId="41" fontId="7" fillId="5" borderId="49" xfId="3" applyNumberFormat="1" applyFont="1" applyFill="1" applyBorder="1" applyProtection="1">
      <protection locked="0"/>
    </xf>
    <xf numFmtId="41" fontId="7" fillId="5" borderId="7" xfId="3" applyNumberFormat="1" applyFont="1" applyFill="1" applyBorder="1" applyProtection="1">
      <protection locked="0"/>
    </xf>
    <xf numFmtId="41" fontId="7" fillId="5" borderId="7" xfId="1" applyNumberFormat="1" applyFont="1" applyFill="1" applyBorder="1" applyProtection="1">
      <protection locked="0"/>
    </xf>
    <xf numFmtId="41" fontId="7" fillId="5" borderId="54" xfId="13" applyNumberFormat="1" applyFont="1" applyFill="1" applyBorder="1" applyProtection="1">
      <protection locked="0"/>
    </xf>
    <xf numFmtId="41" fontId="7" fillId="5" borderId="54" xfId="6" applyNumberFormat="1" applyFont="1" applyFill="1" applyBorder="1" applyProtection="1">
      <protection locked="0"/>
    </xf>
    <xf numFmtId="41" fontId="7" fillId="5" borderId="54" xfId="1" applyNumberFormat="1" applyFont="1" applyFill="1" applyBorder="1" applyProtection="1">
      <protection locked="0"/>
    </xf>
    <xf numFmtId="41" fontId="7" fillId="5" borderId="54" xfId="3" applyNumberFormat="1" applyFont="1" applyFill="1" applyBorder="1" applyProtection="1">
      <protection locked="0"/>
    </xf>
    <xf numFmtId="41" fontId="7" fillId="5" borderId="150" xfId="6" applyNumberFormat="1" applyFont="1" applyFill="1" applyBorder="1" applyProtection="1">
      <protection locked="0"/>
    </xf>
    <xf numFmtId="41" fontId="7" fillId="5" borderId="151" xfId="6" applyNumberFormat="1" applyFont="1" applyFill="1" applyBorder="1" applyProtection="1">
      <protection locked="0"/>
    </xf>
    <xf numFmtId="41" fontId="7" fillId="5" borderId="0" xfId="6" applyNumberFormat="1" applyFont="1" applyFill="1" applyProtection="1">
      <protection locked="0"/>
    </xf>
    <xf numFmtId="41" fontId="0" fillId="5" borderId="150" xfId="0" applyNumberFormat="1" applyFill="1" applyBorder="1" applyProtection="1">
      <protection locked="0"/>
    </xf>
    <xf numFmtId="41" fontId="7" fillId="5" borderId="32" xfId="6" applyNumberFormat="1" applyFont="1" applyFill="1" applyBorder="1" applyProtection="1">
      <protection locked="0"/>
    </xf>
    <xf numFmtId="41" fontId="7" fillId="5" borderId="119" xfId="6" applyNumberFormat="1" applyFont="1" applyFill="1" applyBorder="1" applyProtection="1">
      <protection locked="0"/>
    </xf>
    <xf numFmtId="41" fontId="7" fillId="0" borderId="54" xfId="13" applyNumberFormat="1" applyFont="1" applyBorder="1"/>
    <xf numFmtId="41" fontId="7" fillId="4" borderId="76" xfId="7" applyNumberFormat="1" applyFont="1" applyFill="1" applyBorder="1" applyProtection="1">
      <protection locked="0"/>
    </xf>
    <xf numFmtId="41" fontId="7" fillId="4" borderId="7" xfId="6" applyNumberFormat="1" applyFont="1" applyFill="1" applyBorder="1" applyProtection="1">
      <protection locked="0"/>
    </xf>
    <xf numFmtId="41" fontId="7" fillId="4" borderId="26" xfId="6" applyNumberFormat="1" applyFont="1" applyFill="1" applyBorder="1" applyProtection="1">
      <protection locked="0"/>
    </xf>
    <xf numFmtId="41" fontId="7" fillId="10" borderId="62" xfId="6" applyNumberFormat="1" applyFont="1" applyFill="1" applyBorder="1" applyProtection="1">
      <protection locked="0"/>
    </xf>
    <xf numFmtId="41" fontId="7" fillId="0" borderId="75" xfId="6" applyNumberFormat="1" applyFont="1" applyBorder="1"/>
    <xf numFmtId="41" fontId="7" fillId="0" borderId="7" xfId="5" applyNumberFormat="1" applyFont="1" applyBorder="1"/>
    <xf numFmtId="41" fontId="7" fillId="0" borderId="75" xfId="5" applyNumberFormat="1" applyFont="1" applyBorder="1"/>
    <xf numFmtId="41" fontId="7" fillId="0" borderId="76" xfId="6" applyNumberFormat="1" applyFont="1" applyBorder="1"/>
    <xf numFmtId="41" fontId="7" fillId="0" borderId="7" xfId="6" applyNumberFormat="1" applyFont="1" applyBorder="1"/>
    <xf numFmtId="41" fontId="7" fillId="0" borderId="75" xfId="13" applyNumberFormat="1" applyFont="1" applyBorder="1"/>
    <xf numFmtId="41" fontId="7" fillId="0" borderId="76" xfId="13" applyNumberFormat="1" applyFont="1" applyBorder="1"/>
    <xf numFmtId="41" fontId="7" fillId="0" borderId="0" xfId="5" applyNumberFormat="1" applyFont="1"/>
    <xf numFmtId="41" fontId="7" fillId="0" borderId="0" xfId="6" applyNumberFormat="1" applyFont="1"/>
    <xf numFmtId="41" fontId="7" fillId="0" borderId="106" xfId="5" applyNumberFormat="1" applyFont="1" applyBorder="1"/>
    <xf numFmtId="41" fontId="7" fillId="0" borderId="106" xfId="6" applyNumberFormat="1" applyFont="1" applyBorder="1"/>
    <xf numFmtId="43" fontId="7" fillId="0" borderId="21" xfId="6" applyNumberFormat="1" applyFont="1" applyBorder="1"/>
    <xf numFmtId="42" fontId="28" fillId="0" borderId="90" xfId="2" applyNumberFormat="1" applyFont="1" applyBorder="1"/>
    <xf numFmtId="42" fontId="28" fillId="0" borderId="152" xfId="2" applyNumberFormat="1" applyFont="1" applyBorder="1"/>
    <xf numFmtId="42" fontId="28" fillId="0" borderId="84" xfId="2" applyNumberFormat="1" applyFont="1" applyBorder="1"/>
    <xf numFmtId="42" fontId="28" fillId="0" borderId="130" xfId="2" applyNumberFormat="1" applyFont="1" applyBorder="1"/>
    <xf numFmtId="41" fontId="28" fillId="12" borderId="15" xfId="10" applyNumberFormat="1" applyFont="1" applyFill="1" applyBorder="1"/>
    <xf numFmtId="41" fontId="28" fillId="12" borderId="91" xfId="10" applyNumberFormat="1" applyFont="1" applyFill="1" applyBorder="1"/>
    <xf numFmtId="41" fontId="28" fillId="12" borderId="129" xfId="10" applyNumberFormat="1" applyFont="1" applyFill="1" applyBorder="1"/>
    <xf numFmtId="41" fontId="28" fillId="12" borderId="5" xfId="10" applyNumberFormat="1" applyFont="1" applyFill="1" applyBorder="1"/>
    <xf numFmtId="41" fontId="28" fillId="12" borderId="19" xfId="10" applyNumberFormat="1" applyFont="1" applyFill="1" applyBorder="1"/>
    <xf numFmtId="41" fontId="28" fillId="12" borderId="5" xfId="2" applyNumberFormat="1" applyFont="1" applyFill="1" applyBorder="1"/>
    <xf numFmtId="41" fontId="28" fillId="12" borderId="19" xfId="2" applyNumberFormat="1" applyFont="1" applyFill="1" applyBorder="1"/>
    <xf numFmtId="43" fontId="7" fillId="0" borderId="31" xfId="2" applyNumberFormat="1" applyFont="1" applyBorder="1"/>
    <xf numFmtId="0" fontId="7" fillId="0" borderId="82" xfId="10" applyFont="1" applyBorder="1"/>
    <xf numFmtId="0" fontId="7" fillId="0" borderId="27" xfId="10" applyFont="1" applyBorder="1"/>
    <xf numFmtId="164" fontId="7" fillId="6" borderId="54" xfId="11" applyNumberFormat="1" applyFont="1" applyFill="1" applyBorder="1" applyAlignment="1">
      <alignment horizontal="left" vertical="center"/>
    </xf>
    <xf numFmtId="41" fontId="7" fillId="13" borderId="54" xfId="6" applyNumberFormat="1" applyFont="1" applyFill="1" applyBorder="1" applyProtection="1">
      <protection locked="0"/>
    </xf>
    <xf numFmtId="41" fontId="7" fillId="13" borderId="54" xfId="13" applyNumberFormat="1" applyFont="1" applyFill="1" applyBorder="1" applyProtection="1">
      <protection locked="0"/>
    </xf>
    <xf numFmtId="41" fontId="7" fillId="0" borderId="32" xfId="6" applyNumberFormat="1" applyFont="1" applyBorder="1"/>
    <xf numFmtId="41" fontId="7" fillId="13" borderId="32" xfId="6" applyNumberFormat="1" applyFont="1" applyFill="1" applyBorder="1" applyProtection="1">
      <protection locked="0"/>
    </xf>
    <xf numFmtId="41" fontId="7" fillId="6" borderId="32" xfId="6" applyNumberFormat="1" applyFont="1" applyFill="1" applyBorder="1"/>
    <xf numFmtId="41" fontId="7" fillId="13" borderId="32" xfId="13" applyNumberFormat="1" applyFont="1" applyFill="1" applyBorder="1" applyProtection="1">
      <protection locked="0"/>
    </xf>
    <xf numFmtId="41" fontId="7" fillId="6" borderId="54" xfId="6" applyNumberFormat="1" applyFont="1" applyFill="1" applyBorder="1"/>
    <xf numFmtId="43" fontId="7" fillId="6" borderId="54" xfId="13" applyNumberFormat="1" applyFont="1" applyFill="1" applyBorder="1"/>
    <xf numFmtId="43" fontId="7" fillId="6" borderId="32" xfId="13" applyNumberFormat="1" applyFont="1" applyFill="1" applyBorder="1"/>
    <xf numFmtId="43" fontId="7" fillId="6" borderId="54" xfId="6" applyNumberFormat="1" applyFont="1" applyFill="1" applyBorder="1"/>
    <xf numFmtId="43" fontId="7" fillId="6" borderId="112" xfId="6" applyNumberFormat="1" applyFont="1" applyFill="1" applyBorder="1"/>
    <xf numFmtId="43" fontId="7" fillId="6" borderId="108" xfId="6" applyNumberFormat="1" applyFont="1" applyFill="1" applyBorder="1"/>
    <xf numFmtId="43" fontId="7" fillId="6" borderId="75" xfId="6" applyNumberFormat="1" applyFont="1" applyFill="1" applyBorder="1"/>
    <xf numFmtId="43" fontId="7" fillId="6" borderId="116" xfId="6" applyNumberFormat="1" applyFont="1" applyFill="1" applyBorder="1"/>
    <xf numFmtId="41" fontId="7" fillId="0" borderId="63" xfId="13" applyNumberFormat="1" applyFont="1" applyBorder="1"/>
    <xf numFmtId="41" fontId="7" fillId="13" borderId="7" xfId="6" applyNumberFormat="1" applyFont="1" applyFill="1" applyBorder="1" applyProtection="1">
      <protection locked="0"/>
    </xf>
    <xf numFmtId="41" fontId="7" fillId="13" borderId="7" xfId="13" applyNumberFormat="1" applyFont="1" applyFill="1" applyBorder="1" applyProtection="1">
      <protection locked="0"/>
    </xf>
    <xf numFmtId="41" fontId="7" fillId="13" borderId="26" xfId="13" applyNumberFormat="1" applyFont="1" applyFill="1" applyBorder="1" applyProtection="1">
      <protection locked="0"/>
    </xf>
    <xf numFmtId="41" fontId="7" fillId="13" borderId="75" xfId="13" applyNumberFormat="1" applyFont="1" applyFill="1" applyBorder="1" applyProtection="1">
      <protection locked="0"/>
    </xf>
    <xf numFmtId="41" fontId="7" fillId="13" borderId="116" xfId="13" applyNumberFormat="1" applyFont="1" applyFill="1" applyBorder="1" applyProtection="1">
      <protection locked="0"/>
    </xf>
    <xf numFmtId="41" fontId="7" fillId="13" borderId="112" xfId="13" applyNumberFormat="1" applyFont="1" applyFill="1" applyBorder="1" applyProtection="1">
      <protection locked="0"/>
    </xf>
    <xf numFmtId="41" fontId="7" fillId="13" borderId="108" xfId="13" applyNumberFormat="1" applyFont="1" applyFill="1" applyBorder="1" applyProtection="1">
      <protection locked="0"/>
    </xf>
    <xf numFmtId="42" fontId="7" fillId="0" borderId="131" xfId="13" applyNumberFormat="1" applyFont="1" applyBorder="1"/>
    <xf numFmtId="41" fontId="7" fillId="0" borderId="7" xfId="13" applyNumberFormat="1" applyFont="1" applyBorder="1"/>
    <xf numFmtId="41" fontId="7" fillId="0" borderId="62" xfId="7" applyNumberFormat="1" applyFont="1" applyBorder="1"/>
    <xf numFmtId="41" fontId="7" fillId="0" borderId="75" xfId="7" applyNumberFormat="1" applyFont="1" applyBorder="1"/>
    <xf numFmtId="41" fontId="7" fillId="0" borderId="149" xfId="6" applyNumberFormat="1" applyFont="1" applyBorder="1"/>
    <xf numFmtId="41" fontId="7" fillId="0" borderId="26" xfId="6" applyNumberFormat="1" applyFont="1" applyBorder="1"/>
    <xf numFmtId="5" fontId="7" fillId="0" borderId="105" xfId="6" applyFont="1" applyBorder="1"/>
    <xf numFmtId="41" fontId="7" fillId="3" borderId="76" xfId="7" applyNumberFormat="1" applyFont="1" applyFill="1" applyBorder="1"/>
    <xf numFmtId="41" fontId="7" fillId="6" borderId="54" xfId="13" applyNumberFormat="1" applyFont="1" applyFill="1" applyBorder="1"/>
    <xf numFmtId="41" fontId="7" fillId="3" borderId="75" xfId="13" applyNumberFormat="1" applyFont="1" applyFill="1" applyBorder="1"/>
    <xf numFmtId="41" fontId="7" fillId="0" borderId="31" xfId="6" applyNumberFormat="1" applyFont="1" applyBorder="1"/>
    <xf numFmtId="41" fontId="7" fillId="0" borderId="31" xfId="5" applyNumberFormat="1" applyFont="1" applyBorder="1"/>
    <xf numFmtId="41" fontId="7" fillId="0" borderId="31" xfId="13" applyNumberFormat="1" applyFont="1" applyBorder="1"/>
    <xf numFmtId="41" fontId="7" fillId="6" borderId="32" xfId="13" applyNumberFormat="1" applyFont="1" applyFill="1" applyBorder="1"/>
    <xf numFmtId="41" fontId="7" fillId="0" borderId="62" xfId="6" applyNumberFormat="1" applyFont="1" applyBorder="1"/>
    <xf numFmtId="41" fontId="7" fillId="0" borderId="55" xfId="13" applyNumberFormat="1" applyFont="1" applyBorder="1"/>
    <xf numFmtId="41" fontId="7" fillId="13" borderId="76" xfId="6" applyNumberFormat="1" applyFont="1" applyFill="1" applyBorder="1" applyProtection="1">
      <protection locked="0"/>
    </xf>
    <xf numFmtId="41" fontId="7" fillId="0" borderId="26" xfId="13" applyNumberFormat="1" applyFont="1" applyBorder="1"/>
    <xf numFmtId="41" fontId="7" fillId="13" borderId="11" xfId="13" applyNumberFormat="1" applyFont="1" applyFill="1" applyBorder="1" applyProtection="1">
      <protection locked="0"/>
    </xf>
    <xf numFmtId="41" fontId="7" fillId="6" borderId="7" xfId="13" applyNumberFormat="1" applyFont="1" applyFill="1" applyBorder="1"/>
    <xf numFmtId="41" fontId="7" fillId="0" borderId="143" xfId="6" applyNumberFormat="1" applyFont="1" applyBorder="1"/>
    <xf numFmtId="41" fontId="7" fillId="6" borderId="76" xfId="6" applyNumberFormat="1" applyFont="1" applyFill="1" applyBorder="1"/>
    <xf numFmtId="41" fontId="7" fillId="0" borderId="21" xfId="6" applyNumberFormat="1" applyFont="1" applyBorder="1"/>
    <xf numFmtId="41" fontId="7" fillId="0" borderId="21" xfId="13" applyNumberFormat="1" applyFont="1" applyBorder="1"/>
    <xf numFmtId="41" fontId="7" fillId="5" borderId="116" xfId="6" applyNumberFormat="1" applyFont="1" applyFill="1" applyBorder="1" applyProtection="1">
      <protection locked="0"/>
    </xf>
    <xf numFmtId="41" fontId="7" fillId="5" borderId="75" xfId="3" applyNumberFormat="1" applyFont="1" applyFill="1" applyBorder="1" applyProtection="1">
      <protection locked="0"/>
    </xf>
    <xf numFmtId="41" fontId="7" fillId="5" borderId="75" xfId="1" applyNumberFormat="1" applyFont="1" applyFill="1" applyBorder="1" applyProtection="1">
      <protection locked="0"/>
    </xf>
    <xf numFmtId="41" fontId="7" fillId="5" borderId="32" xfId="13" applyNumberFormat="1" applyFont="1" applyFill="1" applyBorder="1" applyProtection="1">
      <protection locked="0"/>
    </xf>
    <xf numFmtId="41" fontId="7" fillId="5" borderId="32" xfId="1" applyNumberFormat="1" applyFont="1" applyFill="1" applyBorder="1" applyProtection="1">
      <protection locked="0"/>
    </xf>
    <xf numFmtId="41" fontId="7" fillId="5" borderId="32" xfId="3" applyNumberFormat="1" applyFont="1" applyFill="1" applyBorder="1" applyProtection="1">
      <protection locked="0"/>
    </xf>
    <xf numFmtId="41" fontId="7" fillId="5" borderId="112" xfId="3" applyNumberFormat="1" applyFont="1" applyFill="1" applyBorder="1" applyProtection="1">
      <protection locked="0"/>
    </xf>
    <xf numFmtId="41" fontId="7" fillId="5" borderId="112" xfId="1" applyNumberFormat="1" applyFont="1" applyFill="1" applyBorder="1" applyProtection="1">
      <protection locked="0"/>
    </xf>
    <xf numFmtId="41" fontId="7" fillId="5" borderId="112" xfId="0" applyNumberFormat="1" applyFont="1" applyFill="1" applyBorder="1" applyProtection="1">
      <protection locked="0"/>
    </xf>
    <xf numFmtId="41" fontId="7" fillId="5" borderId="153" xfId="0" applyNumberFormat="1" applyFont="1" applyFill="1" applyBorder="1" applyProtection="1">
      <protection locked="0"/>
    </xf>
    <xf numFmtId="41" fontId="7" fillId="5" borderId="63" xfId="6" applyNumberFormat="1" applyFont="1" applyFill="1" applyBorder="1" applyProtection="1">
      <protection locked="0"/>
    </xf>
    <xf numFmtId="41" fontId="7" fillId="5" borderId="154" xfId="6" applyNumberFormat="1" applyFont="1" applyFill="1" applyBorder="1" applyProtection="1">
      <protection locked="0"/>
    </xf>
    <xf numFmtId="41" fontId="7" fillId="5" borderId="20" xfId="6" applyNumberFormat="1" applyFont="1" applyFill="1" applyBorder="1" applyProtection="1">
      <protection locked="0"/>
    </xf>
    <xf numFmtId="41" fontId="7" fillId="5" borderId="78" xfId="6" applyNumberFormat="1" applyFont="1" applyFill="1" applyBorder="1" applyProtection="1">
      <protection locked="0"/>
    </xf>
    <xf numFmtId="41" fontId="7" fillId="5" borderId="70" xfId="6" applyNumberFormat="1" applyFont="1" applyFill="1" applyBorder="1" applyProtection="1">
      <protection locked="0"/>
    </xf>
    <xf numFmtId="10" fontId="7" fillId="0" borderId="105" xfId="6" applyNumberFormat="1" applyFont="1" applyBorder="1"/>
    <xf numFmtId="10" fontId="7" fillId="0" borderId="27" xfId="6" applyNumberFormat="1" applyFont="1" applyBorder="1"/>
    <xf numFmtId="10" fontId="7" fillId="0" borderId="23" xfId="6" applyNumberFormat="1" applyFont="1" applyBorder="1"/>
    <xf numFmtId="10" fontId="7" fillId="0" borderId="22" xfId="6" applyNumberFormat="1" applyFont="1" applyBorder="1"/>
    <xf numFmtId="10" fontId="40" fillId="0" borderId="0" xfId="13" applyNumberFormat="1" applyFont="1" applyAlignment="1">
      <alignment horizontal="left"/>
    </xf>
    <xf numFmtId="10" fontId="0" fillId="0" borderId="105" xfId="0" applyNumberFormat="1" applyBorder="1"/>
    <xf numFmtId="10" fontId="0" fillId="0" borderId="27" xfId="0" applyNumberFormat="1" applyBorder="1"/>
    <xf numFmtId="10" fontId="0" fillId="0" borderId="23" xfId="0" applyNumberFormat="1" applyBorder="1"/>
    <xf numFmtId="10" fontId="0" fillId="0" borderId="22" xfId="0" applyNumberFormat="1" applyBorder="1"/>
    <xf numFmtId="10" fontId="0" fillId="0" borderId="31" xfId="0" applyNumberFormat="1" applyBorder="1"/>
    <xf numFmtId="10" fontId="0" fillId="0" borderId="107" xfId="0" applyNumberFormat="1" applyBorder="1"/>
    <xf numFmtId="10" fontId="0" fillId="0" borderId="101" xfId="0" applyNumberFormat="1" applyBorder="1"/>
    <xf numFmtId="10" fontId="0" fillId="0" borderId="114" xfId="0" applyNumberFormat="1" applyBorder="1"/>
    <xf numFmtId="10" fontId="0" fillId="0" borderId="109" xfId="0" applyNumberFormat="1" applyBorder="1"/>
    <xf numFmtId="10" fontId="7" fillId="0" borderId="101" xfId="6" applyNumberFormat="1" applyFont="1" applyBorder="1"/>
    <xf numFmtId="10" fontId="0" fillId="0" borderId="51" xfId="0" applyNumberFormat="1" applyBorder="1"/>
    <xf numFmtId="10" fontId="0" fillId="0" borderId="19" xfId="0" applyNumberFormat="1" applyBorder="1"/>
    <xf numFmtId="41" fontId="7" fillId="4" borderId="147" xfId="5" applyNumberFormat="1" applyFont="1" applyFill="1" applyBorder="1" applyProtection="1">
      <protection locked="0"/>
    </xf>
    <xf numFmtId="41" fontId="7" fillId="4" borderId="106" xfId="5" applyNumberFormat="1" applyFont="1" applyFill="1" applyBorder="1" applyProtection="1">
      <protection locked="0"/>
    </xf>
    <xf numFmtId="41" fontId="7" fillId="4" borderId="155" xfId="5" applyNumberFormat="1" applyFont="1" applyFill="1" applyBorder="1" applyProtection="1">
      <protection locked="0"/>
    </xf>
    <xf numFmtId="38" fontId="7" fillId="0" borderId="30" xfId="6" applyNumberFormat="1" applyFont="1" applyBorder="1"/>
    <xf numFmtId="10" fontId="0" fillId="0" borderId="156" xfId="0" applyNumberFormat="1" applyBorder="1"/>
    <xf numFmtId="10" fontId="7" fillId="6" borderId="7" xfId="7" applyNumberFormat="1" applyFont="1" applyFill="1" applyBorder="1"/>
    <xf numFmtId="10" fontId="7" fillId="0" borderId="0" xfId="6" applyNumberFormat="1" applyFont="1"/>
    <xf numFmtId="10" fontId="7" fillId="0" borderId="30" xfId="6" applyNumberFormat="1" applyFont="1" applyBorder="1"/>
    <xf numFmtId="10" fontId="7" fillId="0" borderId="19" xfId="6" applyNumberFormat="1" applyFont="1" applyBorder="1"/>
    <xf numFmtId="10" fontId="7" fillId="0" borderId="129" xfId="6" applyNumberFormat="1" applyFont="1" applyBorder="1"/>
    <xf numFmtId="41" fontId="7" fillId="0" borderId="21" xfId="5" applyNumberFormat="1" applyFont="1" applyBorder="1"/>
    <xf numFmtId="43" fontId="7" fillId="6" borderId="7" xfId="6" applyNumberFormat="1" applyFont="1" applyFill="1" applyBorder="1"/>
    <xf numFmtId="41" fontId="7" fillId="0" borderId="11" xfId="6" applyNumberFormat="1" applyFont="1" applyBorder="1"/>
    <xf numFmtId="41" fontId="0" fillId="0" borderId="21" xfId="0" applyNumberFormat="1" applyBorder="1"/>
    <xf numFmtId="0" fontId="0" fillId="0" borderId="0" xfId="0" applyAlignment="1">
      <alignment vertical="top"/>
    </xf>
    <xf numFmtId="5" fontId="7" fillId="0" borderId="19" xfId="6" applyFont="1" applyBorder="1"/>
    <xf numFmtId="38" fontId="7" fillId="0" borderId="19" xfId="13" applyNumberFormat="1" applyFont="1" applyBorder="1"/>
    <xf numFmtId="38" fontId="7" fillId="0" borderId="129" xfId="6" applyNumberFormat="1" applyFont="1" applyBorder="1"/>
    <xf numFmtId="38" fontId="7" fillId="7" borderId="143" xfId="6" applyNumberFormat="1" applyFont="1" applyFill="1" applyBorder="1"/>
    <xf numFmtId="3" fontId="7" fillId="7" borderId="11" xfId="6" applyNumberFormat="1" applyFont="1" applyFill="1" applyBorder="1"/>
    <xf numFmtId="38" fontId="7" fillId="7" borderId="11" xfId="6" applyNumberFormat="1" applyFont="1" applyFill="1" applyBorder="1"/>
    <xf numFmtId="0" fontId="0" fillId="0" borderId="0" xfId="0" applyAlignment="1">
      <alignment horizontal="center"/>
    </xf>
    <xf numFmtId="41" fontId="7" fillId="6" borderId="7" xfId="6" applyNumberFormat="1" applyFont="1" applyFill="1" applyBorder="1"/>
    <xf numFmtId="41" fontId="7" fillId="7" borderId="76" xfId="6" applyNumberFormat="1" applyFont="1" applyFill="1" applyBorder="1"/>
    <xf numFmtId="41" fontId="7" fillId="7" borderId="149" xfId="6" applyNumberFormat="1" applyFont="1" applyFill="1" applyBorder="1"/>
    <xf numFmtId="41" fontId="7" fillId="5" borderId="116" xfId="7" applyNumberFormat="1" applyFont="1" applyFill="1" applyBorder="1" applyProtection="1">
      <protection locked="0"/>
    </xf>
    <xf numFmtId="41" fontId="7" fillId="6" borderId="112" xfId="6" applyNumberFormat="1" applyFont="1" applyFill="1" applyBorder="1"/>
    <xf numFmtId="41" fontId="7" fillId="6" borderId="108" xfId="6" applyNumberFormat="1" applyFont="1" applyFill="1" applyBorder="1"/>
    <xf numFmtId="41" fontId="7" fillId="0" borderId="55" xfId="7" applyNumberFormat="1" applyFont="1" applyBorder="1"/>
    <xf numFmtId="41" fontId="7" fillId="0" borderId="116" xfId="6" applyNumberFormat="1" applyFont="1" applyBorder="1"/>
    <xf numFmtId="41" fontId="7" fillId="10" borderId="106" xfId="6" applyNumberFormat="1" applyFont="1" applyFill="1" applyBorder="1" applyProtection="1">
      <protection locked="0"/>
    </xf>
    <xf numFmtId="41" fontId="7" fillId="10" borderId="157" xfId="6" applyNumberFormat="1" applyFont="1" applyFill="1" applyBorder="1" applyProtection="1">
      <protection locked="0"/>
    </xf>
    <xf numFmtId="41" fontId="7" fillId="10" borderId="11" xfId="6" applyNumberFormat="1" applyFont="1" applyFill="1" applyBorder="1" applyProtection="1">
      <protection locked="0"/>
    </xf>
    <xf numFmtId="0" fontId="7" fillId="0" borderId="119" xfId="0" applyFont="1" applyBorder="1"/>
    <xf numFmtId="42" fontId="7" fillId="0" borderId="131" xfId="6" applyNumberFormat="1" applyFont="1" applyBorder="1"/>
    <xf numFmtId="10" fontId="7" fillId="0" borderId="131" xfId="13" applyNumberFormat="1" applyFont="1" applyBorder="1"/>
    <xf numFmtId="10" fontId="7" fillId="0" borderId="110" xfId="13" applyNumberFormat="1" applyFont="1" applyBorder="1"/>
    <xf numFmtId="0" fontId="7" fillId="0" borderId="158" xfId="0" applyFont="1" applyBorder="1" applyAlignment="1">
      <alignment horizontal="left"/>
    </xf>
    <xf numFmtId="42" fontId="7" fillId="0" borderId="159" xfId="6" applyNumberFormat="1" applyFont="1" applyBorder="1"/>
    <xf numFmtId="0" fontId="29" fillId="0" borderId="104" xfId="0" applyFont="1" applyBorder="1"/>
    <xf numFmtId="41" fontId="7" fillId="0" borderId="146" xfId="5" applyNumberFormat="1" applyFont="1" applyBorder="1"/>
    <xf numFmtId="41" fontId="7" fillId="0" borderId="26" xfId="5" applyNumberFormat="1" applyFont="1" applyBorder="1"/>
    <xf numFmtId="10" fontId="7" fillId="6" borderId="160" xfId="13" applyNumberFormat="1" applyFont="1" applyFill="1" applyBorder="1"/>
    <xf numFmtId="10" fontId="7" fillId="6" borderId="161" xfId="13" applyNumberFormat="1" applyFont="1" applyFill="1" applyBorder="1"/>
    <xf numFmtId="0" fontId="7" fillId="0" borderId="162" xfId="0" applyFont="1" applyBorder="1"/>
    <xf numFmtId="0" fontId="7" fillId="0" borderId="115" xfId="0" applyFont="1" applyBorder="1" applyAlignment="1">
      <alignment horizontal="center"/>
    </xf>
    <xf numFmtId="0" fontId="7" fillId="0" borderId="159" xfId="0" applyFont="1" applyBorder="1"/>
    <xf numFmtId="0" fontId="7" fillId="0" borderId="131" xfId="0" applyFont="1" applyBorder="1"/>
    <xf numFmtId="0" fontId="7" fillId="0" borderId="131" xfId="0" applyFont="1" applyBorder="1" applyAlignment="1">
      <alignment horizontal="center"/>
    </xf>
    <xf numFmtId="0" fontId="6" fillId="0" borderId="163" xfId="0" applyFont="1" applyBorder="1"/>
    <xf numFmtId="0" fontId="7" fillId="0" borderId="133" xfId="0" applyFont="1" applyBorder="1"/>
    <xf numFmtId="42" fontId="7" fillId="0" borderId="133" xfId="6" applyNumberFormat="1" applyFont="1" applyBorder="1"/>
    <xf numFmtId="10" fontId="7" fillId="0" borderId="133" xfId="13" applyNumberFormat="1" applyFont="1" applyBorder="1"/>
    <xf numFmtId="10" fontId="7" fillId="0" borderId="134" xfId="13" applyNumberFormat="1" applyFont="1" applyBorder="1"/>
    <xf numFmtId="0" fontId="7" fillId="0" borderId="164" xfId="0" applyFont="1" applyBorder="1"/>
    <xf numFmtId="0" fontId="7" fillId="0" borderId="165" xfId="0" applyFont="1" applyBorder="1" applyAlignment="1">
      <alignment horizontal="center"/>
    </xf>
    <xf numFmtId="0" fontId="7" fillId="0" borderId="63" xfId="0" applyFont="1" applyBorder="1"/>
    <xf numFmtId="41" fontId="7" fillId="10" borderId="116" xfId="7" applyNumberFormat="1" applyFont="1" applyFill="1" applyBorder="1" applyProtection="1">
      <protection locked="0"/>
    </xf>
    <xf numFmtId="41" fontId="7" fillId="4" borderId="108" xfId="7" applyNumberFormat="1" applyFont="1" applyFill="1" applyBorder="1" applyProtection="1">
      <protection locked="0"/>
    </xf>
    <xf numFmtId="41" fontId="7" fillId="4" borderId="26" xfId="7" applyNumberFormat="1" applyFont="1" applyFill="1" applyBorder="1" applyProtection="1">
      <protection locked="0"/>
    </xf>
    <xf numFmtId="10" fontId="7" fillId="0" borderId="132" xfId="13" applyNumberFormat="1" applyFont="1" applyBorder="1"/>
    <xf numFmtId="0" fontId="7" fillId="0" borderId="56" xfId="0" applyFont="1" applyBorder="1"/>
    <xf numFmtId="0" fontId="7" fillId="0" borderId="78" xfId="0" applyFont="1" applyBorder="1" applyAlignment="1">
      <alignment horizontal="center"/>
    </xf>
    <xf numFmtId="0" fontId="7" fillId="0" borderId="158" xfId="0" applyFont="1" applyBorder="1"/>
    <xf numFmtId="0" fontId="7" fillId="0" borderId="166" xfId="0" applyFont="1" applyBorder="1"/>
    <xf numFmtId="0" fontId="7" fillId="0" borderId="167" xfId="0" applyFont="1" applyBorder="1"/>
    <xf numFmtId="0" fontId="7" fillId="0" borderId="104" xfId="0" applyFont="1" applyBorder="1"/>
    <xf numFmtId="0" fontId="7" fillId="0" borderId="119" xfId="0" applyFont="1" applyBorder="1" applyAlignment="1">
      <alignment horizontal="center"/>
    </xf>
    <xf numFmtId="41" fontId="7" fillId="4" borderId="63" xfId="6" applyNumberFormat="1" applyFont="1" applyFill="1" applyBorder="1" applyProtection="1">
      <protection locked="0"/>
    </xf>
    <xf numFmtId="41" fontId="7" fillId="4" borderId="149" xfId="7" applyNumberFormat="1" applyFont="1" applyFill="1" applyBorder="1" applyProtection="1">
      <protection locked="0"/>
    </xf>
    <xf numFmtId="0" fontId="0" fillId="6" borderId="160" xfId="0" applyFill="1" applyBorder="1" applyAlignment="1">
      <alignment horizontal="center"/>
    </xf>
    <xf numFmtId="3" fontId="7" fillId="6" borderId="160" xfId="13" applyNumberFormat="1" applyFont="1" applyFill="1" applyBorder="1"/>
    <xf numFmtId="41" fontId="7" fillId="0" borderId="119" xfId="0" applyNumberFormat="1" applyFont="1" applyBorder="1"/>
    <xf numFmtId="41" fontId="7" fillId="0" borderId="158" xfId="0" applyNumberFormat="1" applyFont="1" applyBorder="1"/>
    <xf numFmtId="0" fontId="7" fillId="6" borderId="54" xfId="0" applyFont="1" applyFill="1" applyBorder="1"/>
    <xf numFmtId="38" fontId="7" fillId="6" borderId="54" xfId="13" applyNumberFormat="1" applyFont="1" applyFill="1" applyBorder="1" applyAlignment="1">
      <alignment horizontal="left"/>
    </xf>
    <xf numFmtId="41" fontId="7" fillId="0" borderId="146" xfId="6" applyNumberFormat="1" applyFont="1" applyBorder="1"/>
    <xf numFmtId="41" fontId="7" fillId="0" borderId="115" xfId="6" applyNumberFormat="1" applyFont="1" applyBorder="1"/>
    <xf numFmtId="10" fontId="7" fillId="0" borderId="160" xfId="6" applyNumberFormat="1" applyFont="1" applyBorder="1"/>
    <xf numFmtId="0" fontId="6" fillId="0" borderId="168" xfId="0" applyFont="1" applyBorder="1"/>
    <xf numFmtId="10" fontId="7" fillId="0" borderId="169" xfId="6" applyNumberFormat="1" applyFont="1" applyBorder="1"/>
    <xf numFmtId="10" fontId="7" fillId="0" borderId="170" xfId="6" applyNumberFormat="1" applyFont="1" applyBorder="1"/>
    <xf numFmtId="0" fontId="6" fillId="0" borderId="171" xfId="0" applyFont="1" applyBorder="1"/>
    <xf numFmtId="41" fontId="7" fillId="0" borderId="27" xfId="0" applyNumberFormat="1" applyFont="1" applyBorder="1"/>
    <xf numFmtId="9" fontId="6" fillId="0" borderId="27" xfId="13" applyFont="1" applyBorder="1" applyAlignment="1">
      <alignment horizontal="right"/>
    </xf>
    <xf numFmtId="41" fontId="7" fillId="0" borderId="119" xfId="13" applyNumberFormat="1" applyFont="1" applyBorder="1"/>
    <xf numFmtId="41" fontId="7" fillId="13" borderId="63" xfId="13" applyNumberFormat="1" applyFont="1" applyFill="1" applyBorder="1" applyProtection="1">
      <protection locked="0"/>
    </xf>
    <xf numFmtId="41" fontId="7" fillId="13" borderId="119" xfId="13" applyNumberFormat="1" applyFont="1" applyFill="1" applyBorder="1" applyProtection="1">
      <protection locked="0"/>
    </xf>
    <xf numFmtId="42" fontId="7" fillId="0" borderId="169" xfId="6" applyNumberFormat="1" applyFont="1" applyBorder="1"/>
    <xf numFmtId="41" fontId="7" fillId="6" borderId="75" xfId="6" applyNumberFormat="1" applyFont="1" applyFill="1" applyBorder="1"/>
    <xf numFmtId="42" fontId="7" fillId="0" borderId="54" xfId="13" applyNumberFormat="1" applyFont="1" applyBorder="1"/>
    <xf numFmtId="0" fontId="7" fillId="0" borderId="172" xfId="0" applyFont="1" applyBorder="1"/>
    <xf numFmtId="0" fontId="7" fillId="0" borderId="167" xfId="0" applyFont="1" applyBorder="1" applyAlignment="1">
      <alignment horizontal="center"/>
    </xf>
    <xf numFmtId="0" fontId="7" fillId="0" borderId="169" xfId="0" applyFont="1" applyBorder="1"/>
    <xf numFmtId="42" fontId="7" fillId="0" borderId="169" xfId="13" applyNumberFormat="1" applyFont="1" applyBorder="1"/>
    <xf numFmtId="0" fontId="7" fillId="0" borderId="173" xfId="0" applyFont="1" applyBorder="1"/>
    <xf numFmtId="0" fontId="7" fillId="0" borderId="174" xfId="0" applyFont="1" applyBorder="1" applyAlignment="1">
      <alignment horizontal="center"/>
    </xf>
    <xf numFmtId="5" fontId="7" fillId="0" borderId="56" xfId="6" applyFont="1" applyBorder="1"/>
    <xf numFmtId="10" fontId="7" fillId="0" borderId="56" xfId="13" applyNumberFormat="1" applyFont="1" applyBorder="1"/>
    <xf numFmtId="0" fontId="7" fillId="0" borderId="76" xfId="0" applyFont="1" applyBorder="1" applyAlignment="1">
      <alignment horizontal="center"/>
    </xf>
    <xf numFmtId="0" fontId="27" fillId="6" borderId="31" xfId="0" applyFont="1" applyFill="1" applyBorder="1"/>
    <xf numFmtId="0" fontId="29" fillId="6" borderId="49" xfId="0" quotePrefix="1" applyFont="1" applyFill="1" applyBorder="1" applyAlignment="1">
      <alignment horizontal="center"/>
    </xf>
    <xf numFmtId="9" fontId="6" fillId="0" borderId="0" xfId="13" applyFont="1" applyAlignment="1">
      <alignment horizontal="right"/>
    </xf>
    <xf numFmtId="9" fontId="7" fillId="0" borderId="0" xfId="13" applyFont="1" applyAlignment="1">
      <alignment horizontal="left"/>
    </xf>
    <xf numFmtId="38" fontId="7" fillId="0" borderId="0" xfId="13" applyNumberFormat="1" applyFont="1" applyAlignment="1">
      <alignment horizontal="left"/>
    </xf>
    <xf numFmtId="38" fontId="7" fillId="0" borderId="0" xfId="13" applyNumberFormat="1" applyFont="1"/>
    <xf numFmtId="9" fontId="7" fillId="0" borderId="54" xfId="13" applyFont="1" applyBorder="1" applyAlignment="1">
      <alignment horizontal="left"/>
    </xf>
    <xf numFmtId="167" fontId="7" fillId="6" borderId="54" xfId="6" applyNumberFormat="1" applyFont="1" applyFill="1" applyBorder="1"/>
    <xf numFmtId="167" fontId="7" fillId="6" borderId="54" xfId="13" applyNumberFormat="1" applyFont="1" applyFill="1" applyBorder="1"/>
    <xf numFmtId="44" fontId="7" fillId="0" borderId="54" xfId="13" applyNumberFormat="1" applyFont="1" applyBorder="1"/>
    <xf numFmtId="9" fontId="7" fillId="0" borderId="49" xfId="13" applyFont="1" applyBorder="1" applyAlignment="1">
      <alignment horizontal="left"/>
    </xf>
    <xf numFmtId="3" fontId="7" fillId="6" borderId="54" xfId="13" applyNumberFormat="1" applyFont="1" applyFill="1" applyBorder="1" applyAlignment="1">
      <alignment horizontal="left"/>
    </xf>
    <xf numFmtId="42" fontId="7" fillId="0" borderId="54" xfId="6" applyNumberFormat="1" applyFont="1" applyBorder="1"/>
    <xf numFmtId="41" fontId="7" fillId="0" borderId="74" xfId="5" applyNumberFormat="1" applyFont="1" applyBorder="1"/>
    <xf numFmtId="41" fontId="7" fillId="0" borderId="74" xfId="6" applyNumberFormat="1" applyFont="1" applyBorder="1"/>
    <xf numFmtId="41" fontId="7" fillId="0" borderId="86" xfId="5" applyNumberFormat="1" applyFont="1" applyBorder="1"/>
    <xf numFmtId="10" fontId="0" fillId="0" borderId="0" xfId="0" applyNumberFormat="1"/>
    <xf numFmtId="10" fontId="7" fillId="0" borderId="56" xfId="6" applyNumberFormat="1" applyFont="1" applyBorder="1"/>
    <xf numFmtId="10" fontId="7" fillId="0" borderId="175" xfId="6" applyNumberFormat="1" applyFont="1" applyBorder="1"/>
    <xf numFmtId="0" fontId="7" fillId="0" borderId="176" xfId="0" applyFont="1" applyBorder="1" applyAlignment="1">
      <alignment horizontal="center"/>
    </xf>
    <xf numFmtId="41" fontId="7" fillId="0" borderId="0" xfId="0" applyNumberFormat="1" applyFont="1"/>
    <xf numFmtId="41" fontId="7" fillId="6" borderId="75" xfId="7" applyNumberFormat="1" applyFont="1" applyFill="1" applyBorder="1"/>
    <xf numFmtId="0" fontId="29" fillId="0" borderId="49" xfId="0" applyFont="1" applyBorder="1" applyAlignment="1">
      <alignment horizontal="center"/>
    </xf>
    <xf numFmtId="0" fontId="29" fillId="0" borderId="177" xfId="0" applyFont="1" applyBorder="1" applyAlignment="1">
      <alignment horizontal="center"/>
    </xf>
    <xf numFmtId="0" fontId="29" fillId="6" borderId="49" xfId="0" applyFont="1" applyFill="1" applyBorder="1" applyAlignment="1">
      <alignment horizontal="center"/>
    </xf>
    <xf numFmtId="41" fontId="7" fillId="6" borderId="143" xfId="6" applyNumberFormat="1" applyFont="1" applyFill="1" applyBorder="1"/>
    <xf numFmtId="41" fontId="7" fillId="6" borderId="11" xfId="6" applyNumberFormat="1" applyFont="1" applyFill="1" applyBorder="1"/>
    <xf numFmtId="41" fontId="7" fillId="6" borderId="11" xfId="13" applyNumberFormat="1" applyFont="1" applyFill="1" applyBorder="1"/>
    <xf numFmtId="41" fontId="7" fillId="6" borderId="136" xfId="13" applyNumberFormat="1" applyFont="1" applyFill="1" applyBorder="1"/>
    <xf numFmtId="41" fontId="7" fillId="6" borderId="75" xfId="13" applyNumberFormat="1" applyFont="1" applyFill="1" applyBorder="1"/>
    <xf numFmtId="41" fontId="0" fillId="6" borderId="112" xfId="0" applyNumberFormat="1" applyFill="1" applyBorder="1"/>
    <xf numFmtId="41" fontId="7" fillId="6" borderId="112" xfId="13" applyNumberFormat="1" applyFont="1" applyFill="1" applyBorder="1"/>
    <xf numFmtId="41" fontId="7" fillId="10" borderId="149" xfId="6" applyNumberFormat="1" applyFont="1" applyFill="1" applyBorder="1" applyProtection="1">
      <protection locked="0"/>
    </xf>
    <xf numFmtId="0" fontId="5" fillId="0" borderId="0" xfId="0" applyFont="1"/>
    <xf numFmtId="43" fontId="6" fillId="0" borderId="0" xfId="11" applyNumberFormat="1" applyFont="1" applyAlignment="1">
      <alignment horizontal="center" vertical="center"/>
    </xf>
    <xf numFmtId="0" fontId="7" fillId="0" borderId="0" xfId="0" applyFont="1" applyAlignment="1">
      <alignment horizontal="left"/>
    </xf>
    <xf numFmtId="10" fontId="7" fillId="14" borderId="160" xfId="13" applyNumberFormat="1" applyFont="1" applyFill="1" applyBorder="1"/>
    <xf numFmtId="10" fontId="7" fillId="14" borderId="161" xfId="13" applyNumberFormat="1" applyFont="1" applyFill="1" applyBorder="1"/>
    <xf numFmtId="9" fontId="6" fillId="5" borderId="6" xfId="13" applyFont="1" applyFill="1" applyBorder="1" applyAlignment="1" applyProtection="1">
      <alignment horizontal="center" vertical="center"/>
      <protection locked="0"/>
    </xf>
    <xf numFmtId="10" fontId="28" fillId="0" borderId="178" xfId="13" applyNumberFormat="1" applyFont="1" applyBorder="1"/>
    <xf numFmtId="42" fontId="28" fillId="0" borderId="179" xfId="2" applyNumberFormat="1" applyFont="1" applyBorder="1"/>
    <xf numFmtId="9" fontId="7" fillId="0" borderId="124" xfId="13" applyFont="1" applyBorder="1" applyAlignment="1">
      <alignment horizontal="center"/>
    </xf>
    <xf numFmtId="9" fontId="7" fillId="0" borderId="125" xfId="13" applyFont="1" applyBorder="1" applyAlignment="1">
      <alignment horizontal="center"/>
    </xf>
    <xf numFmtId="41" fontId="7" fillId="0" borderId="45" xfId="13" applyNumberFormat="1" applyFont="1" applyBorder="1"/>
    <xf numFmtId="43" fontId="7" fillId="14" borderId="75" xfId="6" applyNumberFormat="1" applyFont="1" applyFill="1" applyBorder="1"/>
    <xf numFmtId="10" fontId="7" fillId="0" borderId="51" xfId="13" applyNumberFormat="1" applyFont="1" applyBorder="1" applyAlignment="1">
      <alignment vertical="center"/>
    </xf>
    <xf numFmtId="0" fontId="7" fillId="0" borderId="10" xfId="11" applyFont="1" applyBorder="1" applyAlignment="1">
      <alignment vertical="center"/>
    </xf>
    <xf numFmtId="43" fontId="7" fillId="14" borderId="84" xfId="11" applyNumberFormat="1" applyFont="1" applyFill="1" applyBorder="1" applyAlignment="1">
      <alignment horizontal="left" vertical="center"/>
    </xf>
    <xf numFmtId="43" fontId="6" fillId="0" borderId="180" xfId="11" applyNumberFormat="1" applyFont="1" applyBorder="1" applyAlignment="1">
      <alignment horizontal="left" vertical="center" wrapText="1"/>
    </xf>
    <xf numFmtId="43" fontId="6" fillId="0" borderId="46" xfId="11" applyNumberFormat="1" applyFont="1" applyBorder="1" applyAlignment="1">
      <alignment horizontal="left" vertical="center" wrapText="1"/>
    </xf>
    <xf numFmtId="10" fontId="7" fillId="14" borderId="180" xfId="11" applyNumberFormat="1" applyFont="1" applyFill="1" applyBorder="1" applyAlignment="1">
      <alignment vertical="center"/>
    </xf>
    <xf numFmtId="10" fontId="7" fillId="14" borderId="181" xfId="11" applyNumberFormat="1" applyFont="1" applyFill="1" applyBorder="1" applyAlignment="1">
      <alignment vertical="center"/>
    </xf>
    <xf numFmtId="43" fontId="7" fillId="14" borderId="182" xfId="11" applyNumberFormat="1" applyFont="1" applyFill="1" applyBorder="1" applyAlignment="1">
      <alignment horizontal="left" vertical="center"/>
    </xf>
    <xf numFmtId="43" fontId="7" fillId="14" borderId="183" xfId="11" applyNumberFormat="1" applyFont="1" applyFill="1" applyBorder="1" applyAlignment="1">
      <alignment horizontal="left" vertical="center"/>
    </xf>
    <xf numFmtId="42" fontId="7" fillId="0" borderId="7" xfId="13" applyNumberFormat="1" applyFont="1" applyBorder="1"/>
    <xf numFmtId="41" fontId="7" fillId="5" borderId="31" xfId="10" quotePrefix="1" applyNumberFormat="1" applyFont="1" applyFill="1" applyBorder="1" applyAlignment="1" applyProtection="1">
      <alignment horizontal="center"/>
      <protection locked="0"/>
    </xf>
    <xf numFmtId="41" fontId="7" fillId="5" borderId="31" xfId="10" applyNumberFormat="1" applyFont="1" applyFill="1" applyBorder="1" applyAlignment="1" applyProtection="1">
      <alignment horizontal="center"/>
      <protection locked="0"/>
    </xf>
    <xf numFmtId="41" fontId="6" fillId="0" borderId="0" xfId="10" applyNumberFormat="1" applyFont="1"/>
    <xf numFmtId="41" fontId="7" fillId="0" borderId="9" xfId="2" applyNumberFormat="1" applyFont="1" applyBorder="1" applyAlignment="1">
      <alignment horizontal="center"/>
    </xf>
    <xf numFmtId="41" fontId="7" fillId="0" borderId="0" xfId="10" applyNumberFormat="1" applyFont="1" applyAlignment="1">
      <alignment horizontal="center"/>
    </xf>
    <xf numFmtId="41" fontId="7" fillId="0" borderId="0" xfId="10" applyNumberFormat="1" applyFont="1"/>
    <xf numFmtId="41" fontId="7" fillId="0" borderId="184" xfId="10" applyNumberFormat="1" applyFont="1" applyBorder="1" applyAlignment="1">
      <alignment horizontal="center"/>
    </xf>
    <xf numFmtId="41" fontId="7" fillId="0" borderId="86" xfId="10" applyNumberFormat="1" applyFont="1" applyBorder="1" applyAlignment="1">
      <alignment horizontal="center"/>
    </xf>
    <xf numFmtId="41" fontId="7" fillId="0" borderId="17" xfId="10" applyNumberFormat="1" applyFont="1" applyBorder="1"/>
    <xf numFmtId="41" fontId="7" fillId="0" borderId="27" xfId="10" applyNumberFormat="1" applyFont="1" applyBorder="1"/>
    <xf numFmtId="41" fontId="7" fillId="0" borderId="31" xfId="10" applyNumberFormat="1" applyFont="1" applyBorder="1"/>
    <xf numFmtId="41" fontId="6" fillId="0" borderId="0" xfId="10" applyNumberFormat="1" applyFont="1" applyAlignment="1">
      <alignment horizontal="center"/>
    </xf>
    <xf numFmtId="41" fontId="6" fillId="0" borderId="0" xfId="10" applyNumberFormat="1" applyFont="1" applyAlignment="1">
      <alignment horizontal="left"/>
    </xf>
    <xf numFmtId="41" fontId="28" fillId="0" borderId="31" xfId="10" applyNumberFormat="1" applyFont="1" applyBorder="1"/>
    <xf numFmtId="41" fontId="7" fillId="0" borderId="185" xfId="10" applyNumberFormat="1" applyFont="1" applyBorder="1" applyAlignment="1">
      <alignment horizontal="center"/>
    </xf>
    <xf numFmtId="41" fontId="7" fillId="0" borderId="15" xfId="10" applyNumberFormat="1" applyFont="1" applyBorder="1" applyAlignment="1">
      <alignment horizontal="center"/>
    </xf>
    <xf numFmtId="41" fontId="7" fillId="0" borderId="15" xfId="10" applyNumberFormat="1" applyFont="1" applyBorder="1"/>
    <xf numFmtId="41" fontId="7" fillId="0" borderId="101" xfId="10" applyNumberFormat="1" applyFont="1" applyBorder="1"/>
    <xf numFmtId="41" fontId="7" fillId="12" borderId="5" xfId="10" applyNumberFormat="1" applyFont="1" applyFill="1" applyBorder="1"/>
    <xf numFmtId="41" fontId="28" fillId="12" borderId="10" xfId="2" applyNumberFormat="1" applyFont="1" applyFill="1" applyBorder="1"/>
    <xf numFmtId="41" fontId="7" fillId="0" borderId="128" xfId="10" applyNumberFormat="1" applyFont="1" applyBorder="1"/>
    <xf numFmtId="41" fontId="7" fillId="0" borderId="19" xfId="10" applyNumberFormat="1" applyFont="1" applyBorder="1"/>
    <xf numFmtId="41" fontId="28" fillId="12" borderId="185" xfId="10" applyNumberFormat="1" applyFont="1" applyFill="1" applyBorder="1"/>
    <xf numFmtId="41" fontId="28" fillId="12" borderId="186" xfId="2" applyNumberFormat="1" applyFont="1" applyFill="1" applyBorder="1"/>
    <xf numFmtId="41" fontId="7" fillId="12" borderId="19" xfId="10" applyNumberFormat="1" applyFont="1" applyFill="1" applyBorder="1"/>
    <xf numFmtId="41" fontId="28" fillId="12" borderId="53" xfId="2" applyNumberFormat="1" applyFont="1" applyFill="1" applyBorder="1"/>
    <xf numFmtId="42" fontId="28" fillId="0" borderId="4" xfId="2" applyNumberFormat="1" applyFont="1" applyBorder="1"/>
    <xf numFmtId="9" fontId="7" fillId="0" borderId="0" xfId="13" applyFont="1" applyBorder="1" applyAlignment="1">
      <alignment horizontal="center"/>
    </xf>
    <xf numFmtId="41" fontId="7" fillId="0" borderId="4" xfId="13" applyNumberFormat="1" applyFont="1" applyBorder="1"/>
    <xf numFmtId="43" fontId="7" fillId="0" borderId="0" xfId="2" applyNumberFormat="1" applyFont="1" applyBorder="1"/>
    <xf numFmtId="41" fontId="7" fillId="0" borderId="0" xfId="2" applyNumberFormat="1" applyFont="1" applyBorder="1"/>
    <xf numFmtId="42" fontId="28" fillId="0" borderId="10" xfId="2" applyNumberFormat="1" applyFont="1" applyBorder="1"/>
    <xf numFmtId="10" fontId="7" fillId="0" borderId="0" xfId="13" applyNumberFormat="1" applyFont="1" applyBorder="1" applyAlignment="1">
      <alignment horizontal="center"/>
    </xf>
    <xf numFmtId="10" fontId="28" fillId="0" borderId="0" xfId="13" applyNumberFormat="1" applyFont="1" applyBorder="1"/>
    <xf numFmtId="10" fontId="7" fillId="0" borderId="0" xfId="13" applyNumberFormat="1" applyFont="1" applyBorder="1"/>
    <xf numFmtId="42" fontId="28" fillId="0" borderId="87" xfId="2" applyNumberFormat="1" applyFont="1" applyBorder="1"/>
    <xf numFmtId="10" fontId="28" fillId="0" borderId="84" xfId="2" applyNumberFormat="1" applyFont="1" applyBorder="1"/>
    <xf numFmtId="10" fontId="28" fillId="0" borderId="120" xfId="2" applyNumberFormat="1" applyFont="1" applyBorder="1"/>
    <xf numFmtId="10" fontId="28" fillId="0" borderId="123" xfId="2" applyNumberFormat="1" applyFont="1" applyBorder="1"/>
    <xf numFmtId="43" fontId="6" fillId="0" borderId="0" xfId="2" applyNumberFormat="1" applyFont="1" applyFill="1" applyBorder="1" applyAlignment="1">
      <alignment horizontal="center"/>
    </xf>
    <xf numFmtId="41" fontId="7" fillId="2" borderId="187" xfId="2" applyNumberFormat="1" applyFont="1" applyFill="1" applyBorder="1" applyProtection="1">
      <protection locked="0"/>
    </xf>
    <xf numFmtId="10" fontId="7" fillId="0" borderId="124" xfId="13" applyNumberFormat="1" applyFont="1" applyBorder="1"/>
    <xf numFmtId="41" fontId="7" fillId="0" borderId="184" xfId="2" applyNumberFormat="1" applyFont="1" applyBorder="1"/>
    <xf numFmtId="10" fontId="7" fillId="0" borderId="188" xfId="13" applyNumberFormat="1" applyFont="1" applyBorder="1"/>
    <xf numFmtId="41" fontId="7" fillId="0" borderId="189" xfId="2" applyNumberFormat="1" applyFont="1" applyBorder="1"/>
    <xf numFmtId="10" fontId="28" fillId="0" borderId="124" xfId="13" applyNumberFormat="1" applyFont="1" applyBorder="1"/>
    <xf numFmtId="41" fontId="28" fillId="0" borderId="184" xfId="2" applyNumberFormat="1" applyFont="1" applyBorder="1"/>
    <xf numFmtId="43" fontId="7" fillId="0" borderId="189" xfId="2" applyNumberFormat="1" applyFont="1" applyBorder="1"/>
    <xf numFmtId="43" fontId="7" fillId="0" borderId="184" xfId="2" applyNumberFormat="1" applyFont="1" applyBorder="1"/>
    <xf numFmtId="10" fontId="28" fillId="0" borderId="188" xfId="13" applyNumberFormat="1" applyFont="1" applyBorder="1"/>
    <xf numFmtId="9" fontId="7" fillId="0" borderId="99" xfId="13" applyFont="1" applyBorder="1"/>
    <xf numFmtId="0" fontId="7" fillId="0" borderId="190" xfId="0" applyFont="1" applyBorder="1"/>
    <xf numFmtId="0" fontId="7" fillId="0" borderId="51" xfId="10" applyFont="1" applyBorder="1" applyAlignment="1">
      <alignment horizontal="center"/>
    </xf>
    <xf numFmtId="43" fontId="6" fillId="0" borderId="88" xfId="2" applyNumberFormat="1" applyFont="1" applyFill="1" applyBorder="1" applyAlignment="1">
      <alignment horizontal="center"/>
    </xf>
    <xf numFmtId="0" fontId="7" fillId="0" borderId="128" xfId="10" applyFont="1" applyBorder="1" applyAlignment="1">
      <alignment horizontal="center"/>
    </xf>
    <xf numFmtId="0" fontId="7" fillId="0" borderId="101" xfId="10" applyFont="1" applyBorder="1" applyAlignment="1">
      <alignment horizontal="center"/>
    </xf>
    <xf numFmtId="0" fontId="7" fillId="0" borderId="51" xfId="0" applyFont="1" applyBorder="1" applyAlignment="1">
      <alignment horizontal="center"/>
    </xf>
    <xf numFmtId="0" fontId="7" fillId="0" borderId="120" xfId="10" applyFont="1" applyBorder="1" applyAlignment="1">
      <alignment horizontal="center"/>
    </xf>
    <xf numFmtId="0" fontId="7" fillId="0" borderId="51" xfId="10" quotePrefix="1" applyFont="1" applyBorder="1" applyAlignment="1">
      <alignment horizontal="center"/>
    </xf>
    <xf numFmtId="41" fontId="7" fillId="5" borderId="51" xfId="10" quotePrefix="1" applyNumberFormat="1" applyFont="1" applyFill="1" applyBorder="1" applyAlignment="1" applyProtection="1">
      <alignment horizontal="center"/>
      <protection locked="0"/>
    </xf>
    <xf numFmtId="41" fontId="7" fillId="5" borderId="51" xfId="10" applyNumberFormat="1" applyFont="1" applyFill="1" applyBorder="1" applyAlignment="1" applyProtection="1">
      <alignment horizontal="center"/>
      <protection locked="0"/>
    </xf>
    <xf numFmtId="42" fontId="28" fillId="0" borderId="53" xfId="2" applyNumberFormat="1" applyFont="1" applyBorder="1"/>
    <xf numFmtId="0" fontId="7" fillId="0" borderId="53" xfId="10" applyFont="1" applyBorder="1" applyAlignment="1">
      <alignment horizontal="center"/>
    </xf>
    <xf numFmtId="43" fontId="7" fillId="0" borderId="83" xfId="10" applyNumberFormat="1" applyFont="1" applyBorder="1"/>
    <xf numFmtId="41" fontId="7" fillId="0" borderId="8" xfId="2" applyNumberFormat="1" applyFont="1" applyBorder="1" applyAlignment="1">
      <alignment horizontal="center"/>
    </xf>
    <xf numFmtId="41" fontId="7" fillId="0" borderId="5" xfId="10" applyNumberFormat="1" applyFont="1" applyBorder="1" applyAlignment="1">
      <alignment horizontal="center"/>
    </xf>
    <xf numFmtId="41" fontId="7" fillId="0" borderId="88" xfId="2" applyNumberFormat="1" applyFont="1" applyBorder="1"/>
    <xf numFmtId="0" fontId="42" fillId="0" borderId="0" xfId="0" applyFont="1"/>
    <xf numFmtId="0" fontId="5" fillId="0" borderId="42" xfId="12" applyFont="1" applyBorder="1" applyAlignment="1">
      <alignment horizontal="right"/>
    </xf>
    <xf numFmtId="0" fontId="43" fillId="0" borderId="5" xfId="11" applyFont="1" applyBorder="1" applyAlignment="1">
      <alignment vertical="center"/>
    </xf>
    <xf numFmtId="0" fontId="43" fillId="0" borderId="4" xfId="0" applyFont="1" applyBorder="1"/>
    <xf numFmtId="0" fontId="43" fillId="0" borderId="0" xfId="0" applyFont="1" applyAlignment="1">
      <alignment horizontal="left"/>
    </xf>
    <xf numFmtId="0" fontId="43" fillId="0" borderId="0" xfId="10" applyFont="1"/>
    <xf numFmtId="0" fontId="5" fillId="0" borderId="0" xfId="12" applyFont="1" applyAlignment="1">
      <alignment horizontal="right"/>
    </xf>
    <xf numFmtId="0" fontId="43" fillId="0" borderId="68" xfId="0" applyFont="1" applyBorder="1"/>
    <xf numFmtId="10" fontId="7" fillId="6" borderId="191" xfId="13" applyNumberFormat="1" applyFont="1" applyFill="1" applyBorder="1"/>
    <xf numFmtId="41" fontId="7" fillId="6" borderId="62" xfId="13" applyNumberFormat="1" applyFont="1" applyFill="1" applyBorder="1"/>
    <xf numFmtId="41" fontId="7" fillId="6" borderId="148" xfId="13" applyNumberFormat="1" applyFont="1" applyFill="1" applyBorder="1"/>
    <xf numFmtId="10" fontId="7" fillId="6" borderId="55" xfId="6" applyNumberFormat="1" applyFont="1" applyFill="1" applyBorder="1"/>
    <xf numFmtId="10" fontId="7" fillId="6" borderId="148" xfId="6" applyNumberFormat="1" applyFont="1" applyFill="1" applyBorder="1"/>
    <xf numFmtId="10" fontId="7" fillId="6" borderId="135" xfId="6" applyNumberFormat="1" applyFont="1" applyFill="1" applyBorder="1"/>
    <xf numFmtId="44" fontId="7" fillId="0" borderId="54" xfId="13" applyNumberFormat="1" applyFont="1" applyFill="1" applyBorder="1"/>
    <xf numFmtId="42" fontId="7" fillId="0" borderId="54" xfId="6" applyNumberFormat="1" applyFont="1" applyFill="1" applyBorder="1"/>
    <xf numFmtId="44" fontId="7" fillId="6" borderId="54" xfId="13" applyNumberFormat="1" applyFont="1" applyFill="1" applyBorder="1"/>
    <xf numFmtId="42" fontId="7" fillId="6" borderId="54" xfId="6" applyNumberFormat="1" applyFont="1" applyFill="1" applyBorder="1"/>
    <xf numFmtId="41" fontId="7" fillId="0" borderId="75" xfId="7" applyNumberFormat="1" applyFont="1" applyFill="1" applyBorder="1" applyProtection="1">
      <protection locked="0"/>
    </xf>
    <xf numFmtId="0" fontId="7" fillId="6" borderId="119" xfId="0" applyFont="1" applyFill="1" applyBorder="1"/>
    <xf numFmtId="0" fontId="29" fillId="6" borderId="104" xfId="0" applyFont="1" applyFill="1" applyBorder="1"/>
    <xf numFmtId="0" fontId="7" fillId="6" borderId="63" xfId="0" applyFont="1" applyFill="1" applyBorder="1" applyAlignment="1">
      <alignment horizontal="center"/>
    </xf>
    <xf numFmtId="5" fontId="7" fillId="6" borderId="192" xfId="6" applyFont="1" applyFill="1" applyBorder="1" applyAlignment="1">
      <alignment horizontal="left"/>
    </xf>
    <xf numFmtId="5" fontId="7" fillId="6" borderId="193" xfId="6" applyFont="1" applyFill="1" applyBorder="1" applyAlignment="1">
      <alignment horizontal="left"/>
    </xf>
    <xf numFmtId="41" fontId="50" fillId="0" borderId="0" xfId="0" applyNumberFormat="1" applyFont="1" applyAlignment="1">
      <alignment horizontal="center"/>
    </xf>
    <xf numFmtId="41" fontId="51" fillId="0" borderId="0" xfId="0" applyNumberFormat="1" applyFont="1" applyAlignment="1">
      <alignment horizontal="center"/>
    </xf>
    <xf numFmtId="0" fontId="7" fillId="6" borderId="158" xfId="0" applyFont="1" applyFill="1" applyBorder="1"/>
    <xf numFmtId="0" fontId="7" fillId="6" borderId="166" xfId="0" applyFont="1" applyFill="1" applyBorder="1"/>
    <xf numFmtId="0" fontId="7" fillId="6" borderId="166" xfId="0" applyFont="1" applyFill="1" applyBorder="1" applyAlignment="1">
      <alignment horizontal="center"/>
    </xf>
    <xf numFmtId="42" fontId="7" fillId="6" borderId="194" xfId="13" applyNumberFormat="1" applyFont="1" applyFill="1" applyBorder="1"/>
    <xf numFmtId="10" fontId="7" fillId="6" borderId="194" xfId="13" applyNumberFormat="1" applyFont="1" applyFill="1" applyBorder="1"/>
    <xf numFmtId="10" fontId="7" fillId="6" borderId="195" xfId="13" applyNumberFormat="1" applyFont="1" applyFill="1" applyBorder="1"/>
    <xf numFmtId="41" fontId="7" fillId="0" borderId="116" xfId="6" applyNumberFormat="1" applyFont="1" applyFill="1" applyBorder="1"/>
    <xf numFmtId="41" fontId="7" fillId="0" borderId="108" xfId="6" applyNumberFormat="1" applyFont="1" applyFill="1" applyBorder="1"/>
    <xf numFmtId="8" fontId="7" fillId="0" borderId="131" xfId="6" applyNumberFormat="1" applyFont="1" applyFill="1" applyBorder="1"/>
    <xf numFmtId="10" fontId="7" fillId="0" borderId="7" xfId="13" applyNumberFormat="1" applyFont="1" applyFill="1" applyBorder="1"/>
    <xf numFmtId="10" fontId="7" fillId="0" borderId="26" xfId="13" applyNumberFormat="1" applyFont="1" applyFill="1" applyBorder="1"/>
    <xf numFmtId="10" fontId="7" fillId="0" borderId="131" xfId="13" applyNumberFormat="1" applyFont="1" applyFill="1" applyBorder="1"/>
    <xf numFmtId="44" fontId="7" fillId="0" borderId="76" xfId="6" applyNumberFormat="1" applyFont="1" applyFill="1" applyBorder="1"/>
    <xf numFmtId="42" fontId="7" fillId="0" borderId="76" xfId="6" applyNumberFormat="1" applyFont="1" applyFill="1" applyBorder="1"/>
    <xf numFmtId="41" fontId="7" fillId="0" borderId="112" xfId="6" applyNumberFormat="1" applyFont="1" applyFill="1" applyBorder="1"/>
    <xf numFmtId="41" fontId="7" fillId="0" borderId="21" xfId="13" applyNumberFormat="1" applyFont="1" applyFill="1" applyBorder="1"/>
    <xf numFmtId="41" fontId="7" fillId="0" borderId="21" xfId="1" applyNumberFormat="1" applyFont="1" applyFill="1" applyBorder="1"/>
    <xf numFmtId="41" fontId="7" fillId="0" borderId="112" xfId="13" applyNumberFormat="1" applyFont="1" applyFill="1" applyBorder="1"/>
    <xf numFmtId="41" fontId="7" fillId="0" borderId="148" xfId="6" applyNumberFormat="1" applyFont="1" applyFill="1" applyBorder="1"/>
    <xf numFmtId="41" fontId="7" fillId="0" borderId="21" xfId="0" applyNumberFormat="1" applyFont="1" applyBorder="1"/>
    <xf numFmtId="41" fontId="7" fillId="0" borderId="31" xfId="13" applyNumberFormat="1" applyFont="1" applyFill="1" applyBorder="1"/>
    <xf numFmtId="41" fontId="7" fillId="0" borderId="31" xfId="6" applyNumberFormat="1" applyFont="1" applyFill="1" applyBorder="1"/>
    <xf numFmtId="41" fontId="7" fillId="0" borderId="31" xfId="1" applyNumberFormat="1" applyFont="1" applyFill="1" applyBorder="1"/>
    <xf numFmtId="41" fontId="7" fillId="0" borderId="31" xfId="3" applyNumberFormat="1" applyFont="1" applyFill="1" applyBorder="1"/>
    <xf numFmtId="41" fontId="7" fillId="0" borderId="30" xfId="6" applyNumberFormat="1" applyFont="1" applyFill="1" applyBorder="1"/>
    <xf numFmtId="41" fontId="7" fillId="0" borderId="150" xfId="6" applyNumberFormat="1" applyFont="1" applyFill="1" applyBorder="1"/>
    <xf numFmtId="41" fontId="7" fillId="0" borderId="151" xfId="6" applyNumberFormat="1" applyFont="1" applyFill="1" applyBorder="1"/>
    <xf numFmtId="41" fontId="7" fillId="0" borderId="0" xfId="6" applyNumberFormat="1" applyFont="1" applyFill="1"/>
    <xf numFmtId="41" fontId="0" fillId="0" borderId="150" xfId="0" applyNumberFormat="1" applyBorder="1"/>
    <xf numFmtId="41" fontId="0" fillId="0" borderId="196" xfId="0" applyNumberFormat="1" applyBorder="1"/>
    <xf numFmtId="10" fontId="7" fillId="0" borderId="131" xfId="6" applyNumberFormat="1" applyFont="1" applyFill="1" applyBorder="1"/>
    <xf numFmtId="42" fontId="7" fillId="0" borderId="131" xfId="6" applyNumberFormat="1" applyFont="1" applyFill="1" applyBorder="1"/>
    <xf numFmtId="41" fontId="7" fillId="5" borderId="7" xfId="0" applyNumberFormat="1" applyFont="1" applyFill="1" applyBorder="1" applyProtection="1">
      <protection locked="0"/>
    </xf>
    <xf numFmtId="41" fontId="7" fillId="5" borderId="20" xfId="0" applyNumberFormat="1" applyFont="1" applyFill="1" applyBorder="1" applyProtection="1">
      <protection locked="0"/>
    </xf>
    <xf numFmtId="41" fontId="7" fillId="5" borderId="70" xfId="13" applyNumberFormat="1" applyFont="1" applyFill="1" applyBorder="1" applyProtection="1">
      <protection locked="0"/>
    </xf>
    <xf numFmtId="41" fontId="7" fillId="5" borderId="70" xfId="1" applyNumberFormat="1" applyFont="1" applyFill="1" applyBorder="1" applyProtection="1">
      <protection locked="0"/>
    </xf>
    <xf numFmtId="41" fontId="7" fillId="5" borderId="70" xfId="3" applyNumberFormat="1" applyFont="1" applyFill="1" applyBorder="1" applyProtection="1">
      <protection locked="0"/>
    </xf>
    <xf numFmtId="41" fontId="7" fillId="5" borderId="197" xfId="6" applyNumberFormat="1" applyFont="1" applyFill="1" applyBorder="1" applyProtection="1">
      <protection locked="0"/>
    </xf>
    <xf numFmtId="41" fontId="7" fillId="5" borderId="106" xfId="1" applyNumberFormat="1" applyFont="1" applyFill="1" applyBorder="1" applyProtection="1">
      <protection locked="0"/>
    </xf>
    <xf numFmtId="41" fontId="7" fillId="5" borderId="106" xfId="13" applyNumberFormat="1" applyFont="1" applyFill="1" applyBorder="1" applyProtection="1">
      <protection locked="0"/>
    </xf>
    <xf numFmtId="41" fontId="7" fillId="5" borderId="106" xfId="0" applyNumberFormat="1" applyFont="1" applyFill="1" applyBorder="1" applyProtection="1">
      <protection locked="0"/>
    </xf>
    <xf numFmtId="41" fontId="7" fillId="5" borderId="198" xfId="0" applyNumberFormat="1" applyFont="1" applyFill="1" applyBorder="1" applyProtection="1">
      <protection locked="0"/>
    </xf>
    <xf numFmtId="41" fontId="7" fillId="5" borderId="150" xfId="13" applyNumberFormat="1" applyFont="1" applyFill="1" applyBorder="1" applyProtection="1">
      <protection locked="0"/>
    </xf>
    <xf numFmtId="41" fontId="7" fillId="5" borderId="150" xfId="1" applyNumberFormat="1" applyFont="1" applyFill="1" applyBorder="1" applyProtection="1">
      <protection locked="0"/>
    </xf>
    <xf numFmtId="41" fontId="7" fillId="5" borderId="150" xfId="3" applyNumberFormat="1" applyFont="1" applyFill="1" applyBorder="1" applyProtection="1">
      <protection locked="0"/>
    </xf>
    <xf numFmtId="41" fontId="7" fillId="5" borderId="199" xfId="6" applyNumberFormat="1" applyFont="1" applyFill="1" applyBorder="1" applyProtection="1">
      <protection locked="0"/>
    </xf>
    <xf numFmtId="41" fontId="7" fillId="5" borderId="155" xfId="6" applyNumberFormat="1" applyFont="1" applyFill="1" applyBorder="1" applyProtection="1">
      <protection locked="0"/>
    </xf>
    <xf numFmtId="41" fontId="7" fillId="5" borderId="198" xfId="6" applyNumberFormat="1" applyFont="1" applyFill="1" applyBorder="1" applyProtection="1">
      <protection locked="0"/>
    </xf>
    <xf numFmtId="41" fontId="7" fillId="5" borderId="196" xfId="6" applyNumberFormat="1" applyFont="1" applyFill="1" applyBorder="1" applyProtection="1">
      <protection locked="0"/>
    </xf>
    <xf numFmtId="41" fontId="7" fillId="0" borderId="74" xfId="6" applyNumberFormat="1" applyFont="1" applyFill="1" applyBorder="1"/>
    <xf numFmtId="41" fontId="7" fillId="0" borderId="74" xfId="13" applyNumberFormat="1" applyFont="1" applyFill="1" applyBorder="1"/>
    <xf numFmtId="41" fontId="7" fillId="0" borderId="74" xfId="3" applyNumberFormat="1" applyFont="1" applyFill="1" applyBorder="1"/>
    <xf numFmtId="41" fontId="7" fillId="5" borderId="106" xfId="6" applyNumberFormat="1" applyFont="1" applyFill="1" applyBorder="1" applyProtection="1">
      <protection locked="0"/>
    </xf>
    <xf numFmtId="41" fontId="7" fillId="5" borderId="106" xfId="3" applyNumberFormat="1" applyFont="1" applyFill="1" applyBorder="1" applyProtection="1">
      <protection locked="0"/>
    </xf>
    <xf numFmtId="3" fontId="7" fillId="6" borderId="54" xfId="5" applyNumberFormat="1" applyFont="1" applyFill="1" applyBorder="1" applyProtection="1"/>
    <xf numFmtId="3" fontId="7" fillId="6" borderId="54" xfId="6" applyNumberFormat="1" applyFont="1" applyFill="1" applyBorder="1" applyProtection="1"/>
    <xf numFmtId="41" fontId="7" fillId="0" borderId="54" xfId="5" applyNumberFormat="1" applyFont="1" applyFill="1" applyBorder="1" applyProtection="1"/>
    <xf numFmtId="3" fontId="7" fillId="0" borderId="31" xfId="5" applyNumberFormat="1" applyFont="1" applyBorder="1" applyProtection="1"/>
    <xf numFmtId="41" fontId="7" fillId="0" borderId="63" xfId="5" applyNumberFormat="1" applyFont="1" applyFill="1" applyBorder="1" applyProtection="1"/>
    <xf numFmtId="42" fontId="7" fillId="0" borderId="131" xfId="6" applyNumberFormat="1" applyFont="1" applyBorder="1" applyProtection="1"/>
    <xf numFmtId="41" fontId="7" fillId="0" borderId="54" xfId="6" applyNumberFormat="1" applyFont="1" applyFill="1" applyBorder="1" applyProtection="1"/>
    <xf numFmtId="41" fontId="7" fillId="0" borderId="63" xfId="6" applyNumberFormat="1" applyFont="1" applyFill="1" applyBorder="1" applyProtection="1"/>
    <xf numFmtId="41" fontId="7" fillId="0" borderId="7" xfId="6" applyNumberFormat="1" applyFont="1" applyFill="1" applyBorder="1" applyProtection="1"/>
    <xf numFmtId="41" fontId="7" fillId="0" borderId="26" xfId="6" applyNumberFormat="1" applyFont="1" applyFill="1" applyBorder="1" applyProtection="1"/>
    <xf numFmtId="5" fontId="7" fillId="0" borderId="0" xfId="6" applyFont="1" applyProtection="1"/>
    <xf numFmtId="41" fontId="7" fillId="0" borderId="62" xfId="7" applyNumberFormat="1" applyFont="1" applyBorder="1" applyProtection="1"/>
    <xf numFmtId="41" fontId="7" fillId="0" borderId="7" xfId="13" applyNumberFormat="1" applyFont="1" applyFill="1" applyBorder="1" applyProtection="1"/>
    <xf numFmtId="41" fontId="7" fillId="0" borderId="75" xfId="7" applyNumberFormat="1" applyFont="1" applyBorder="1" applyProtection="1"/>
    <xf numFmtId="41" fontId="7" fillId="0" borderId="7" xfId="7" applyNumberFormat="1" applyFont="1" applyFill="1" applyBorder="1" applyProtection="1"/>
    <xf numFmtId="41" fontId="7" fillId="0" borderId="149" xfId="6" applyNumberFormat="1" applyFont="1" applyBorder="1" applyProtection="1"/>
    <xf numFmtId="41" fontId="7" fillId="0" borderId="55" xfId="13" applyNumberFormat="1" applyFont="1" applyBorder="1" applyProtection="1"/>
    <xf numFmtId="41" fontId="7" fillId="0" borderId="147" xfId="6" applyNumberFormat="1" applyFont="1" applyBorder="1" applyProtection="1"/>
    <xf numFmtId="41" fontId="7" fillId="0" borderId="7" xfId="13" applyNumberFormat="1" applyFont="1" applyBorder="1" applyProtection="1"/>
    <xf numFmtId="41" fontId="7" fillId="0" borderId="76" xfId="6" applyNumberFormat="1" applyFont="1" applyFill="1" applyBorder="1" applyProtection="1"/>
    <xf numFmtId="41" fontId="7" fillId="0" borderId="76" xfId="6" applyNumberFormat="1" applyFont="1" applyBorder="1" applyProtection="1"/>
    <xf numFmtId="41" fontId="7" fillId="0" borderId="75" xfId="7" applyNumberFormat="1" applyFont="1" applyFill="1" applyBorder="1" applyProtection="1"/>
    <xf numFmtId="41" fontId="7" fillId="0" borderId="54" xfId="6" applyNumberFormat="1" applyFont="1" applyBorder="1" applyProtection="1"/>
    <xf numFmtId="41" fontId="7" fillId="0" borderId="63" xfId="6" applyNumberFormat="1" applyFont="1" applyBorder="1" applyProtection="1"/>
    <xf numFmtId="41" fontId="7" fillId="0" borderId="26" xfId="7" applyNumberFormat="1" applyFont="1" applyFill="1" applyBorder="1" applyProtection="1"/>
    <xf numFmtId="41" fontId="7" fillId="0" borderId="116" xfId="7" applyNumberFormat="1" applyFont="1" applyFill="1" applyBorder="1" applyProtection="1"/>
    <xf numFmtId="42" fontId="7" fillId="0" borderId="169" xfId="6" applyNumberFormat="1" applyFont="1" applyBorder="1" applyProtection="1"/>
    <xf numFmtId="5" fontId="7" fillId="0" borderId="23" xfId="6" applyFont="1" applyBorder="1" applyProtection="1"/>
    <xf numFmtId="41" fontId="7" fillId="0" borderId="7" xfId="6" applyNumberFormat="1" applyFont="1" applyBorder="1" applyProtection="1"/>
    <xf numFmtId="41" fontId="7" fillId="0" borderId="26" xfId="6" applyNumberFormat="1" applyFont="1" applyBorder="1" applyProtection="1"/>
    <xf numFmtId="41" fontId="7" fillId="0" borderId="62" xfId="6" applyNumberFormat="1" applyFont="1" applyBorder="1" applyProtection="1"/>
    <xf numFmtId="41" fontId="7" fillId="6" borderId="112" xfId="6" applyNumberFormat="1" applyFont="1" applyFill="1" applyBorder="1" applyProtection="1"/>
    <xf numFmtId="41" fontId="7" fillId="6" borderId="108" xfId="6" applyNumberFormat="1" applyFont="1" applyFill="1" applyBorder="1" applyProtection="1"/>
    <xf numFmtId="41" fontId="7" fillId="0" borderId="11" xfId="6" applyNumberFormat="1" applyFont="1" applyFill="1" applyBorder="1" applyProtection="1"/>
    <xf numFmtId="41" fontId="7" fillId="0" borderId="143" xfId="6" applyNumberFormat="1" applyFont="1" applyBorder="1" applyProtection="1"/>
    <xf numFmtId="41" fontId="7" fillId="6" borderId="76" xfId="6" applyNumberFormat="1" applyFont="1" applyFill="1" applyBorder="1" applyProtection="1"/>
    <xf numFmtId="41" fontId="7" fillId="6" borderId="7" xfId="6" applyNumberFormat="1" applyFont="1" applyFill="1" applyBorder="1" applyProtection="1"/>
    <xf numFmtId="41" fontId="7" fillId="0" borderId="21" xfId="6" applyNumberFormat="1" applyFont="1" applyBorder="1" applyProtection="1"/>
    <xf numFmtId="10" fontId="7" fillId="14" borderId="160" xfId="13" applyNumberFormat="1" applyFont="1" applyFill="1" applyBorder="1" applyProtection="1"/>
    <xf numFmtId="41" fontId="7" fillId="0" borderId="26" xfId="13" applyNumberFormat="1" applyFont="1" applyBorder="1" applyProtection="1"/>
    <xf numFmtId="42" fontId="7" fillId="0" borderId="167" xfId="6" applyNumberFormat="1" applyFont="1" applyBorder="1"/>
    <xf numFmtId="41" fontId="7" fillId="0" borderId="200" xfId="7" applyNumberFormat="1" applyFont="1" applyBorder="1"/>
    <xf numFmtId="41" fontId="7" fillId="0" borderId="148" xfId="7" applyNumberFormat="1" applyFont="1" applyBorder="1"/>
    <xf numFmtId="41" fontId="7" fillId="0" borderId="201" xfId="7" applyNumberFormat="1" applyFont="1" applyBorder="1"/>
    <xf numFmtId="41" fontId="7" fillId="5" borderId="201" xfId="6" applyNumberFormat="1" applyFont="1" applyFill="1" applyBorder="1" applyProtection="1">
      <protection locked="0"/>
    </xf>
    <xf numFmtId="41" fontId="7" fillId="5" borderId="202" xfId="6" applyNumberFormat="1" applyFont="1" applyFill="1" applyBorder="1" applyProtection="1">
      <protection locked="0"/>
    </xf>
    <xf numFmtId="41" fontId="7" fillId="5" borderId="153" xfId="6" applyNumberFormat="1" applyFont="1" applyFill="1" applyBorder="1" applyProtection="1">
      <protection locked="0"/>
    </xf>
    <xf numFmtId="0" fontId="0" fillId="0" borderId="0" xfId="0" applyProtection="1">
      <protection locked="0"/>
    </xf>
    <xf numFmtId="0" fontId="11" fillId="0" borderId="0" xfId="11" applyFont="1" applyAlignment="1" applyProtection="1">
      <alignment vertical="center"/>
      <protection locked="0"/>
    </xf>
    <xf numFmtId="0" fontId="10" fillId="0" borderId="0" xfId="11" applyFont="1" applyAlignment="1" applyProtection="1">
      <alignment vertical="center"/>
      <protection locked="0"/>
    </xf>
    <xf numFmtId="0" fontId="8" fillId="0" borderId="0" xfId="0" applyFont="1" applyProtection="1">
      <protection locked="0"/>
    </xf>
    <xf numFmtId="10" fontId="8" fillId="0" borderId="0" xfId="0" applyNumberFormat="1" applyFont="1" applyProtection="1">
      <protection locked="0"/>
    </xf>
    <xf numFmtId="14" fontId="22" fillId="0" borderId="0" xfId="0" applyNumberFormat="1" applyFont="1"/>
    <xf numFmtId="0" fontId="26" fillId="5" borderId="27" xfId="0" quotePrefix="1" applyFont="1" applyFill="1" applyBorder="1" applyAlignment="1" applyProtection="1">
      <alignment horizontal="left"/>
      <protection locked="0"/>
    </xf>
    <xf numFmtId="0" fontId="26" fillId="5" borderId="31" xfId="0" applyFont="1" applyFill="1" applyBorder="1" applyAlignment="1" applyProtection="1">
      <alignment horizontal="left"/>
      <protection locked="0"/>
    </xf>
    <xf numFmtId="49" fontId="26" fillId="5" borderId="31" xfId="0" applyNumberFormat="1" applyFont="1" applyFill="1" applyBorder="1" applyAlignment="1" applyProtection="1">
      <alignment horizontal="left"/>
      <protection locked="0"/>
    </xf>
    <xf numFmtId="10" fontId="7" fillId="0" borderId="108" xfId="6" applyNumberFormat="1" applyFont="1" applyFill="1" applyBorder="1"/>
    <xf numFmtId="10" fontId="7" fillId="0" borderId="113" xfId="6" applyNumberFormat="1" applyFont="1" applyFill="1" applyBorder="1"/>
    <xf numFmtId="10" fontId="7" fillId="0" borderId="55" xfId="6" applyNumberFormat="1" applyFont="1" applyFill="1" applyBorder="1"/>
    <xf numFmtId="10" fontId="7" fillId="0" borderId="26" xfId="6" applyNumberFormat="1" applyFont="1" applyFill="1" applyBorder="1"/>
    <xf numFmtId="10" fontId="7" fillId="0" borderId="54" xfId="6" applyNumberFormat="1" applyFont="1" applyFill="1" applyBorder="1"/>
    <xf numFmtId="10" fontId="7" fillId="0" borderId="128" xfId="13" applyNumberFormat="1" applyFont="1" applyBorder="1"/>
    <xf numFmtId="38" fontId="0" fillId="0" borderId="0" xfId="0" applyNumberFormat="1"/>
    <xf numFmtId="37" fontId="0" fillId="0" borderId="0" xfId="0" applyNumberFormat="1"/>
    <xf numFmtId="42" fontId="0" fillId="0" borderId="0" xfId="0" applyNumberFormat="1"/>
    <xf numFmtId="2" fontId="0" fillId="0" borderId="0" xfId="0" applyNumberFormat="1"/>
    <xf numFmtId="9" fontId="7" fillId="0" borderId="0" xfId="13" applyFont="1" applyBorder="1"/>
    <xf numFmtId="0" fontId="4" fillId="0" borderId="0" xfId="0" applyFont="1"/>
    <xf numFmtId="43" fontId="7" fillId="0" borderId="0" xfId="13" applyNumberFormat="1" applyFont="1" applyBorder="1"/>
    <xf numFmtId="171" fontId="7" fillId="0" borderId="0" xfId="6" applyNumberFormat="1" applyFont="1" applyBorder="1"/>
    <xf numFmtId="41" fontId="7" fillId="0" borderId="0" xfId="13" applyNumberFormat="1" applyFont="1" applyBorder="1"/>
    <xf numFmtId="10" fontId="7" fillId="0" borderId="0" xfId="13" applyNumberFormat="1" applyFont="1" applyFill="1" applyBorder="1"/>
    <xf numFmtId="41" fontId="7" fillId="0" borderId="0" xfId="0" applyNumberFormat="1" applyFont="1" applyAlignment="1">
      <alignment horizontal="center"/>
    </xf>
    <xf numFmtId="0" fontId="46" fillId="0" borderId="0" xfId="0" applyFont="1"/>
    <xf numFmtId="41" fontId="29" fillId="0" borderId="0" xfId="0" applyNumberFormat="1" applyFont="1" applyAlignment="1">
      <alignment horizontal="center"/>
    </xf>
    <xf numFmtId="0" fontId="1" fillId="0" borderId="0" xfId="0" applyFont="1" applyProtection="1">
      <protection locked="0"/>
    </xf>
    <xf numFmtId="0" fontId="12" fillId="0" borderId="0" xfId="0" applyFont="1" applyProtection="1">
      <protection locked="0"/>
    </xf>
    <xf numFmtId="9" fontId="1" fillId="0" borderId="0" xfId="13" applyFont="1" applyAlignment="1">
      <alignment horizontal="center"/>
    </xf>
    <xf numFmtId="0" fontId="12" fillId="0" borderId="0" xfId="0" applyFont="1" applyAlignment="1">
      <alignment horizontal="center"/>
    </xf>
    <xf numFmtId="0" fontId="6" fillId="0" borderId="23" xfId="0" applyFont="1" applyBorder="1"/>
    <xf numFmtId="42" fontId="7" fillId="0" borderId="0" xfId="6" applyNumberFormat="1" applyFont="1" applyBorder="1"/>
    <xf numFmtId="170" fontId="0" fillId="0" borderId="0" xfId="13" applyNumberFormat="1" applyFont="1"/>
    <xf numFmtId="10" fontId="0" fillId="0" borderId="0" xfId="13" applyNumberFormat="1" applyFont="1"/>
    <xf numFmtId="0" fontId="22" fillId="0" borderId="0" xfId="12" applyFont="1" applyAlignment="1">
      <alignment wrapText="1"/>
    </xf>
    <xf numFmtId="0" fontId="22" fillId="0" borderId="0" xfId="12" applyFont="1" applyAlignment="1">
      <alignment horizontal="center"/>
    </xf>
    <xf numFmtId="0" fontId="22" fillId="0" borderId="0" xfId="12" applyFont="1"/>
    <xf numFmtId="0" fontId="22" fillId="5" borderId="27" xfId="12" applyFont="1" applyFill="1" applyBorder="1" applyAlignment="1" applyProtection="1">
      <alignment horizontal="center"/>
      <protection locked="0"/>
    </xf>
    <xf numFmtId="0" fontId="22" fillId="0" borderId="0" xfId="12" applyFont="1" applyAlignment="1">
      <alignment horizontal="right"/>
    </xf>
    <xf numFmtId="0" fontId="1" fillId="0" borderId="0" xfId="9" applyAlignment="1">
      <alignment horizontal="left"/>
    </xf>
    <xf numFmtId="41" fontId="7" fillId="5" borderId="76" xfId="7" applyNumberFormat="1" applyFont="1" applyFill="1" applyBorder="1" applyProtection="1">
      <protection locked="0"/>
    </xf>
    <xf numFmtId="41" fontId="7" fillId="5" borderId="7" xfId="7" applyNumberFormat="1" applyFont="1" applyFill="1" applyBorder="1" applyProtection="1">
      <protection locked="0"/>
    </xf>
    <xf numFmtId="41" fontId="7" fillId="5" borderId="148" xfId="7" applyNumberFormat="1" applyFont="1" applyFill="1" applyBorder="1" applyProtection="1">
      <protection locked="0"/>
    </xf>
    <xf numFmtId="41" fontId="7" fillId="5" borderId="75" xfId="7" applyNumberFormat="1" applyFont="1" applyFill="1" applyBorder="1" applyProtection="1">
      <protection locked="0"/>
    </xf>
    <xf numFmtId="41" fontId="7" fillId="5" borderId="150" xfId="7" applyNumberFormat="1" applyFont="1" applyFill="1" applyBorder="1" applyProtection="1">
      <protection locked="0"/>
    </xf>
    <xf numFmtId="41" fontId="7" fillId="5" borderId="151" xfId="7" applyNumberFormat="1" applyFont="1" applyFill="1" applyBorder="1" applyProtection="1">
      <protection locked="0"/>
    </xf>
    <xf numFmtId="41" fontId="28" fillId="12" borderId="6" xfId="2" applyNumberFormat="1" applyFont="1" applyFill="1" applyBorder="1"/>
    <xf numFmtId="49" fontId="7" fillId="5" borderId="31" xfId="13" applyNumberFormat="1" applyFont="1" applyFill="1" applyBorder="1" applyProtection="1">
      <protection locked="0"/>
    </xf>
    <xf numFmtId="49" fontId="7" fillId="5" borderId="31" xfId="13" applyNumberFormat="1" applyFont="1" applyFill="1" applyBorder="1" applyAlignment="1" applyProtection="1">
      <alignment horizontal="left" vertical="top"/>
      <protection locked="0"/>
    </xf>
    <xf numFmtId="172" fontId="1" fillId="0" borderId="0" xfId="0" applyNumberFormat="1" applyFont="1" applyAlignment="1">
      <alignment horizontal="center"/>
    </xf>
    <xf numFmtId="44" fontId="0" fillId="0" borderId="0" xfId="0" applyNumberFormat="1"/>
    <xf numFmtId="41" fontId="7" fillId="0" borderId="127" xfId="2" applyNumberFormat="1" applyFont="1" applyFill="1" applyBorder="1" applyProtection="1"/>
    <xf numFmtId="41" fontId="7" fillId="5" borderId="27" xfId="6" applyNumberFormat="1" applyFont="1" applyFill="1" applyBorder="1" applyProtection="1">
      <protection locked="0"/>
    </xf>
    <xf numFmtId="41" fontId="7" fillId="5" borderId="189" xfId="6" applyNumberFormat="1" applyFont="1" applyFill="1" applyBorder="1" applyProtection="1">
      <protection locked="0"/>
    </xf>
    <xf numFmtId="41" fontId="7" fillId="5" borderId="84" xfId="6" applyNumberFormat="1" applyFont="1" applyFill="1" applyBorder="1" applyProtection="1">
      <protection locked="0"/>
    </xf>
    <xf numFmtId="41" fontId="7" fillId="5" borderId="152" xfId="6" applyNumberFormat="1" applyFont="1" applyFill="1" applyBorder="1" applyProtection="1">
      <protection locked="0"/>
    </xf>
    <xf numFmtId="42" fontId="7" fillId="0" borderId="0" xfId="0" applyNumberFormat="1" applyFont="1"/>
    <xf numFmtId="0" fontId="22" fillId="0" borderId="27" xfId="12" applyFont="1" applyBorder="1" applyAlignment="1" applyProtection="1">
      <alignment horizontal="center"/>
      <protection locked="0"/>
    </xf>
    <xf numFmtId="0" fontId="1" fillId="0" borderId="32" xfId="0" applyFont="1" applyBorder="1"/>
    <xf numFmtId="0" fontId="1" fillId="0" borderId="31" xfId="0" applyFont="1" applyBorder="1"/>
    <xf numFmtId="2" fontId="7" fillId="0" borderId="0" xfId="0" applyNumberFormat="1" applyFont="1"/>
    <xf numFmtId="5" fontId="7" fillId="0" borderId="0" xfId="6" applyFont="1" applyFill="1" applyBorder="1" applyAlignment="1">
      <alignment horizontal="left"/>
    </xf>
    <xf numFmtId="3" fontId="7" fillId="0" borderId="0" xfId="13" applyNumberFormat="1" applyFont="1" applyFill="1" applyBorder="1"/>
    <xf numFmtId="10" fontId="7" fillId="0" borderId="19" xfId="13" applyNumberFormat="1" applyFont="1" applyFill="1" applyBorder="1"/>
    <xf numFmtId="41" fontId="43" fillId="0" borderId="32" xfId="13" applyNumberFormat="1" applyFont="1" applyBorder="1"/>
    <xf numFmtId="0" fontId="3" fillId="0" borderId="203" xfId="12" applyFont="1" applyBorder="1"/>
    <xf numFmtId="0" fontId="1" fillId="0" borderId="203" xfId="12" applyBorder="1"/>
    <xf numFmtId="0" fontId="0" fillId="0" borderId="203" xfId="0" applyBorder="1"/>
    <xf numFmtId="44" fontId="1" fillId="0" borderId="0" xfId="12" applyNumberFormat="1"/>
    <xf numFmtId="0" fontId="5" fillId="0" borderId="17" xfId="12" applyFont="1" applyBorder="1" applyAlignment="1">
      <alignment horizontal="right"/>
    </xf>
    <xf numFmtId="0" fontId="1" fillId="0" borderId="27" xfId="12" applyBorder="1" applyAlignment="1" applyProtection="1">
      <alignment horizontal="center"/>
      <protection locked="0"/>
    </xf>
    <xf numFmtId="1" fontId="26" fillId="0" borderId="31" xfId="0" applyNumberFormat="1" applyFont="1" applyBorder="1" applyAlignment="1" applyProtection="1">
      <alignment horizontal="left"/>
      <protection locked="0"/>
    </xf>
    <xf numFmtId="170" fontId="0" fillId="0" borderId="0" xfId="13" applyNumberFormat="1" applyFont="1" applyAlignment="1">
      <alignment horizontal="center"/>
    </xf>
    <xf numFmtId="170" fontId="12" fillId="0" borderId="0" xfId="13" applyNumberFormat="1" applyFont="1" applyAlignment="1">
      <alignment horizontal="center"/>
    </xf>
    <xf numFmtId="10" fontId="12" fillId="0" borderId="0" xfId="13" applyNumberFormat="1" applyFont="1" applyAlignment="1">
      <alignment horizontal="center"/>
    </xf>
    <xf numFmtId="10" fontId="7" fillId="6" borderId="204" xfId="13" applyNumberFormat="1" applyFont="1" applyFill="1" applyBorder="1"/>
    <xf numFmtId="0" fontId="0" fillId="0" borderId="205" xfId="0" applyBorder="1"/>
    <xf numFmtId="10" fontId="7" fillId="0" borderId="206" xfId="13" applyNumberFormat="1" applyFont="1" applyBorder="1"/>
    <xf numFmtId="10" fontId="7" fillId="0" borderId="207" xfId="13" applyNumberFormat="1" applyFont="1" applyBorder="1"/>
    <xf numFmtId="6" fontId="7" fillId="0" borderId="208" xfId="6" applyNumberFormat="1" applyFont="1" applyBorder="1"/>
    <xf numFmtId="38" fontId="7" fillId="0" borderId="205" xfId="13" applyNumberFormat="1" applyFont="1" applyBorder="1"/>
    <xf numFmtId="10" fontId="7" fillId="6" borderId="209" xfId="6" applyNumberFormat="1" applyFont="1" applyFill="1" applyBorder="1"/>
    <xf numFmtId="10" fontId="7" fillId="0" borderId="209" xfId="6" applyNumberFormat="1" applyFont="1" applyBorder="1"/>
    <xf numFmtId="6" fontId="7" fillId="0" borderId="205" xfId="13" applyNumberFormat="1" applyFont="1" applyBorder="1"/>
    <xf numFmtId="10" fontId="7" fillId="0" borderId="210" xfId="13" applyNumberFormat="1" applyFont="1" applyBorder="1"/>
    <xf numFmtId="0" fontId="0" fillId="0" borderId="211" xfId="0" applyBorder="1"/>
    <xf numFmtId="9" fontId="40" fillId="0" borderId="22" xfId="13" applyFont="1" applyBorder="1" applyAlignment="1">
      <alignment horizontal="left"/>
    </xf>
    <xf numFmtId="41" fontId="7" fillId="5" borderId="212" xfId="6" applyNumberFormat="1" applyFont="1" applyFill="1" applyBorder="1" applyProtection="1">
      <protection locked="0"/>
    </xf>
    <xf numFmtId="41" fontId="7" fillId="5" borderId="151" xfId="0" applyNumberFormat="1" applyFont="1" applyFill="1" applyBorder="1" applyProtection="1">
      <protection locked="0"/>
    </xf>
    <xf numFmtId="41" fontId="7" fillId="5" borderId="150" xfId="0" applyNumberFormat="1" applyFont="1" applyFill="1" applyBorder="1" applyProtection="1">
      <protection locked="0"/>
    </xf>
    <xf numFmtId="41" fontId="7" fillId="5" borderId="213" xfId="0" applyNumberFormat="1" applyFont="1" applyFill="1" applyBorder="1" applyProtection="1">
      <protection locked="0"/>
    </xf>
    <xf numFmtId="0" fontId="12" fillId="5" borderId="4" xfId="0" applyFont="1" applyFill="1" applyBorder="1" applyAlignment="1" applyProtection="1">
      <alignment horizontal="center"/>
      <protection locked="0"/>
    </xf>
    <xf numFmtId="0" fontId="26" fillId="5" borderId="27" xfId="0" quotePrefix="1" applyFont="1" applyFill="1" applyBorder="1" applyAlignment="1">
      <alignment horizontal="left"/>
    </xf>
    <xf numFmtId="0" fontId="26" fillId="5" borderId="31" xfId="0" applyFont="1" applyFill="1" applyBorder="1" applyAlignment="1">
      <alignment horizontal="left"/>
    </xf>
    <xf numFmtId="49" fontId="26" fillId="5" borderId="31" xfId="0" applyNumberFormat="1" applyFont="1" applyFill="1" applyBorder="1" applyAlignment="1">
      <alignment horizontal="left"/>
    </xf>
    <xf numFmtId="10" fontId="0" fillId="0" borderId="0" xfId="13" applyNumberFormat="1" applyFont="1" applyProtection="1"/>
    <xf numFmtId="0" fontId="7" fillId="0" borderId="30" xfId="0" applyFont="1" applyBorder="1" applyAlignment="1">
      <alignment horizontal="left"/>
    </xf>
    <xf numFmtId="0" fontId="0" fillId="0" borderId="30" xfId="0" applyBorder="1"/>
    <xf numFmtId="42" fontId="7" fillId="0" borderId="0" xfId="7" applyNumberFormat="1" applyFont="1" applyFill="1" applyBorder="1" applyProtection="1"/>
    <xf numFmtId="10" fontId="7" fillId="0" borderId="115" xfId="13" applyNumberFormat="1" applyFont="1" applyFill="1" applyBorder="1" applyProtection="1"/>
    <xf numFmtId="9" fontId="7" fillId="0" borderId="5" xfId="13" applyFont="1" applyBorder="1" applyProtection="1"/>
    <xf numFmtId="9" fontId="7" fillId="0" borderId="30" xfId="13" applyFont="1" applyBorder="1" applyProtection="1"/>
    <xf numFmtId="43" fontId="7" fillId="0" borderId="115" xfId="13" applyNumberFormat="1" applyFont="1" applyBorder="1" applyProtection="1"/>
    <xf numFmtId="171" fontId="7" fillId="0" borderId="115" xfId="6" applyNumberFormat="1" applyFont="1" applyBorder="1" applyProtection="1"/>
    <xf numFmtId="10" fontId="7" fillId="0" borderId="115" xfId="13" applyNumberFormat="1" applyFont="1" applyBorder="1" applyProtection="1"/>
    <xf numFmtId="165" fontId="7" fillId="0" borderId="115" xfId="13" applyNumberFormat="1" applyFont="1" applyBorder="1" applyProtection="1"/>
    <xf numFmtId="10" fontId="7" fillId="0" borderId="144" xfId="13" applyNumberFormat="1" applyFont="1" applyBorder="1" applyProtection="1"/>
    <xf numFmtId="43" fontId="7" fillId="0" borderId="0" xfId="6" applyNumberFormat="1" applyFont="1" applyProtection="1"/>
    <xf numFmtId="10" fontId="7" fillId="0" borderId="19" xfId="0" applyNumberFormat="1" applyFont="1" applyBorder="1"/>
    <xf numFmtId="38" fontId="7" fillId="7" borderId="54" xfId="6" applyNumberFormat="1" applyFont="1" applyFill="1" applyBorder="1" applyProtection="1"/>
    <xf numFmtId="38" fontId="7" fillId="7" borderId="54" xfId="5" applyNumberFormat="1" applyFont="1" applyFill="1" applyBorder="1" applyProtection="1"/>
    <xf numFmtId="10" fontId="7" fillId="6" borderId="54" xfId="6" applyNumberFormat="1" applyFont="1" applyFill="1" applyBorder="1" applyProtection="1"/>
    <xf numFmtId="10" fontId="7" fillId="6" borderId="52" xfId="6" applyNumberFormat="1" applyFont="1" applyFill="1" applyBorder="1" applyProtection="1"/>
    <xf numFmtId="10" fontId="7" fillId="6" borderId="54" xfId="13" applyNumberFormat="1" applyFont="1" applyFill="1" applyBorder="1" applyProtection="1"/>
    <xf numFmtId="10" fontId="7" fillId="6" borderId="52" xfId="13" applyNumberFormat="1" applyFont="1" applyFill="1" applyBorder="1" applyProtection="1"/>
    <xf numFmtId="41" fontId="7" fillId="0" borderId="54" xfId="5" applyNumberFormat="1" applyFont="1" applyBorder="1" applyProtection="1"/>
    <xf numFmtId="10" fontId="7" fillId="0" borderId="54" xfId="6" applyNumberFormat="1" applyFont="1" applyBorder="1" applyProtection="1"/>
    <xf numFmtId="10" fontId="7" fillId="0" borderId="54" xfId="13" applyNumberFormat="1" applyFont="1" applyBorder="1" applyProtection="1"/>
    <xf numFmtId="10" fontId="7" fillId="0" borderId="52" xfId="13" applyNumberFormat="1" applyFont="1" applyBorder="1" applyProtection="1"/>
    <xf numFmtId="38" fontId="7" fillId="0" borderId="31" xfId="6" applyNumberFormat="1" applyFont="1" applyBorder="1" applyProtection="1"/>
    <xf numFmtId="38" fontId="7" fillId="0" borderId="31" xfId="5" applyNumberFormat="1" applyFont="1" applyBorder="1" applyProtection="1"/>
    <xf numFmtId="10" fontId="7" fillId="0" borderId="31" xfId="13" applyNumberFormat="1" applyFont="1" applyBorder="1" applyProtection="1"/>
    <xf numFmtId="10" fontId="7" fillId="0" borderId="51" xfId="13" applyNumberFormat="1" applyFont="1" applyBorder="1" applyProtection="1"/>
    <xf numFmtId="38" fontId="7" fillId="3" borderId="54" xfId="13" applyNumberFormat="1" applyFont="1" applyFill="1" applyBorder="1" applyProtection="1"/>
    <xf numFmtId="38" fontId="7" fillId="3" borderId="54" xfId="5" applyNumberFormat="1" applyFont="1" applyFill="1" applyBorder="1" applyProtection="1"/>
    <xf numFmtId="10" fontId="7" fillId="3" borderId="54" xfId="13" applyNumberFormat="1" applyFont="1" applyFill="1" applyBorder="1" applyProtection="1"/>
    <xf numFmtId="38" fontId="7" fillId="3" borderId="54" xfId="6" applyNumberFormat="1" applyFont="1" applyFill="1" applyBorder="1" applyProtection="1"/>
    <xf numFmtId="10" fontId="7" fillId="3" borderId="52" xfId="13" applyNumberFormat="1" applyFont="1" applyFill="1" applyBorder="1" applyProtection="1"/>
    <xf numFmtId="0" fontId="0" fillId="0" borderId="214" xfId="0" applyBorder="1"/>
    <xf numFmtId="41" fontId="7" fillId="0" borderId="215" xfId="6" applyNumberFormat="1" applyFont="1" applyFill="1" applyBorder="1" applyAlignment="1" applyProtection="1">
      <alignment horizontal="center" wrapText="1"/>
    </xf>
    <xf numFmtId="10" fontId="7" fillId="0" borderId="26" xfId="13" applyNumberFormat="1" applyFont="1" applyBorder="1" applyProtection="1"/>
    <xf numFmtId="10" fontId="7" fillId="0" borderId="72" xfId="13" applyNumberFormat="1" applyFont="1" applyBorder="1" applyProtection="1"/>
    <xf numFmtId="5" fontId="7" fillId="0" borderId="0" xfId="6" applyFont="1" applyAlignment="1" applyProtection="1">
      <alignment horizontal="left"/>
    </xf>
    <xf numFmtId="10" fontId="7" fillId="0" borderId="0" xfId="13" applyNumberFormat="1" applyFont="1" applyProtection="1"/>
    <xf numFmtId="10" fontId="7" fillId="0" borderId="19" xfId="13" applyNumberFormat="1" applyFont="1" applyBorder="1" applyProtection="1"/>
    <xf numFmtId="43" fontId="7" fillId="0" borderId="0" xfId="0" applyNumberFormat="1" applyFont="1"/>
    <xf numFmtId="10" fontId="7" fillId="0" borderId="128" xfId="0" applyNumberFormat="1" applyFont="1" applyBorder="1"/>
    <xf numFmtId="10" fontId="7" fillId="0" borderId="54" xfId="0" applyNumberFormat="1" applyFont="1" applyBorder="1"/>
    <xf numFmtId="10" fontId="7" fillId="0" borderId="52" xfId="0" applyNumberFormat="1" applyFont="1" applyBorder="1"/>
    <xf numFmtId="10" fontId="7" fillId="0" borderId="77" xfId="13" applyNumberFormat="1" applyFont="1" applyBorder="1" applyProtection="1"/>
    <xf numFmtId="41" fontId="7" fillId="0" borderId="151" xfId="0" applyNumberFormat="1" applyFont="1" applyBorder="1"/>
    <xf numFmtId="10" fontId="7" fillId="0" borderId="11" xfId="13" applyNumberFormat="1" applyFont="1" applyBorder="1" applyProtection="1"/>
    <xf numFmtId="49" fontId="7" fillId="5" borderId="51" xfId="0" applyNumberFormat="1" applyFont="1" applyFill="1" applyBorder="1"/>
    <xf numFmtId="49" fontId="7" fillId="5" borderId="31" xfId="0" applyNumberFormat="1" applyFont="1" applyFill="1" applyBorder="1"/>
    <xf numFmtId="10" fontId="7" fillId="0" borderId="7" xfId="13" applyNumberFormat="1" applyFont="1" applyBorder="1" applyProtection="1"/>
    <xf numFmtId="10" fontId="7" fillId="0" borderId="71" xfId="13" applyNumberFormat="1" applyFont="1" applyBorder="1" applyProtection="1"/>
    <xf numFmtId="41" fontId="7" fillId="0" borderId="199" xfId="0" applyNumberFormat="1" applyFont="1" applyBorder="1"/>
    <xf numFmtId="10" fontId="7" fillId="0" borderId="216" xfId="13" applyNumberFormat="1" applyFont="1" applyBorder="1" applyProtection="1"/>
    <xf numFmtId="10" fontId="7" fillId="5" borderId="54" xfId="13" applyNumberFormat="1" applyFont="1" applyFill="1" applyBorder="1" applyProtection="1">
      <protection locked="0"/>
    </xf>
    <xf numFmtId="49" fontId="7" fillId="5" borderId="32" xfId="0" applyNumberFormat="1" applyFont="1" applyFill="1" applyBorder="1" applyProtection="1">
      <protection locked="0"/>
    </xf>
    <xf numFmtId="9" fontId="0" fillId="0" borderId="0" xfId="13" applyFont="1" applyProtection="1"/>
    <xf numFmtId="168" fontId="0" fillId="0" borderId="0" xfId="5" applyNumberFormat="1" applyFont="1" applyProtection="1"/>
    <xf numFmtId="165" fontId="0" fillId="0" borderId="0" xfId="1" applyNumberFormat="1" applyFont="1" applyAlignment="1" applyProtection="1">
      <alignment horizontal="right"/>
    </xf>
    <xf numFmtId="0" fontId="0" fillId="0" borderId="0" xfId="0" applyAlignment="1">
      <alignment horizontal="right"/>
    </xf>
    <xf numFmtId="9" fontId="12" fillId="0" borderId="0" xfId="13" applyFont="1" applyProtection="1"/>
    <xf numFmtId="0" fontId="0" fillId="0" borderId="217" xfId="0" applyBorder="1"/>
    <xf numFmtId="0" fontId="0" fillId="0" borderId="17" xfId="0" applyBorder="1"/>
    <xf numFmtId="0" fontId="0" fillId="0" borderId="14" xfId="0" applyBorder="1"/>
    <xf numFmtId="0" fontId="1" fillId="0" borderId="14" xfId="0" applyFont="1" applyBorder="1" applyAlignment="1">
      <alignment horizontal="center"/>
    </xf>
    <xf numFmtId="0" fontId="0" fillId="0" borderId="218" xfId="0" applyBorder="1" applyAlignment="1">
      <alignment horizontal="center"/>
    </xf>
    <xf numFmtId="0" fontId="0" fillId="0" borderId="219" xfId="0" applyBorder="1"/>
    <xf numFmtId="0" fontId="0" fillId="0" borderId="15" xfId="0" applyBorder="1"/>
    <xf numFmtId="49" fontId="1" fillId="0" borderId="15" xfId="0" applyNumberFormat="1" applyFont="1" applyBorder="1" applyAlignment="1">
      <alignment horizontal="center"/>
    </xf>
    <xf numFmtId="0" fontId="1" fillId="0" borderId="220" xfId="0" applyFont="1" applyBorder="1" applyAlignment="1">
      <alignment horizontal="center"/>
    </xf>
    <xf numFmtId="0" fontId="1" fillId="0" borderId="15" xfId="0" applyFont="1" applyBorder="1"/>
    <xf numFmtId="0" fontId="1" fillId="0" borderId="15"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0" fillId="0" borderId="220" xfId="0" applyBorder="1"/>
    <xf numFmtId="49" fontId="0" fillId="0" borderId="221" xfId="0" applyNumberFormat="1" applyBorder="1"/>
    <xf numFmtId="0" fontId="0" fillId="0" borderId="222" xfId="0" applyBorder="1"/>
    <xf numFmtId="41" fontId="0" fillId="0" borderId="4" xfId="0" applyNumberFormat="1" applyBorder="1"/>
    <xf numFmtId="49" fontId="0" fillId="0" borderId="223" xfId="0" applyNumberFormat="1" applyBorder="1"/>
    <xf numFmtId="0" fontId="0" fillId="0" borderId="224" xfId="0" applyBorder="1" applyAlignment="1">
      <alignment horizontal="left"/>
    </xf>
    <xf numFmtId="0" fontId="0" fillId="0" borderId="9" xfId="0" applyBorder="1" applyAlignment="1">
      <alignment horizontal="left"/>
    </xf>
    <xf numFmtId="0" fontId="0" fillId="0" borderId="225" xfId="0" applyBorder="1" applyAlignment="1">
      <alignment horizontal="left"/>
    </xf>
    <xf numFmtId="0" fontId="12" fillId="0" borderId="34" xfId="0" applyFont="1" applyBorder="1"/>
    <xf numFmtId="0" fontId="12" fillId="0" borderId="35" xfId="0" applyFont="1" applyBorder="1"/>
    <xf numFmtId="0" fontId="12" fillId="0" borderId="185" xfId="0" applyFont="1" applyBorder="1" applyAlignment="1">
      <alignment horizontal="center"/>
    </xf>
    <xf numFmtId="41" fontId="0" fillId="5" borderId="185" xfId="0" applyNumberFormat="1" applyFill="1" applyBorder="1" applyProtection="1">
      <protection locked="0"/>
    </xf>
    <xf numFmtId="41" fontId="0" fillId="5" borderId="8" xfId="0" applyNumberFormat="1" applyFill="1" applyBorder="1" applyProtection="1">
      <protection locked="0"/>
    </xf>
    <xf numFmtId="41" fontId="0" fillId="5" borderId="37" xfId="0" applyNumberFormat="1" applyFill="1" applyBorder="1" applyProtection="1">
      <protection locked="0"/>
    </xf>
    <xf numFmtId="41" fontId="12" fillId="0" borderId="226" xfId="0" applyNumberFormat="1" applyFont="1" applyBorder="1"/>
    <xf numFmtId="41" fontId="12" fillId="0" borderId="227" xfId="0" applyNumberFormat="1" applyFont="1" applyBorder="1"/>
    <xf numFmtId="41" fontId="12" fillId="0" borderId="228" xfId="0" applyNumberFormat="1" applyFont="1" applyBorder="1"/>
    <xf numFmtId="49" fontId="12" fillId="0" borderId="229" xfId="0" applyNumberFormat="1" applyFont="1" applyBorder="1" applyAlignment="1">
      <alignment horizontal="center" wrapText="1"/>
    </xf>
    <xf numFmtId="170" fontId="0" fillId="0" borderId="0" xfId="13" applyNumberFormat="1" applyFont="1" applyProtection="1"/>
    <xf numFmtId="49" fontId="7" fillId="0" borderId="0" xfId="0" applyNumberFormat="1" applyFont="1"/>
    <xf numFmtId="49" fontId="0" fillId="0" borderId="0" xfId="0" applyNumberFormat="1"/>
    <xf numFmtId="0" fontId="10" fillId="0" borderId="0" xfId="11" applyFont="1" applyAlignment="1">
      <alignment vertical="center"/>
    </xf>
    <xf numFmtId="41" fontId="7" fillId="0" borderId="230" xfId="0" applyNumberFormat="1" applyFont="1" applyBorder="1"/>
    <xf numFmtId="41" fontId="7" fillId="5" borderId="188" xfId="6" applyNumberFormat="1" applyFont="1" applyFill="1" applyBorder="1" applyProtection="1">
      <protection locked="0"/>
    </xf>
    <xf numFmtId="41" fontId="7" fillId="0" borderId="201" xfId="0" applyNumberFormat="1" applyFont="1" applyBorder="1"/>
    <xf numFmtId="10" fontId="7" fillId="0" borderId="231" xfId="13" applyNumberFormat="1" applyFont="1" applyBorder="1" applyProtection="1"/>
    <xf numFmtId="10" fontId="7" fillId="0" borderId="232" xfId="13" applyNumberFormat="1" applyFont="1" applyBorder="1" applyProtection="1"/>
    <xf numFmtId="10" fontId="7" fillId="0" borderId="197" xfId="13" applyNumberFormat="1" applyFont="1" applyBorder="1" applyProtection="1"/>
    <xf numFmtId="10" fontId="7" fillId="0" borderId="233" xfId="13" applyNumberFormat="1" applyFont="1" applyBorder="1" applyProtection="1"/>
    <xf numFmtId="5" fontId="7" fillId="0" borderId="0" xfId="6" applyFont="1" applyFill="1" applyBorder="1" applyAlignment="1" applyProtection="1">
      <alignment horizontal="left"/>
    </xf>
    <xf numFmtId="10" fontId="7" fillId="0" borderId="0" xfId="13" applyNumberFormat="1" applyFont="1" applyFill="1" applyBorder="1" applyProtection="1"/>
    <xf numFmtId="3" fontId="7" fillId="0" borderId="0" xfId="13" applyNumberFormat="1" applyFont="1" applyFill="1" applyBorder="1" applyProtection="1"/>
    <xf numFmtId="41" fontId="7" fillId="0" borderId="0" xfId="6" applyNumberFormat="1" applyFont="1" applyFill="1" applyBorder="1" applyAlignment="1" applyProtection="1">
      <alignment horizontal="center" wrapText="1"/>
    </xf>
    <xf numFmtId="9" fontId="7" fillId="0" borderId="27" xfId="13" applyFont="1" applyBorder="1" applyProtection="1"/>
    <xf numFmtId="9" fontId="40" fillId="0" borderId="0" xfId="13" applyFont="1" applyAlignment="1" applyProtection="1">
      <alignment horizontal="left"/>
    </xf>
    <xf numFmtId="10" fontId="7" fillId="0" borderId="23" xfId="13" applyNumberFormat="1" applyFont="1" applyFill="1" applyBorder="1" applyProtection="1"/>
    <xf numFmtId="0" fontId="0" fillId="0" borderId="234" xfId="0" applyBorder="1"/>
    <xf numFmtId="10" fontId="7" fillId="0" borderId="17" xfId="0" applyNumberFormat="1" applyFont="1" applyBorder="1"/>
    <xf numFmtId="0" fontId="0" fillId="0" borderId="128" xfId="0" applyBorder="1"/>
    <xf numFmtId="10" fontId="7" fillId="0" borderId="7" xfId="13" applyNumberFormat="1" applyFont="1" applyFill="1" applyBorder="1" applyProtection="1"/>
    <xf numFmtId="10" fontId="7" fillId="0" borderId="111" xfId="13" applyNumberFormat="1" applyFont="1" applyFill="1" applyBorder="1" applyProtection="1"/>
    <xf numFmtId="10" fontId="7" fillId="0" borderId="113" xfId="13" applyNumberFormat="1" applyFont="1" applyFill="1" applyBorder="1" applyProtection="1"/>
    <xf numFmtId="10" fontId="7" fillId="0" borderId="235" xfId="13" applyNumberFormat="1" applyFont="1" applyFill="1" applyBorder="1" applyProtection="1"/>
    <xf numFmtId="10" fontId="7" fillId="0" borderId="236" xfId="13" applyNumberFormat="1" applyFont="1" applyFill="1" applyBorder="1" applyProtection="1"/>
    <xf numFmtId="10" fontId="7" fillId="0" borderId="26" xfId="13" applyNumberFormat="1" applyFont="1" applyFill="1" applyBorder="1" applyProtection="1"/>
    <xf numFmtId="10" fontId="7" fillId="0" borderId="197" xfId="13" applyNumberFormat="1" applyFont="1" applyFill="1" applyBorder="1" applyProtection="1"/>
    <xf numFmtId="10" fontId="7" fillId="0" borderId="237" xfId="13" applyNumberFormat="1" applyFont="1" applyFill="1" applyBorder="1" applyProtection="1"/>
    <xf numFmtId="10" fontId="7" fillId="0" borderId="54" xfId="13" applyNumberFormat="1" applyFont="1" applyFill="1" applyBorder="1" applyProtection="1"/>
    <xf numFmtId="41" fontId="7" fillId="0" borderId="150" xfId="0" applyNumberFormat="1" applyFont="1" applyBorder="1"/>
    <xf numFmtId="41" fontId="7" fillId="0" borderId="212" xfId="0" applyNumberFormat="1" applyFont="1" applyBorder="1"/>
    <xf numFmtId="0" fontId="0" fillId="5" borderId="19" xfId="0" applyFill="1" applyBorder="1"/>
    <xf numFmtId="10" fontId="7" fillId="5" borderId="54" xfId="0" applyNumberFormat="1" applyFont="1" applyFill="1" applyBorder="1" applyProtection="1">
      <protection locked="0"/>
    </xf>
    <xf numFmtId="10" fontId="7" fillId="0" borderId="0" xfId="6" applyNumberFormat="1" applyFont="1" applyFill="1" applyBorder="1"/>
    <xf numFmtId="5" fontId="7" fillId="0" borderId="0" xfId="6" applyFont="1" applyFill="1" applyBorder="1"/>
    <xf numFmtId="38" fontId="7" fillId="0" borderId="0" xfId="6" applyNumberFormat="1" applyFont="1" applyFill="1" applyBorder="1"/>
    <xf numFmtId="10" fontId="1" fillId="5" borderId="0" xfId="0" applyNumberFormat="1" applyFont="1" applyFill="1" applyAlignment="1" applyProtection="1">
      <alignment horizontal="center"/>
      <protection locked="0"/>
    </xf>
    <xf numFmtId="9" fontId="12" fillId="5" borderId="0" xfId="13" applyFont="1" applyFill="1" applyAlignment="1" applyProtection="1">
      <alignment horizontal="center"/>
      <protection locked="0"/>
    </xf>
    <xf numFmtId="41" fontId="7" fillId="0" borderId="187" xfId="2" applyNumberFormat="1" applyFont="1" applyFill="1" applyBorder="1" applyProtection="1"/>
    <xf numFmtId="10" fontId="7" fillId="0" borderId="22" xfId="13" applyNumberFormat="1" applyFont="1" applyFill="1" applyBorder="1" applyProtection="1"/>
    <xf numFmtId="10" fontId="7" fillId="0" borderId="0" xfId="13" applyNumberFormat="1" applyFont="1" applyBorder="1" applyProtection="1"/>
    <xf numFmtId="10" fontId="7" fillId="5" borderId="49" xfId="13" applyNumberFormat="1" applyFont="1" applyFill="1" applyBorder="1" applyProtection="1">
      <protection locked="0"/>
    </xf>
    <xf numFmtId="41" fontId="7" fillId="0" borderId="238" xfId="0" applyNumberFormat="1" applyFont="1" applyBorder="1"/>
    <xf numFmtId="41" fontId="7" fillId="0" borderId="239" xfId="0" applyNumberFormat="1" applyFont="1" applyBorder="1"/>
    <xf numFmtId="170" fontId="0" fillId="0" borderId="0" xfId="13" applyNumberFormat="1" applyFont="1" applyAlignment="1" applyProtection="1">
      <alignment horizontal="center"/>
    </xf>
    <xf numFmtId="170" fontId="12" fillId="0" borderId="0" xfId="13" applyNumberFormat="1" applyFont="1" applyAlignment="1" applyProtection="1">
      <alignment horizontal="center"/>
    </xf>
    <xf numFmtId="0" fontId="0" fillId="0" borderId="0" xfId="0" applyAlignment="1">
      <alignment horizontal="left" vertical="top"/>
    </xf>
    <xf numFmtId="10" fontId="12" fillId="0" borderId="0" xfId="13" applyNumberFormat="1" applyFont="1" applyAlignment="1" applyProtection="1">
      <alignment horizontal="center"/>
    </xf>
    <xf numFmtId="38" fontId="6" fillId="0" borderId="0" xfId="6" applyNumberFormat="1" applyFont="1" applyProtection="1"/>
    <xf numFmtId="38" fontId="6" fillId="0" borderId="0" xfId="6" applyNumberFormat="1" applyFont="1" applyAlignment="1" applyProtection="1">
      <alignment horizontal="left"/>
    </xf>
    <xf numFmtId="0" fontId="7" fillId="0" borderId="240" xfId="0" applyFont="1" applyBorder="1"/>
    <xf numFmtId="0" fontId="7" fillId="0" borderId="241" xfId="0" applyFont="1" applyBorder="1"/>
    <xf numFmtId="0" fontId="7" fillId="0" borderId="242" xfId="0" applyFont="1" applyBorder="1" applyAlignment="1">
      <alignment horizontal="center"/>
    </xf>
    <xf numFmtId="10" fontId="7" fillId="0" borderId="242" xfId="0" applyNumberFormat="1" applyFont="1" applyBorder="1" applyAlignment="1">
      <alignment horizontal="center"/>
    </xf>
    <xf numFmtId="0" fontId="7" fillId="0" borderId="243" xfId="0" applyFont="1" applyBorder="1"/>
    <xf numFmtId="0" fontId="43" fillId="0" borderId="244" xfId="0" applyFont="1" applyBorder="1"/>
    <xf numFmtId="5" fontId="7" fillId="0" borderId="1" xfId="6" applyFont="1" applyBorder="1" applyProtection="1"/>
    <xf numFmtId="10" fontId="7" fillId="0" borderId="1" xfId="6" applyNumberFormat="1" applyFont="1" applyBorder="1" applyProtection="1"/>
    <xf numFmtId="10" fontId="7" fillId="0" borderId="245" xfId="6" applyNumberFormat="1" applyFont="1" applyBorder="1" applyProtection="1"/>
    <xf numFmtId="5" fontId="7" fillId="0" borderId="61" xfId="6" applyFont="1" applyBorder="1" applyProtection="1"/>
    <xf numFmtId="10" fontId="7" fillId="0" borderId="61" xfId="6" applyNumberFormat="1" applyFont="1" applyBorder="1" applyProtection="1"/>
    <xf numFmtId="10" fontId="7" fillId="0" borderId="137" xfId="6" applyNumberFormat="1" applyFont="1" applyBorder="1" applyProtection="1"/>
    <xf numFmtId="41" fontId="7" fillId="0" borderId="75" xfId="6" applyNumberFormat="1" applyFont="1" applyBorder="1" applyProtection="1"/>
    <xf numFmtId="41" fontId="7" fillId="0" borderId="106" xfId="5" applyNumberFormat="1" applyFont="1" applyBorder="1" applyProtection="1"/>
    <xf numFmtId="10" fontId="7" fillId="0" borderId="7" xfId="6" applyNumberFormat="1" applyFont="1" applyBorder="1" applyProtection="1"/>
    <xf numFmtId="10" fontId="7" fillId="0" borderId="71" xfId="6" applyNumberFormat="1" applyFont="1" applyBorder="1" applyProtection="1"/>
    <xf numFmtId="41" fontId="7" fillId="0" borderId="21" xfId="5" applyNumberFormat="1" applyFont="1" applyBorder="1" applyProtection="1"/>
    <xf numFmtId="10" fontId="7" fillId="0" borderId="21" xfId="13" applyNumberFormat="1" applyFont="1" applyBorder="1" applyProtection="1"/>
    <xf numFmtId="10" fontId="7" fillId="0" borderId="118" xfId="13" applyNumberFormat="1" applyFont="1" applyBorder="1" applyProtection="1"/>
    <xf numFmtId="41" fontId="7" fillId="0" borderId="76" xfId="13" applyNumberFormat="1" applyFont="1" applyBorder="1" applyProtection="1"/>
    <xf numFmtId="41" fontId="7" fillId="0" borderId="75" xfId="13" applyNumberFormat="1" applyFont="1" applyBorder="1" applyProtection="1"/>
    <xf numFmtId="41" fontId="7" fillId="0" borderId="106" xfId="6" applyNumberFormat="1" applyFont="1" applyBorder="1" applyProtection="1"/>
    <xf numFmtId="41" fontId="7" fillId="0" borderId="0" xfId="6" applyNumberFormat="1" applyFont="1" applyProtection="1"/>
    <xf numFmtId="41" fontId="7" fillId="0" borderId="116" xfId="6" applyNumberFormat="1" applyFont="1" applyBorder="1" applyProtection="1"/>
    <xf numFmtId="41" fontId="7" fillId="0" borderId="198" xfId="5" applyNumberFormat="1" applyFont="1" applyBorder="1" applyProtection="1"/>
    <xf numFmtId="10" fontId="7" fillId="0" borderId="26" xfId="6" applyNumberFormat="1" applyFont="1" applyBorder="1" applyProtection="1"/>
    <xf numFmtId="41" fontId="7" fillId="0" borderId="131" xfId="6" applyNumberFormat="1" applyFont="1" applyBorder="1" applyProtection="1"/>
    <xf numFmtId="10" fontId="7" fillId="0" borderId="131" xfId="13" applyNumberFormat="1" applyFont="1" applyBorder="1" applyProtection="1"/>
    <xf numFmtId="10" fontId="7" fillId="0" borderId="110" xfId="13" applyNumberFormat="1" applyFont="1" applyBorder="1" applyProtection="1"/>
    <xf numFmtId="5" fontId="7" fillId="0" borderId="0" xfId="6" applyFont="1" applyAlignment="1" applyProtection="1">
      <alignment horizontal="center"/>
    </xf>
    <xf numFmtId="10" fontId="7" fillId="0" borderId="0" xfId="6" applyNumberFormat="1" applyFont="1" applyAlignment="1" applyProtection="1">
      <alignment horizontal="center"/>
    </xf>
    <xf numFmtId="10" fontId="7" fillId="0" borderId="19" xfId="6" applyNumberFormat="1" applyFont="1" applyBorder="1" applyAlignment="1" applyProtection="1">
      <alignment horizontal="center"/>
    </xf>
    <xf numFmtId="5" fontId="7" fillId="0" borderId="22" xfId="6" applyFont="1" applyBorder="1" applyProtection="1"/>
    <xf numFmtId="5" fontId="7" fillId="0" borderId="22" xfId="6" applyFont="1" applyBorder="1" applyAlignment="1" applyProtection="1">
      <alignment horizontal="center"/>
    </xf>
    <xf numFmtId="10" fontId="7" fillId="0" borderId="22" xfId="6" applyNumberFormat="1" applyFont="1" applyBorder="1" applyAlignment="1" applyProtection="1">
      <alignment horizontal="center"/>
    </xf>
    <xf numFmtId="10" fontId="7" fillId="0" borderId="109" xfId="6" applyNumberFormat="1" applyFont="1" applyBorder="1" applyAlignment="1" applyProtection="1">
      <alignment horizontal="center"/>
    </xf>
    <xf numFmtId="41" fontId="7" fillId="0" borderId="146" xfId="6" applyNumberFormat="1" applyFont="1" applyBorder="1" applyProtection="1"/>
    <xf numFmtId="0" fontId="7" fillId="0" borderId="246" xfId="0" applyFont="1" applyBorder="1" applyAlignment="1">
      <alignment horizontal="center"/>
    </xf>
    <xf numFmtId="38" fontId="7" fillId="0" borderId="56" xfId="6" applyNumberFormat="1" applyFont="1" applyBorder="1" applyProtection="1"/>
    <xf numFmtId="10" fontId="7" fillId="0" borderId="56" xfId="6" applyNumberFormat="1" applyFont="1" applyBorder="1" applyProtection="1"/>
    <xf numFmtId="10" fontId="7" fillId="0" borderId="175" xfId="6" applyNumberFormat="1" applyFont="1" applyBorder="1" applyProtection="1"/>
    <xf numFmtId="42" fontId="7" fillId="0" borderId="133" xfId="6" applyNumberFormat="1" applyFont="1" applyBorder="1" applyProtection="1"/>
    <xf numFmtId="10" fontId="7" fillId="0" borderId="133" xfId="13" applyNumberFormat="1" applyFont="1" applyBorder="1" applyProtection="1"/>
    <xf numFmtId="10" fontId="7" fillId="0" borderId="134" xfId="13" applyNumberFormat="1" applyFont="1" applyBorder="1" applyProtection="1"/>
    <xf numFmtId="10" fontId="7" fillId="0" borderId="23" xfId="6" applyNumberFormat="1" applyFont="1" applyBorder="1" applyProtection="1"/>
    <xf numFmtId="10" fontId="7" fillId="0" borderId="114" xfId="6" applyNumberFormat="1" applyFont="1" applyBorder="1" applyProtection="1"/>
    <xf numFmtId="10" fontId="7" fillId="0" borderId="22" xfId="6" applyNumberFormat="1" applyFont="1" applyBorder="1" applyProtection="1"/>
    <xf numFmtId="10" fontId="7" fillId="0" borderId="109" xfId="6" applyNumberFormat="1" applyFont="1" applyBorder="1" applyProtection="1"/>
    <xf numFmtId="10" fontId="7" fillId="0" borderId="0" xfId="6" applyNumberFormat="1" applyFont="1" applyProtection="1"/>
    <xf numFmtId="10" fontId="7" fillId="0" borderId="19" xfId="6" applyNumberFormat="1" applyFont="1" applyBorder="1" applyProtection="1"/>
    <xf numFmtId="10" fontId="7" fillId="0" borderId="55" xfId="6" applyNumberFormat="1" applyFont="1" applyFill="1" applyBorder="1" applyProtection="1"/>
    <xf numFmtId="41" fontId="7" fillId="6" borderId="62" xfId="13" applyNumberFormat="1" applyFont="1" applyFill="1" applyBorder="1" applyProtection="1"/>
    <xf numFmtId="10" fontId="7" fillId="6" borderId="148" xfId="6" applyNumberFormat="1" applyFont="1" applyFill="1" applyBorder="1" applyProtection="1"/>
    <xf numFmtId="41" fontId="7" fillId="6" borderId="148" xfId="13" applyNumberFormat="1" applyFont="1" applyFill="1" applyBorder="1" applyProtection="1"/>
    <xf numFmtId="10" fontId="7" fillId="6" borderId="135" xfId="6" applyNumberFormat="1" applyFont="1" applyFill="1" applyBorder="1" applyProtection="1"/>
    <xf numFmtId="43" fontId="7" fillId="6" borderId="7" xfId="6" applyNumberFormat="1" applyFont="1" applyFill="1" applyBorder="1" applyProtection="1"/>
    <xf numFmtId="10" fontId="7" fillId="6" borderId="7" xfId="6" applyNumberFormat="1" applyFont="1" applyFill="1" applyBorder="1" applyProtection="1"/>
    <xf numFmtId="43" fontId="7" fillId="6" borderId="75" xfId="6" applyNumberFormat="1" applyFont="1" applyFill="1" applyBorder="1" applyProtection="1"/>
    <xf numFmtId="10" fontId="7" fillId="6" borderId="112" xfId="6" applyNumberFormat="1" applyFont="1" applyFill="1" applyBorder="1" applyProtection="1"/>
    <xf numFmtId="43" fontId="7" fillId="6" borderId="112" xfId="6" applyNumberFormat="1" applyFont="1" applyFill="1" applyBorder="1" applyProtection="1"/>
    <xf numFmtId="10" fontId="7" fillId="6" borderId="111" xfId="6" applyNumberFormat="1" applyFont="1" applyFill="1" applyBorder="1" applyProtection="1"/>
    <xf numFmtId="43" fontId="7" fillId="14" borderId="75" xfId="6" applyNumberFormat="1" applyFont="1" applyFill="1" applyBorder="1" applyProtection="1"/>
    <xf numFmtId="43" fontId="7" fillId="6" borderId="116" xfId="6" applyNumberFormat="1" applyFont="1" applyFill="1" applyBorder="1" applyProtection="1"/>
    <xf numFmtId="10" fontId="7" fillId="6" borderId="108" xfId="6" applyNumberFormat="1" applyFont="1" applyFill="1" applyBorder="1" applyProtection="1"/>
    <xf numFmtId="43" fontId="7" fillId="6" borderId="108" xfId="6" applyNumberFormat="1" applyFont="1" applyFill="1" applyBorder="1" applyProtection="1"/>
    <xf numFmtId="10" fontId="7" fillId="6" borderId="113" xfId="6" applyNumberFormat="1" applyFont="1" applyFill="1" applyBorder="1" applyProtection="1"/>
    <xf numFmtId="10" fontId="7" fillId="0" borderId="26" xfId="6" applyNumberFormat="1" applyFont="1" applyFill="1" applyBorder="1" applyProtection="1"/>
    <xf numFmtId="41" fontId="7" fillId="0" borderId="116" xfId="6" applyNumberFormat="1" applyFont="1" applyFill="1" applyBorder="1" applyProtection="1"/>
    <xf numFmtId="10" fontId="7" fillId="0" borderId="108" xfId="6" applyNumberFormat="1" applyFont="1" applyFill="1" applyBorder="1" applyProtection="1"/>
    <xf numFmtId="41" fontId="7" fillId="0" borderId="108" xfId="6" applyNumberFormat="1" applyFont="1" applyFill="1" applyBorder="1" applyProtection="1"/>
    <xf numFmtId="10" fontId="7" fillId="0" borderId="113" xfId="6" applyNumberFormat="1" applyFont="1" applyFill="1" applyBorder="1" applyProtection="1"/>
    <xf numFmtId="10" fontId="7" fillId="0" borderId="131" xfId="6" applyNumberFormat="1" applyFont="1" applyBorder="1" applyProtection="1"/>
    <xf numFmtId="10" fontId="7" fillId="0" borderId="110" xfId="6" applyNumberFormat="1" applyFont="1" applyBorder="1" applyProtection="1"/>
    <xf numFmtId="6" fontId="7" fillId="0" borderId="0" xfId="6" applyNumberFormat="1" applyFont="1" applyProtection="1"/>
    <xf numFmtId="5" fontId="7" fillId="0" borderId="27" xfId="6" applyFont="1" applyBorder="1" applyProtection="1"/>
    <xf numFmtId="5" fontId="7" fillId="0" borderId="30" xfId="6" applyFont="1" applyBorder="1" applyProtection="1"/>
    <xf numFmtId="10" fontId="7" fillId="0" borderId="30" xfId="6" applyNumberFormat="1" applyFont="1" applyBorder="1" applyProtection="1"/>
    <xf numFmtId="10" fontId="7" fillId="0" borderId="129" xfId="6" applyNumberFormat="1" applyFont="1" applyBorder="1" applyProtection="1"/>
    <xf numFmtId="10" fontId="7" fillId="0" borderId="21" xfId="6" applyNumberFormat="1" applyFont="1" applyBorder="1" applyProtection="1"/>
    <xf numFmtId="10" fontId="7" fillId="0" borderId="160" xfId="6" applyNumberFormat="1" applyFont="1" applyBorder="1" applyProtection="1"/>
    <xf numFmtId="10" fontId="7" fillId="6" borderId="160" xfId="13" applyNumberFormat="1" applyFont="1" applyFill="1" applyBorder="1" applyProtection="1"/>
    <xf numFmtId="10" fontId="7" fillId="6" borderId="161" xfId="13" applyNumberFormat="1" applyFont="1" applyFill="1" applyBorder="1" applyProtection="1"/>
    <xf numFmtId="9" fontId="1" fillId="0" borderId="0" xfId="13" applyFont="1" applyAlignment="1" applyProtection="1">
      <alignment horizontal="center"/>
    </xf>
    <xf numFmtId="0" fontId="6" fillId="0" borderId="0" xfId="0" applyFont="1" applyAlignment="1" applyProtection="1">
      <alignment horizontal="center"/>
      <protection locked="0"/>
    </xf>
    <xf numFmtId="10" fontId="6" fillId="0" borderId="0" xfId="0" applyNumberFormat="1" applyFont="1" applyAlignment="1" applyProtection="1">
      <alignment horizontal="right"/>
      <protection locked="0"/>
    </xf>
    <xf numFmtId="10" fontId="7" fillId="0" borderId="0" xfId="0" applyNumberFormat="1" applyFont="1" applyAlignment="1" applyProtection="1">
      <alignment horizontal="center"/>
      <protection locked="0"/>
    </xf>
    <xf numFmtId="10" fontId="7" fillId="0" borderId="0" xfId="6" applyNumberFormat="1" applyFont="1" applyFill="1" applyBorder="1" applyProtection="1">
      <protection locked="0"/>
    </xf>
    <xf numFmtId="10" fontId="7" fillId="0" borderId="0" xfId="13" applyNumberFormat="1" applyFont="1" applyFill="1" applyBorder="1" applyProtection="1">
      <protection locked="0"/>
    </xf>
    <xf numFmtId="10" fontId="7" fillId="0" borderId="0" xfId="6" applyNumberFormat="1" applyFont="1" applyFill="1" applyBorder="1" applyAlignment="1" applyProtection="1">
      <alignment horizontal="center"/>
      <protection locked="0"/>
    </xf>
    <xf numFmtId="10" fontId="0" fillId="0" borderId="0" xfId="0" applyNumberFormat="1" applyProtection="1">
      <protection locked="0"/>
    </xf>
    <xf numFmtId="0" fontId="4" fillId="0" borderId="49" xfId="0" applyFont="1" applyBorder="1"/>
    <xf numFmtId="10" fontId="7" fillId="4" borderId="112" xfId="13" applyNumberFormat="1" applyFont="1" applyFill="1" applyBorder="1" applyAlignment="1" applyProtection="1">
      <alignment horizontal="center"/>
      <protection locked="0"/>
    </xf>
    <xf numFmtId="10" fontId="7" fillId="4" borderId="112" xfId="6" applyNumberFormat="1" applyFont="1" applyFill="1" applyBorder="1" applyAlignment="1" applyProtection="1">
      <alignment horizontal="center"/>
      <protection locked="0"/>
    </xf>
    <xf numFmtId="10" fontId="7" fillId="10" borderId="112" xfId="13" applyNumberFormat="1" applyFont="1" applyFill="1" applyBorder="1" applyAlignment="1" applyProtection="1">
      <alignment horizontal="center"/>
      <protection locked="0"/>
    </xf>
    <xf numFmtId="42" fontId="7" fillId="5" borderId="112" xfId="13" applyNumberFormat="1" applyFont="1" applyFill="1" applyBorder="1" applyProtection="1">
      <protection locked="0"/>
    </xf>
    <xf numFmtId="42" fontId="7" fillId="5" borderId="112" xfId="6" applyNumberFormat="1" applyFont="1" applyFill="1" applyBorder="1" applyProtection="1">
      <protection locked="0"/>
    </xf>
    <xf numFmtId="14" fontId="4" fillId="5" borderId="49" xfId="0" applyNumberFormat="1" applyFont="1" applyFill="1" applyBorder="1" applyProtection="1">
      <protection locked="0"/>
    </xf>
    <xf numFmtId="168" fontId="7" fillId="6" borderId="112" xfId="13" applyNumberFormat="1" applyFont="1" applyFill="1" applyBorder="1"/>
    <xf numFmtId="168" fontId="7" fillId="6" borderId="112" xfId="6" applyNumberFormat="1" applyFont="1" applyFill="1" applyBorder="1"/>
    <xf numFmtId="10" fontId="7" fillId="6" borderId="112" xfId="13" applyNumberFormat="1" applyFont="1" applyFill="1" applyBorder="1"/>
    <xf numFmtId="10" fontId="7" fillId="6" borderId="111" xfId="13" applyNumberFormat="1" applyFont="1" applyFill="1" applyBorder="1"/>
    <xf numFmtId="44" fontId="7" fillId="0" borderId="112" xfId="13" applyNumberFormat="1" applyFont="1" applyBorder="1"/>
    <xf numFmtId="44" fontId="7" fillId="0" borderId="111" xfId="13" applyNumberFormat="1" applyFont="1" applyBorder="1"/>
    <xf numFmtId="0" fontId="0" fillId="0" borderId="49" xfId="0" applyBorder="1"/>
    <xf numFmtId="43" fontId="7" fillId="8" borderId="112" xfId="13" applyNumberFormat="1" applyFont="1" applyFill="1" applyBorder="1"/>
    <xf numFmtId="43" fontId="7" fillId="0" borderId="112" xfId="13" applyNumberFormat="1" applyFont="1" applyBorder="1"/>
    <xf numFmtId="2" fontId="7" fillId="0" borderId="112" xfId="13" applyNumberFormat="1" applyFont="1" applyBorder="1"/>
    <xf numFmtId="43" fontId="7" fillId="8" borderId="112" xfId="13" applyNumberFormat="1" applyFont="1" applyFill="1" applyBorder="1" applyAlignment="1">
      <alignment wrapText="1"/>
    </xf>
    <xf numFmtId="43" fontId="7" fillId="0" borderId="112" xfId="1" applyFont="1" applyBorder="1"/>
    <xf numFmtId="43" fontId="7" fillId="0" borderId="112" xfId="3" applyNumberFormat="1" applyFont="1" applyBorder="1"/>
    <xf numFmtId="38" fontId="7" fillId="5" borderId="49" xfId="0" applyNumberFormat="1" applyFont="1" applyFill="1" applyBorder="1" applyProtection="1">
      <protection locked="0"/>
    </xf>
    <xf numFmtId="37" fontId="7" fillId="5" borderId="112" xfId="1" applyNumberFormat="1" applyFont="1" applyFill="1" applyBorder="1" applyProtection="1">
      <protection locked="0"/>
    </xf>
    <xf numFmtId="0" fontId="0" fillId="0" borderId="125" xfId="0" applyBorder="1"/>
    <xf numFmtId="10" fontId="7" fillId="0" borderId="104" xfId="13" applyNumberFormat="1" applyFont="1" applyBorder="1"/>
    <xf numFmtId="10" fontId="7" fillId="5" borderId="112" xfId="13" applyNumberFormat="1" applyFont="1" applyFill="1" applyBorder="1" applyProtection="1">
      <protection locked="0"/>
    </xf>
    <xf numFmtId="2" fontId="7" fillId="5" borderId="54" xfId="6" applyNumberFormat="1" applyFont="1" applyFill="1" applyBorder="1" applyProtection="1">
      <protection locked="0"/>
    </xf>
    <xf numFmtId="2" fontId="7" fillId="5" borderId="112" xfId="13" applyNumberFormat="1" applyFont="1" applyFill="1" applyBorder="1" applyProtection="1">
      <protection locked="0"/>
    </xf>
    <xf numFmtId="2" fontId="7" fillId="0" borderId="111" xfId="13" applyNumberFormat="1" applyFont="1" applyBorder="1"/>
    <xf numFmtId="0" fontId="0" fillId="0" borderId="188" xfId="0" applyBorder="1"/>
    <xf numFmtId="2" fontId="7" fillId="5" borderId="153" xfId="6" applyNumberFormat="1" applyFont="1" applyFill="1" applyBorder="1" applyProtection="1">
      <protection locked="0"/>
    </xf>
    <xf numFmtId="2" fontId="7" fillId="5" borderId="54" xfId="7" applyNumberFormat="1" applyFont="1" applyFill="1" applyBorder="1" applyProtection="1">
      <protection locked="0"/>
    </xf>
    <xf numFmtId="42" fontId="7" fillId="5" borderId="54" xfId="7" applyNumberFormat="1" applyFont="1" applyFill="1" applyBorder="1" applyProtection="1">
      <protection locked="0"/>
    </xf>
    <xf numFmtId="10" fontId="7" fillId="5" borderId="54" xfId="6" applyNumberFormat="1" applyFont="1" applyFill="1" applyBorder="1" applyProtection="1">
      <protection locked="0"/>
    </xf>
    <xf numFmtId="10" fontId="7" fillId="0" borderId="202" xfId="13" applyNumberFormat="1" applyFont="1" applyBorder="1"/>
    <xf numFmtId="10" fontId="7" fillId="0" borderId="247" xfId="13" applyNumberFormat="1" applyFont="1" applyBorder="1"/>
    <xf numFmtId="42" fontId="7" fillId="5" borderId="54" xfId="6" applyNumberFormat="1" applyFont="1" applyFill="1" applyBorder="1" applyProtection="1">
      <protection locked="0"/>
    </xf>
    <xf numFmtId="10" fontId="7" fillId="0" borderId="148" xfId="13" applyNumberFormat="1" applyFont="1" applyBorder="1"/>
    <xf numFmtId="42" fontId="7" fillId="5" borderId="54" xfId="0" applyNumberFormat="1" applyFont="1" applyFill="1" applyBorder="1" applyProtection="1">
      <protection locked="0"/>
    </xf>
    <xf numFmtId="42" fontId="7" fillId="5" borderId="46" xfId="0" applyNumberFormat="1" applyFont="1" applyFill="1" applyBorder="1" applyProtection="1">
      <protection locked="0"/>
    </xf>
    <xf numFmtId="10" fontId="7" fillId="0" borderId="248" xfId="13" applyNumberFormat="1" applyFont="1" applyBorder="1"/>
    <xf numFmtId="10" fontId="7" fillId="0" borderId="249" xfId="13" applyNumberFormat="1" applyFont="1" applyBorder="1"/>
    <xf numFmtId="10" fontId="7" fillId="0" borderId="144" xfId="13" applyNumberFormat="1" applyFont="1" applyFill="1" applyBorder="1" applyProtection="1"/>
    <xf numFmtId="166" fontId="0" fillId="0" borderId="0" xfId="0" applyNumberFormat="1"/>
    <xf numFmtId="42" fontId="7" fillId="0" borderId="63" xfId="6" applyNumberFormat="1" applyFont="1" applyBorder="1"/>
    <xf numFmtId="41" fontId="7" fillId="0" borderId="189" xfId="0" applyNumberFormat="1" applyFont="1" applyBorder="1"/>
    <xf numFmtId="10" fontId="7" fillId="0" borderId="76" xfId="13" applyNumberFormat="1" applyFont="1" applyFill="1" applyBorder="1" applyProtection="1"/>
    <xf numFmtId="10" fontId="7" fillId="0" borderId="149" xfId="13" applyNumberFormat="1" applyFont="1" applyFill="1" applyBorder="1" applyProtection="1"/>
    <xf numFmtId="41" fontId="7" fillId="0" borderId="70" xfId="6" applyNumberFormat="1" applyFont="1" applyFill="1" applyBorder="1" applyProtection="1"/>
    <xf numFmtId="41" fontId="7" fillId="0" borderId="213" xfId="0" applyNumberFormat="1" applyFont="1" applyBorder="1"/>
    <xf numFmtId="41" fontId="7" fillId="0" borderId="84" xfId="6" applyNumberFormat="1" applyFont="1" applyFill="1" applyBorder="1" applyProtection="1"/>
    <xf numFmtId="37" fontId="7" fillId="0" borderId="0" xfId="0" applyNumberFormat="1" applyFont="1" applyAlignment="1">
      <alignment horizontal="center"/>
    </xf>
    <xf numFmtId="165" fontId="7" fillId="0" borderId="0" xfId="13" applyNumberFormat="1" applyFont="1" applyBorder="1"/>
    <xf numFmtId="0" fontId="1" fillId="0" borderId="119" xfId="0" applyFont="1" applyBorder="1"/>
    <xf numFmtId="43" fontId="7" fillId="0" borderId="0" xfId="6" applyNumberFormat="1" applyFont="1" applyBorder="1" applyProtection="1"/>
    <xf numFmtId="0" fontId="1" fillId="0" borderId="0" xfId="0" applyFont="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188" xfId="0" applyBorder="1" applyAlignment="1" applyProtection="1">
      <alignment horizontal="left" vertical="top"/>
      <protection locked="0"/>
    </xf>
    <xf numFmtId="0" fontId="0" fillId="0" borderId="30" xfId="0" applyBorder="1" applyAlignment="1" applyProtection="1">
      <alignment horizontal="left" vertical="top"/>
      <protection locked="0"/>
    </xf>
    <xf numFmtId="169" fontId="7" fillId="5" borderId="54" xfId="0" applyNumberFormat="1" applyFont="1" applyFill="1" applyBorder="1" applyProtection="1">
      <protection locked="0"/>
    </xf>
    <xf numFmtId="41" fontId="7" fillId="0" borderId="32" xfId="2" applyNumberFormat="1" applyFont="1" applyFill="1" applyBorder="1" applyProtection="1"/>
    <xf numFmtId="41" fontId="7" fillId="0" borderId="51" xfId="2" applyNumberFormat="1" applyFont="1" applyBorder="1" applyProtection="1"/>
    <xf numFmtId="42" fontId="28" fillId="0" borderId="152" xfId="2" applyNumberFormat="1" applyFont="1" applyBorder="1" applyProtection="1"/>
    <xf numFmtId="41" fontId="7" fillId="0" borderId="52" xfId="2" applyNumberFormat="1" applyFont="1" applyFill="1" applyBorder="1" applyProtection="1"/>
    <xf numFmtId="41" fontId="7" fillId="0" borderId="86" xfId="2" applyNumberFormat="1" applyFont="1" applyBorder="1" applyProtection="1"/>
    <xf numFmtId="41" fontId="7" fillId="15" borderId="32" xfId="13" applyNumberFormat="1" applyFont="1" applyFill="1" applyBorder="1" applyProtection="1"/>
    <xf numFmtId="41" fontId="7" fillId="0" borderId="27" xfId="2" applyNumberFormat="1" applyFont="1" applyBorder="1" applyProtection="1"/>
    <xf numFmtId="41" fontId="28" fillId="0" borderId="4" xfId="2" applyNumberFormat="1" applyFont="1" applyBorder="1" applyProtection="1"/>
    <xf numFmtId="41" fontId="52" fillId="0" borderId="47" xfId="10" applyNumberFormat="1" applyFont="1" applyBorder="1"/>
    <xf numFmtId="0" fontId="53" fillId="0" borderId="0" xfId="0" applyFont="1"/>
    <xf numFmtId="41" fontId="40" fillId="0" borderId="0" xfId="0" applyNumberFormat="1" applyFont="1"/>
    <xf numFmtId="41" fontId="40" fillId="0" borderId="0" xfId="0" applyNumberFormat="1" applyFont="1" applyAlignment="1">
      <alignment horizontal="right"/>
    </xf>
    <xf numFmtId="42" fontId="40" fillId="0" borderId="0" xfId="0" applyNumberFormat="1" applyFont="1"/>
    <xf numFmtId="0" fontId="12" fillId="0" borderId="0" xfId="0" applyFont="1" applyAlignment="1">
      <alignment horizontal="right"/>
    </xf>
    <xf numFmtId="41" fontId="34" fillId="0" borderId="0" xfId="0" applyNumberFormat="1" applyFont="1"/>
    <xf numFmtId="42" fontId="34" fillId="0" borderId="42" xfId="0" applyNumberFormat="1" applyFont="1" applyBorder="1"/>
    <xf numFmtId="0" fontId="1" fillId="5" borderId="6" xfId="0" applyFont="1" applyFill="1" applyBorder="1" applyAlignment="1" applyProtection="1">
      <alignment horizontal="center"/>
      <protection locked="0"/>
    </xf>
    <xf numFmtId="9" fontId="7" fillId="5" borderId="54" xfId="7" applyNumberFormat="1" applyFont="1" applyFill="1" applyBorder="1" applyProtection="1">
      <protection locked="0"/>
    </xf>
    <xf numFmtId="49" fontId="7" fillId="5" borderId="49" xfId="13" applyNumberFormat="1" applyFont="1" applyFill="1" applyBorder="1" applyProtection="1">
      <protection locked="0"/>
    </xf>
    <xf numFmtId="0" fontId="1" fillId="0" borderId="0" xfId="12" applyFont="1"/>
    <xf numFmtId="0" fontId="13" fillId="0" borderId="32" xfId="0" applyFont="1" applyBorder="1"/>
    <xf numFmtId="0" fontId="13" fillId="6" borderId="32" xfId="0" applyFont="1" applyFill="1" applyBorder="1"/>
    <xf numFmtId="1" fontId="26" fillId="0" borderId="31" xfId="0" applyNumberFormat="1" applyFont="1" applyBorder="1" applyAlignment="1" applyProtection="1">
      <alignment horizontal="left"/>
      <protection locked="0"/>
    </xf>
    <xf numFmtId="0" fontId="14" fillId="0" borderId="0" xfId="12" applyFont="1" applyAlignment="1">
      <alignment horizontal="left"/>
    </xf>
    <xf numFmtId="0" fontId="22" fillId="0" borderId="0" xfId="0" applyFont="1" applyAlignment="1">
      <alignment horizontal="left" vertical="top"/>
    </xf>
    <xf numFmtId="0" fontId="22" fillId="0" borderId="0" xfId="0" applyFont="1" applyAlignment="1">
      <alignment horizontal="left" vertical="center"/>
    </xf>
    <xf numFmtId="0" fontId="23" fillId="0" borderId="0" xfId="0" applyFont="1" applyAlignment="1">
      <alignment horizontal="left"/>
    </xf>
    <xf numFmtId="0" fontId="22" fillId="0" borderId="0" xfId="0" applyFont="1" applyAlignment="1">
      <alignment horizontal="left" vertical="center" wrapText="1"/>
    </xf>
    <xf numFmtId="0" fontId="22" fillId="0" borderId="0" xfId="0" applyFont="1" applyAlignment="1">
      <alignment horizontal="left" vertical="top" wrapText="1"/>
    </xf>
    <xf numFmtId="0" fontId="23" fillId="0" borderId="0" xfId="0" applyFont="1" applyAlignment="1">
      <alignment horizontal="left" vertical="center"/>
    </xf>
    <xf numFmtId="0" fontId="22" fillId="0" borderId="0" xfId="0" applyFont="1" applyAlignment="1">
      <alignment horizontal="right" vertical="top"/>
    </xf>
    <xf numFmtId="0" fontId="24" fillId="0" borderId="0" xfId="0" applyFont="1" applyAlignment="1">
      <alignment horizontal="left" wrapText="1"/>
    </xf>
    <xf numFmtId="0" fontId="1" fillId="0" borderId="0" xfId="0" applyFont="1" applyAlignment="1">
      <alignment horizontal="left" vertical="center" wrapText="1"/>
    </xf>
    <xf numFmtId="0" fontId="0" fillId="0" borderId="0" xfId="0" applyAlignment="1">
      <alignment horizontal="left" vertical="center" wrapText="1"/>
    </xf>
    <xf numFmtId="0" fontId="22" fillId="0" borderId="0" xfId="0" applyFont="1" applyAlignment="1">
      <alignment horizontal="left"/>
    </xf>
    <xf numFmtId="0" fontId="49" fillId="0" borderId="0" xfId="8" applyAlignment="1">
      <alignment horizontal="left"/>
    </xf>
    <xf numFmtId="0" fontId="6" fillId="0" borderId="0" xfId="11" applyFont="1" applyAlignment="1">
      <alignment horizontal="left" vertical="center"/>
    </xf>
    <xf numFmtId="1" fontId="6" fillId="0" borderId="0" xfId="11" applyNumberFormat="1" applyFont="1" applyAlignment="1">
      <alignment horizontal="left" vertical="center"/>
    </xf>
    <xf numFmtId="15" fontId="1" fillId="0" borderId="0" xfId="0" applyNumberFormat="1" applyFont="1" applyAlignment="1">
      <alignment horizontal="left"/>
    </xf>
    <xf numFmtId="0" fontId="3" fillId="0" borderId="27" xfId="12" applyFont="1" applyBorder="1" applyAlignment="1" applyProtection="1">
      <alignment horizontal="left"/>
      <protection locked="0"/>
    </xf>
    <xf numFmtId="0" fontId="49" fillId="5" borderId="27" xfId="8" applyFill="1" applyBorder="1" applyAlignment="1" applyProtection="1">
      <alignment horizontal="left" wrapText="1"/>
      <protection locked="0"/>
    </xf>
    <xf numFmtId="0" fontId="0" fillId="5" borderId="27" xfId="0" applyFill="1" applyBorder="1" applyAlignment="1" applyProtection="1">
      <alignment horizontal="left" wrapText="1"/>
      <protection locked="0"/>
    </xf>
    <xf numFmtId="0" fontId="3" fillId="0" borderId="27" xfId="12" applyFont="1" applyBorder="1" applyAlignment="1">
      <alignment horizontal="left"/>
    </xf>
    <xf numFmtId="14" fontId="3" fillId="0" borderId="27" xfId="12" applyNumberFormat="1" applyFont="1" applyBorder="1" applyAlignment="1">
      <alignment horizontal="left"/>
    </xf>
    <xf numFmtId="0" fontId="3" fillId="5" borderId="27" xfId="12" applyFont="1" applyFill="1" applyBorder="1" applyAlignment="1" applyProtection="1">
      <alignment horizontal="left" wrapText="1"/>
      <protection locked="0"/>
    </xf>
    <xf numFmtId="0" fontId="3" fillId="5" borderId="27" xfId="12" applyFont="1" applyFill="1" applyBorder="1" applyAlignment="1" applyProtection="1">
      <alignment horizontal="left"/>
      <protection locked="0"/>
    </xf>
    <xf numFmtId="0" fontId="0" fillId="5" borderId="27" xfId="0" applyFill="1" applyBorder="1" applyAlignment="1" applyProtection="1">
      <alignment horizontal="left"/>
      <protection locked="0"/>
    </xf>
    <xf numFmtId="1" fontId="26" fillId="5" borderId="31" xfId="0" applyNumberFormat="1" applyFont="1" applyFill="1" applyBorder="1" applyAlignment="1" applyProtection="1">
      <alignment horizontal="left"/>
      <protection locked="0"/>
    </xf>
    <xf numFmtId="0" fontId="3" fillId="0" borderId="0" xfId="12" applyFont="1" applyAlignment="1">
      <alignment horizontal="left" vertical="center" wrapText="1"/>
    </xf>
    <xf numFmtId="0" fontId="22" fillId="0" borderId="0" xfId="12" applyFont="1" applyAlignment="1">
      <alignment wrapText="1"/>
    </xf>
    <xf numFmtId="0" fontId="0" fillId="0" borderId="27" xfId="0" applyBorder="1" applyAlignment="1">
      <alignment horizontal="left"/>
    </xf>
    <xf numFmtId="0" fontId="6" fillId="0" borderId="0" xfId="0" applyFont="1" applyAlignment="1">
      <alignment horizontal="left" vertical="top" wrapText="1"/>
    </xf>
    <xf numFmtId="0" fontId="6" fillId="0" borderId="96" xfId="0" applyFont="1" applyBorder="1" applyAlignment="1">
      <alignment horizontal="center"/>
    </xf>
    <xf numFmtId="0" fontId="6" fillId="0" borderId="97" xfId="0" applyFont="1" applyBorder="1" applyAlignment="1">
      <alignment horizontal="center"/>
    </xf>
    <xf numFmtId="0" fontId="6" fillId="0" borderId="99" xfId="0" applyFont="1" applyBorder="1" applyAlignment="1">
      <alignment horizontal="center"/>
    </xf>
    <xf numFmtId="9" fontId="7" fillId="0" borderId="10" xfId="0" applyNumberFormat="1" applyFont="1" applyBorder="1" applyAlignment="1">
      <alignment horizontal="center" vertical="center"/>
    </xf>
    <xf numFmtId="9" fontId="7" fillId="0" borderId="4" xfId="0" applyNumberFormat="1" applyFont="1" applyBorder="1" applyAlignment="1">
      <alignment horizontal="center" vertical="center"/>
    </xf>
    <xf numFmtId="0" fontId="7" fillId="0" borderId="32" xfId="11" applyFont="1" applyBorder="1" applyAlignment="1">
      <alignment vertical="center" wrapText="1"/>
    </xf>
    <xf numFmtId="0" fontId="7" fillId="0" borderId="31" xfId="11" applyFont="1" applyBorder="1" applyAlignment="1">
      <alignment vertical="center" wrapText="1"/>
    </xf>
    <xf numFmtId="0" fontId="7" fillId="0" borderId="51" xfId="11" applyFont="1" applyBorder="1" applyAlignment="1">
      <alignment vertical="center" wrapText="1"/>
    </xf>
    <xf numFmtId="37" fontId="18" fillId="0" borderId="94" xfId="11" applyNumberFormat="1" applyFont="1" applyBorder="1" applyAlignment="1">
      <alignment horizontal="center" wrapText="1"/>
    </xf>
    <xf numFmtId="37" fontId="18" fillId="0" borderId="44" xfId="11" applyNumberFormat="1" applyFont="1" applyBorder="1" applyAlignment="1">
      <alignment horizontal="center" wrapText="1"/>
    </xf>
    <xf numFmtId="37" fontId="18" fillId="0" borderId="132" xfId="11" applyNumberFormat="1" applyFont="1" applyBorder="1" applyAlignment="1">
      <alignment horizontal="center" wrapText="1"/>
    </xf>
    <xf numFmtId="37" fontId="18" fillId="0" borderId="250" xfId="11" applyNumberFormat="1" applyFont="1" applyBorder="1" applyAlignment="1">
      <alignment horizontal="center" wrapText="1"/>
    </xf>
    <xf numFmtId="0" fontId="7" fillId="0" borderId="32" xfId="11" applyFont="1" applyBorder="1" applyAlignment="1">
      <alignment vertical="center"/>
    </xf>
    <xf numFmtId="0" fontId="7" fillId="0" borderId="31" xfId="11" applyFont="1" applyBorder="1" applyAlignment="1">
      <alignment vertical="center"/>
    </xf>
    <xf numFmtId="0" fontId="7" fillId="0" borderId="51" xfId="11" applyFont="1" applyBorder="1" applyAlignment="1">
      <alignment vertical="center"/>
    </xf>
    <xf numFmtId="164" fontId="7" fillId="0" borderId="31" xfId="11" applyNumberFormat="1" applyFont="1" applyBorder="1" applyAlignment="1">
      <alignment horizontal="left" vertical="center"/>
    </xf>
    <xf numFmtId="164" fontId="7" fillId="0" borderId="51" xfId="11" applyNumberFormat="1" applyFont="1" applyBorder="1" applyAlignment="1">
      <alignment horizontal="left" vertical="center"/>
    </xf>
    <xf numFmtId="0" fontId="6" fillId="0" borderId="8" xfId="11" applyFont="1" applyBorder="1" applyAlignment="1">
      <alignment horizontal="left" vertical="center" wrapText="1"/>
    </xf>
    <xf numFmtId="0" fontId="6" fillId="0" borderId="9" xfId="11" applyFont="1" applyBorder="1" applyAlignment="1">
      <alignment horizontal="left" vertical="center" wrapText="1"/>
    </xf>
    <xf numFmtId="0" fontId="6" fillId="0" borderId="37" xfId="11" applyFont="1" applyBorder="1" applyAlignment="1">
      <alignment horizontal="left" vertical="center" wrapText="1"/>
    </xf>
    <xf numFmtId="0" fontId="6" fillId="0" borderId="5" xfId="11" applyFont="1" applyBorder="1" applyAlignment="1">
      <alignment horizontal="left" vertical="center" wrapText="1"/>
    </xf>
    <xf numFmtId="0" fontId="6" fillId="0" borderId="0" xfId="11" applyFont="1" applyAlignment="1">
      <alignment horizontal="left" vertical="center" wrapText="1"/>
    </xf>
    <xf numFmtId="0" fontId="6" fillId="0" borderId="19" xfId="11" applyFont="1" applyBorder="1" applyAlignment="1">
      <alignment horizontal="left" vertical="center" wrapText="1"/>
    </xf>
    <xf numFmtId="0" fontId="7" fillId="0" borderId="31" xfId="0" applyFont="1" applyBorder="1" applyAlignment="1"/>
    <xf numFmtId="0" fontId="7" fillId="0" borderId="51" xfId="0" applyFont="1" applyBorder="1" applyAlignment="1"/>
    <xf numFmtId="0" fontId="6" fillId="0" borderId="9" xfId="11" applyFont="1" applyBorder="1" applyAlignment="1">
      <alignment horizontal="left" vertical="center"/>
    </xf>
    <xf numFmtId="0" fontId="6" fillId="0" borderId="18" xfId="11" applyFont="1" applyBorder="1" applyAlignment="1">
      <alignment horizontal="left" vertical="center"/>
    </xf>
    <xf numFmtId="37" fontId="6" fillId="0" borderId="0" xfId="11" quotePrefix="1" applyNumberFormat="1" applyFont="1" applyAlignment="1">
      <alignment horizontal="center" vertical="center"/>
    </xf>
    <xf numFmtId="0" fontId="6" fillId="0" borderId="96" xfId="0" quotePrefix="1" applyFont="1" applyBorder="1" applyAlignment="1">
      <alignment horizontal="center" wrapText="1"/>
    </xf>
    <xf numFmtId="0" fontId="6" fillId="0" borderId="98" xfId="0" quotePrefix="1" applyFont="1" applyBorder="1" applyAlignment="1">
      <alignment horizontal="center" wrapText="1"/>
    </xf>
    <xf numFmtId="0" fontId="6" fillId="0" borderId="96" xfId="0" quotePrefix="1" applyFont="1" applyBorder="1" applyAlignment="1">
      <alignment horizontal="center"/>
    </xf>
    <xf numFmtId="0" fontId="6" fillId="0" borderId="97" xfId="0" quotePrefix="1" applyFont="1" applyBorder="1" applyAlignment="1">
      <alignment horizontal="center"/>
    </xf>
    <xf numFmtId="0" fontId="6" fillId="0" borderId="98" xfId="0" quotePrefix="1" applyFont="1" applyBorder="1" applyAlignment="1">
      <alignment horizontal="center"/>
    </xf>
    <xf numFmtId="0" fontId="6" fillId="0" borderId="152" xfId="11" applyFont="1" applyBorder="1" applyAlignment="1">
      <alignment vertical="center"/>
    </xf>
    <xf numFmtId="0" fontId="6" fillId="0" borderId="84" xfId="11" applyFont="1" applyBorder="1" applyAlignment="1">
      <alignment vertical="center"/>
    </xf>
    <xf numFmtId="0" fontId="6" fillId="0" borderId="120" xfId="11" applyFont="1" applyBorder="1" applyAlignment="1">
      <alignment vertical="center"/>
    </xf>
    <xf numFmtId="0" fontId="7" fillId="0" borderId="27" xfId="0" applyFont="1" applyBorder="1" applyAlignment="1">
      <alignment horizontal="left"/>
    </xf>
    <xf numFmtId="0" fontId="7" fillId="0" borderId="101" xfId="0" applyFont="1" applyBorder="1" applyAlignment="1">
      <alignment horizontal="left"/>
    </xf>
    <xf numFmtId="0" fontId="4" fillId="5" borderId="32"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 fillId="5" borderId="51" xfId="0" applyFont="1" applyFill="1" applyBorder="1" applyAlignment="1" applyProtection="1">
      <alignment horizontal="left" vertical="top" wrapText="1"/>
      <protection locked="0"/>
    </xf>
    <xf numFmtId="37" fontId="6" fillId="0" borderId="0" xfId="0" applyNumberFormat="1" applyFont="1" applyAlignment="1">
      <alignment horizontal="center"/>
    </xf>
    <xf numFmtId="49" fontId="7" fillId="5" borderId="54" xfId="0" quotePrefix="1" applyNumberFormat="1" applyFont="1" applyFill="1" applyBorder="1" applyAlignment="1" applyProtection="1">
      <alignment horizontal="left"/>
      <protection locked="0"/>
    </xf>
    <xf numFmtId="49" fontId="7" fillId="5" borderId="46" xfId="0" quotePrefix="1" applyNumberFormat="1" applyFont="1" applyFill="1" applyBorder="1" applyAlignment="1" applyProtection="1">
      <alignment horizontal="left"/>
      <protection locked="0"/>
    </xf>
    <xf numFmtId="0" fontId="6" fillId="0" borderId="5" xfId="0" applyFont="1" applyBorder="1" applyAlignment="1">
      <alignment horizontal="center"/>
    </xf>
    <xf numFmtId="0" fontId="6" fillId="0" borderId="0" xfId="0" applyFont="1" applyAlignment="1">
      <alignment horizontal="center"/>
    </xf>
    <xf numFmtId="10" fontId="7" fillId="0" borderId="0" xfId="0" applyNumberFormat="1" applyFont="1" applyAlignment="1">
      <alignment horizontal="center"/>
    </xf>
    <xf numFmtId="10" fontId="7" fillId="0" borderId="19" xfId="0" applyNumberFormat="1" applyFont="1" applyBorder="1" applyAlignment="1">
      <alignment horizontal="center"/>
    </xf>
    <xf numFmtId="9" fontId="6" fillId="0" borderId="166" xfId="13" applyFont="1" applyBorder="1" applyAlignment="1">
      <alignment horizontal="right"/>
    </xf>
    <xf numFmtId="9" fontId="6" fillId="0" borderId="167" xfId="13" applyFont="1" applyBorder="1" applyAlignment="1">
      <alignment horizontal="right"/>
    </xf>
    <xf numFmtId="5" fontId="7" fillId="14" borderId="251" xfId="6" applyFont="1" applyFill="1" applyBorder="1" applyAlignment="1">
      <alignment horizontal="left"/>
    </xf>
    <xf numFmtId="5" fontId="7" fillId="14" borderId="160" xfId="6" applyFont="1" applyFill="1" applyBorder="1" applyAlignment="1">
      <alignment horizontal="left"/>
    </xf>
    <xf numFmtId="10" fontId="7" fillId="0" borderId="0" xfId="13" applyNumberFormat="1" applyFont="1" applyAlignment="1"/>
    <xf numFmtId="10" fontId="7" fillId="0" borderId="19" xfId="13" applyNumberFormat="1" applyFont="1" applyBorder="1" applyAlignment="1"/>
    <xf numFmtId="10" fontId="7" fillId="0" borderId="22" xfId="13" applyNumberFormat="1" applyFont="1" applyBorder="1" applyAlignment="1"/>
    <xf numFmtId="10" fontId="7" fillId="0" borderId="109" xfId="13" applyNumberFormat="1" applyFont="1" applyBorder="1" applyAlignment="1"/>
    <xf numFmtId="10" fontId="7" fillId="0" borderId="17" xfId="13" applyNumberFormat="1" applyFont="1" applyBorder="1" applyAlignment="1"/>
    <xf numFmtId="10" fontId="7" fillId="0" borderId="128" xfId="13" applyNumberFormat="1" applyFont="1" applyBorder="1" applyAlignment="1"/>
    <xf numFmtId="49" fontId="7" fillId="5" borderId="31" xfId="13" applyNumberFormat="1" applyFont="1" applyFill="1" applyBorder="1" applyAlignment="1" applyProtection="1">
      <protection locked="0"/>
    </xf>
    <xf numFmtId="49" fontId="7" fillId="5" borderId="49" xfId="13" applyNumberFormat="1" applyFont="1" applyFill="1" applyBorder="1" applyAlignment="1" applyProtection="1">
      <protection locked="0"/>
    </xf>
    <xf numFmtId="49" fontId="7" fillId="5" borderId="31" xfId="13" applyNumberFormat="1" applyFont="1" applyFill="1" applyBorder="1" applyAlignment="1" applyProtection="1">
      <alignment horizontal="left" vertical="top"/>
      <protection locked="0"/>
    </xf>
    <xf numFmtId="49" fontId="7" fillId="5" borderId="31" xfId="0" applyNumberFormat="1" applyFont="1" applyFill="1" applyBorder="1" applyAlignment="1" applyProtection="1">
      <protection locked="0"/>
    </xf>
    <xf numFmtId="5" fontId="7" fillId="0" borderId="1" xfId="6" applyFont="1" applyBorder="1" applyAlignment="1"/>
    <xf numFmtId="5" fontId="7" fillId="0" borderId="245" xfId="6" applyFont="1" applyBorder="1" applyAlignment="1"/>
    <xf numFmtId="5" fontId="7" fillId="0" borderId="49" xfId="6" applyFont="1" applyBorder="1" applyAlignment="1"/>
    <xf numFmtId="5" fontId="7" fillId="0" borderId="54" xfId="6" applyFont="1" applyBorder="1" applyAlignment="1"/>
    <xf numFmtId="5" fontId="7" fillId="0" borderId="52" xfId="6" applyFont="1" applyBorder="1" applyAlignment="1"/>
    <xf numFmtId="5" fontId="7" fillId="0" borderId="23" xfId="6" applyFont="1" applyBorder="1" applyAlignment="1"/>
    <xf numFmtId="5" fontId="7" fillId="0" borderId="114" xfId="6" applyFont="1" applyBorder="1" applyAlignment="1"/>
    <xf numFmtId="5" fontId="7" fillId="0" borderId="22" xfId="6" applyFont="1" applyBorder="1" applyAlignment="1"/>
    <xf numFmtId="5" fontId="7" fillId="0" borderId="109" xfId="6" applyFont="1" applyBorder="1" applyAlignment="1"/>
    <xf numFmtId="5" fontId="7" fillId="0" borderId="0" xfId="6" applyFont="1" applyAlignment="1"/>
    <xf numFmtId="5" fontId="7" fillId="0" borderId="19" xfId="6" applyFont="1" applyBorder="1" applyAlignment="1"/>
    <xf numFmtId="0" fontId="27" fillId="0" borderId="31" xfId="0" applyFont="1" applyBorder="1" applyAlignment="1"/>
    <xf numFmtId="0" fontId="27" fillId="0" borderId="49" xfId="0" applyFont="1" applyBorder="1" applyAlignment="1"/>
    <xf numFmtId="0" fontId="6" fillId="0" borderId="252" xfId="0" applyFont="1" applyBorder="1" applyAlignment="1"/>
    <xf numFmtId="0" fontId="6" fillId="0" borderId="194" xfId="0" applyFont="1" applyBorder="1" applyAlignment="1"/>
    <xf numFmtId="0" fontId="6" fillId="0" borderId="165" xfId="0" applyFont="1" applyBorder="1" applyAlignment="1"/>
    <xf numFmtId="0" fontId="7" fillId="0" borderId="158" xfId="0" applyFont="1" applyBorder="1" applyAlignment="1"/>
    <xf numFmtId="0" fontId="7" fillId="0" borderId="166" xfId="0" applyFont="1" applyBorder="1" applyAlignment="1"/>
    <xf numFmtId="0" fontId="7" fillId="0" borderId="167" xfId="0" applyFont="1" applyBorder="1" applyAlignment="1"/>
    <xf numFmtId="0" fontId="7" fillId="0" borderId="74" xfId="0" applyFont="1" applyBorder="1" applyAlignment="1"/>
    <xf numFmtId="0" fontId="7" fillId="0" borderId="21" xfId="0" applyFont="1" applyBorder="1" applyAlignment="1"/>
    <xf numFmtId="0" fontId="7" fillId="0" borderId="176" xfId="0" applyFont="1" applyBorder="1" applyAlignment="1"/>
    <xf numFmtId="0" fontId="7" fillId="0" borderId="253" xfId="0" applyFont="1" applyBorder="1" applyAlignment="1"/>
    <xf numFmtId="0" fontId="7" fillId="0" borderId="254" xfId="0" applyFont="1" applyBorder="1" applyAlignment="1"/>
    <xf numFmtId="0" fontId="7" fillId="0" borderId="255" xfId="0" applyFont="1" applyBorder="1" applyAlignment="1"/>
    <xf numFmtId="0" fontId="6" fillId="0" borderId="5" xfId="0" applyFont="1" applyBorder="1" applyAlignment="1"/>
    <xf numFmtId="0" fontId="6" fillId="0" borderId="0" xfId="0" applyFont="1" applyAlignment="1"/>
    <xf numFmtId="9" fontId="6" fillId="0" borderId="31" xfId="13" applyFont="1" applyBorder="1" applyAlignment="1">
      <alignment horizontal="right"/>
    </xf>
    <xf numFmtId="9" fontId="40" fillId="0" borderId="0" xfId="13" applyFont="1" applyAlignment="1">
      <alignment horizontal="left"/>
    </xf>
    <xf numFmtId="9" fontId="40" fillId="0" borderId="19" xfId="13" applyFont="1" applyBorder="1" applyAlignment="1">
      <alignment horizontal="left"/>
    </xf>
    <xf numFmtId="41" fontId="7" fillId="0" borderId="0" xfId="6" applyNumberFormat="1" applyFont="1" applyAlignment="1"/>
    <xf numFmtId="41" fontId="7" fillId="0" borderId="19" xfId="6" applyNumberFormat="1" applyFont="1" applyBorder="1" applyAlignment="1"/>
    <xf numFmtId="5" fontId="7" fillId="0" borderId="61" xfId="6" applyFont="1" applyBorder="1" applyAlignment="1"/>
    <xf numFmtId="5" fontId="7" fillId="0" borderId="137" xfId="6" applyFont="1" applyBorder="1" applyAlignment="1"/>
    <xf numFmtId="38" fontId="7" fillId="0" borderId="56" xfId="6" applyNumberFormat="1" applyFont="1" applyBorder="1" applyAlignment="1"/>
    <xf numFmtId="38" fontId="7" fillId="0" borderId="175" xfId="6" applyNumberFormat="1" applyFont="1" applyBorder="1" applyAlignment="1"/>
    <xf numFmtId="49" fontId="7" fillId="5" borderId="49" xfId="0" applyNumberFormat="1" applyFont="1" applyFill="1" applyBorder="1" applyAlignment="1" applyProtection="1">
      <protection locked="0"/>
    </xf>
    <xf numFmtId="9" fontId="7" fillId="5" borderId="31" xfId="13" applyFont="1" applyFill="1" applyBorder="1" applyAlignment="1" applyProtection="1">
      <protection locked="0"/>
    </xf>
    <xf numFmtId="9" fontId="7" fillId="5" borderId="49" xfId="13" applyFont="1" applyFill="1" applyBorder="1" applyAlignment="1" applyProtection="1">
      <protection locked="0"/>
    </xf>
    <xf numFmtId="0" fontId="7" fillId="5" borderId="31" xfId="0" applyFont="1" applyFill="1" applyBorder="1" applyAlignment="1" applyProtection="1">
      <protection locked="0"/>
    </xf>
    <xf numFmtId="0" fontId="7" fillId="5" borderId="49" xfId="0" applyFont="1" applyFill="1" applyBorder="1" applyAlignment="1" applyProtection="1">
      <protection locked="0"/>
    </xf>
    <xf numFmtId="49" fontId="7" fillId="5" borderId="30" xfId="0" applyNumberFormat="1" applyFont="1" applyFill="1" applyBorder="1" applyAlignment="1" applyProtection="1">
      <protection locked="0"/>
    </xf>
    <xf numFmtId="49" fontId="7" fillId="5" borderId="104" xfId="0" applyNumberFormat="1" applyFont="1" applyFill="1" applyBorder="1" applyAlignment="1" applyProtection="1">
      <protection locked="0"/>
    </xf>
    <xf numFmtId="0" fontId="7" fillId="0" borderId="54" xfId="0" applyFont="1" applyBorder="1" applyAlignment="1"/>
    <xf numFmtId="0" fontId="7" fillId="0" borderId="46" xfId="0" applyFont="1" applyBorder="1" applyAlignment="1"/>
    <xf numFmtId="0" fontId="7" fillId="0" borderId="32" xfId="0" applyFont="1" applyBorder="1" applyAlignment="1"/>
    <xf numFmtId="0" fontId="7" fillId="0" borderId="49" xfId="0" applyFont="1" applyBorder="1" applyAlignment="1"/>
    <xf numFmtId="9" fontId="6" fillId="0" borderId="131" xfId="13" applyFont="1" applyBorder="1" applyAlignment="1">
      <alignment horizontal="right"/>
    </xf>
    <xf numFmtId="5" fontId="7" fillId="0" borderId="30" xfId="6" applyFont="1" applyBorder="1" applyAlignment="1"/>
    <xf numFmtId="5" fontId="7" fillId="0" borderId="129" xfId="6" applyFont="1" applyBorder="1" applyAlignment="1"/>
    <xf numFmtId="49" fontId="7" fillId="5" borderId="30" xfId="13" applyNumberFormat="1" applyFont="1" applyFill="1" applyBorder="1" applyAlignment="1" applyProtection="1">
      <protection locked="0"/>
    </xf>
    <xf numFmtId="9" fontId="6" fillId="0" borderId="17" xfId="13" applyFont="1" applyBorder="1" applyAlignment="1">
      <alignment horizontal="right"/>
    </xf>
    <xf numFmtId="0" fontId="7" fillId="0" borderId="159" xfId="0" applyFont="1" applyBorder="1" applyAlignment="1"/>
    <xf numFmtId="0" fontId="7" fillId="0" borderId="131" xfId="0" applyFont="1" applyBorder="1" applyAlignment="1"/>
    <xf numFmtId="0" fontId="6" fillId="0" borderId="163" xfId="0" applyFont="1" applyBorder="1" applyAlignment="1"/>
    <xf numFmtId="0" fontId="6" fillId="0" borderId="133" xfId="0" applyFont="1" applyBorder="1" applyAlignment="1"/>
    <xf numFmtId="0" fontId="7" fillId="0" borderId="162" xfId="0" applyFont="1" applyBorder="1" applyAlignment="1"/>
    <xf numFmtId="0" fontId="7" fillId="0" borderId="115" xfId="0" applyFont="1" applyBorder="1" applyAlignment="1"/>
    <xf numFmtId="0" fontId="7" fillId="0" borderId="256" xfId="0" applyFont="1" applyBorder="1" applyAlignment="1"/>
    <xf numFmtId="0" fontId="1" fillId="0" borderId="27" xfId="0" applyFont="1" applyBorder="1" applyAlignment="1">
      <alignment horizontal="center"/>
    </xf>
    <xf numFmtId="5" fontId="7" fillId="0" borderId="251" xfId="6" applyFont="1" applyBorder="1" applyAlignment="1">
      <alignment horizontal="left"/>
    </xf>
    <xf numFmtId="5" fontId="7" fillId="0" borderId="160" xfId="6" applyFont="1" applyBorder="1" applyAlignment="1">
      <alignment horizontal="left"/>
    </xf>
    <xf numFmtId="9" fontId="1" fillId="0" borderId="0" xfId="13" applyFont="1" applyAlignment="1" applyProtection="1">
      <alignment vertical="top" wrapText="1"/>
    </xf>
    <xf numFmtId="9" fontId="0" fillId="0" borderId="0" xfId="13" applyFont="1" applyAlignment="1" applyProtection="1">
      <alignment vertical="top" wrapText="1"/>
    </xf>
    <xf numFmtId="5" fontId="7" fillId="0" borderId="21" xfId="6" applyFont="1" applyBorder="1" applyAlignment="1"/>
    <xf numFmtId="5" fontId="7" fillId="0" borderId="118" xfId="6" applyFont="1" applyBorder="1" applyAlignment="1"/>
    <xf numFmtId="0" fontId="7" fillId="0" borderId="76" xfId="0" applyFont="1" applyBorder="1" applyAlignment="1"/>
    <xf numFmtId="0" fontId="0" fillId="5" borderId="189" xfId="0" applyFill="1" applyBorder="1" applyAlignment="1" applyProtection="1">
      <alignment horizontal="left" vertical="top"/>
      <protection locked="0"/>
    </xf>
    <xf numFmtId="0" fontId="0" fillId="5" borderId="27" xfId="0" applyFill="1" applyBorder="1" applyAlignment="1" applyProtection="1">
      <alignment horizontal="left" vertical="top"/>
      <protection locked="0"/>
    </xf>
    <xf numFmtId="0" fontId="0" fillId="5" borderId="188" xfId="0" applyFill="1" applyBorder="1" applyAlignment="1" applyProtection="1">
      <alignment horizontal="left" vertical="top"/>
      <protection locked="0"/>
    </xf>
    <xf numFmtId="0" fontId="1" fillId="5" borderId="257" xfId="0" applyFont="1" applyFill="1" applyBorder="1" applyAlignment="1" applyProtection="1">
      <alignment horizontal="left" vertical="top"/>
      <protection locked="0"/>
    </xf>
    <xf numFmtId="0" fontId="1" fillId="5" borderId="97" xfId="0" applyFont="1" applyFill="1" applyBorder="1" applyAlignment="1" applyProtection="1">
      <alignment horizontal="left" vertical="top"/>
      <protection locked="0"/>
    </xf>
    <xf numFmtId="0" fontId="1" fillId="5" borderId="258" xfId="0" applyFont="1" applyFill="1" applyBorder="1" applyAlignment="1" applyProtection="1">
      <alignment horizontal="left" vertical="top"/>
      <protection locked="0"/>
    </xf>
    <xf numFmtId="0" fontId="1" fillId="0" borderId="39" xfId="0" applyFont="1" applyBorder="1" applyAlignment="1"/>
    <xf numFmtId="0" fontId="1" fillId="0" borderId="35" xfId="0" applyFont="1" applyBorder="1" applyAlignment="1"/>
    <xf numFmtId="0" fontId="1" fillId="0" borderId="40" xfId="0" applyFont="1" applyBorder="1" applyAlignment="1"/>
    <xf numFmtId="0" fontId="1" fillId="5" borderId="34" xfId="0" applyFont="1" applyFill="1" applyBorder="1" applyAlignment="1" applyProtection="1">
      <alignment wrapText="1"/>
      <protection locked="0"/>
    </xf>
    <xf numFmtId="0" fontId="1" fillId="5" borderId="35" xfId="0" applyFont="1" applyFill="1" applyBorder="1" applyAlignment="1" applyProtection="1">
      <alignment wrapText="1"/>
      <protection locked="0"/>
    </xf>
    <xf numFmtId="0" fontId="1" fillId="5" borderId="259" xfId="0" applyFont="1" applyFill="1" applyBorder="1" applyAlignment="1" applyProtection="1">
      <alignment wrapText="1"/>
      <protection locked="0"/>
    </xf>
    <xf numFmtId="0" fontId="0" fillId="5" borderId="35" xfId="0" applyFill="1" applyBorder="1" applyAlignment="1" applyProtection="1">
      <alignment wrapText="1"/>
      <protection locked="0"/>
    </xf>
    <xf numFmtId="0" fontId="0" fillId="5" borderId="259" xfId="0" applyFill="1" applyBorder="1" applyAlignment="1" applyProtection="1">
      <alignment wrapText="1"/>
      <protection locked="0"/>
    </xf>
    <xf numFmtId="0" fontId="1" fillId="5" borderId="260" xfId="0" applyFont="1" applyFill="1" applyBorder="1" applyAlignment="1" applyProtection="1">
      <alignment horizontal="left" vertical="top" wrapText="1"/>
      <protection locked="0"/>
    </xf>
    <xf numFmtId="0" fontId="1" fillId="5" borderId="18" xfId="0" applyFont="1" applyFill="1" applyBorder="1" applyAlignment="1" applyProtection="1">
      <alignment horizontal="left" vertical="top" wrapText="1"/>
      <protection locked="0"/>
    </xf>
    <xf numFmtId="0" fontId="1" fillId="5" borderId="261" xfId="0" applyFont="1" applyFill="1" applyBorder="1" applyAlignment="1" applyProtection="1">
      <alignment horizontal="left" vertical="top" wrapText="1"/>
      <protection locked="0"/>
    </xf>
    <xf numFmtId="37" fontId="0" fillId="0" borderId="88" xfId="0" applyNumberFormat="1" applyBorder="1" applyAlignment="1">
      <alignment horizontal="center"/>
    </xf>
    <xf numFmtId="37" fontId="0" fillId="0" borderId="128" xfId="0" applyNumberFormat="1" applyBorder="1" applyAlignment="1">
      <alignment horizontal="center"/>
    </xf>
    <xf numFmtId="0" fontId="0" fillId="0" borderId="88" xfId="0" applyBorder="1" applyAlignment="1">
      <alignment horizontal="center"/>
    </xf>
    <xf numFmtId="0" fontId="0" fillId="0" borderId="128" xfId="0" applyBorder="1" applyAlignment="1">
      <alignment horizontal="center"/>
    </xf>
    <xf numFmtId="0" fontId="0" fillId="0" borderId="5" xfId="0" applyBorder="1" applyAlignment="1">
      <alignment horizontal="center"/>
    </xf>
    <xf numFmtId="0" fontId="0" fillId="0" borderId="19" xfId="0" applyBorder="1" applyAlignment="1">
      <alignment horizontal="center"/>
    </xf>
    <xf numFmtId="0" fontId="0" fillId="0" borderId="0" xfId="0" applyAlignment="1">
      <alignment horizontal="left" wrapText="1"/>
    </xf>
    <xf numFmtId="0" fontId="12" fillId="0" borderId="0" xfId="0" applyFont="1" applyAlignment="1">
      <alignment horizontal="left" wrapText="1"/>
    </xf>
    <xf numFmtId="0" fontId="7" fillId="5" borderId="83" xfId="10" applyFont="1" applyFill="1" applyBorder="1" applyAlignment="1" applyProtection="1">
      <protection locked="0"/>
    </xf>
    <xf numFmtId="0" fontId="7" fillId="5" borderId="31" xfId="10" applyFont="1" applyFill="1" applyBorder="1" applyAlignment="1" applyProtection="1">
      <protection locked="0"/>
    </xf>
    <xf numFmtId="0" fontId="6" fillId="0" borderId="0" xfId="10" applyFont="1" applyAlignment="1">
      <alignment horizontal="center"/>
    </xf>
    <xf numFmtId="0" fontId="7" fillId="0" borderId="184" xfId="10" applyFont="1" applyBorder="1" applyAlignment="1">
      <alignment horizontal="center" vertical="center" wrapText="1"/>
    </xf>
    <xf numFmtId="0" fontId="13" fillId="0" borderId="86" xfId="0" applyFont="1" applyBorder="1" applyAlignment="1">
      <alignment horizontal="center" vertical="center" wrapText="1"/>
    </xf>
    <xf numFmtId="0" fontId="13" fillId="0" borderId="189" xfId="0" applyFont="1" applyBorder="1" applyAlignment="1">
      <alignment horizontal="center" vertical="center" wrapText="1"/>
    </xf>
    <xf numFmtId="41" fontId="7" fillId="0" borderId="185" xfId="10" applyNumberFormat="1" applyFont="1" applyBorder="1" applyAlignment="1">
      <alignment horizontal="center" vertical="center" wrapText="1"/>
    </xf>
    <xf numFmtId="41" fontId="7" fillId="0" borderId="15" xfId="10" applyNumberFormat="1" applyFont="1" applyBorder="1" applyAlignment="1">
      <alignment horizontal="center" vertical="center" wrapText="1"/>
    </xf>
    <xf numFmtId="41" fontId="7" fillId="0" borderId="262" xfId="10" applyNumberFormat="1" applyFont="1" applyBorder="1" applyAlignment="1">
      <alignment horizontal="center" vertical="center" wrapText="1"/>
    </xf>
    <xf numFmtId="0" fontId="6" fillId="0" borderId="4" xfId="11" applyFont="1" applyBorder="1" applyAlignment="1">
      <alignment horizontal="center" vertical="center"/>
    </xf>
    <xf numFmtId="0" fontId="14" fillId="0" borderId="0" xfId="12" applyFont="1" applyAlignment="1">
      <alignment horizontal="left"/>
    </xf>
    <xf numFmtId="0" fontId="1" fillId="0" borderId="0" xfId="0" applyFont="1" applyAlignment="1"/>
    <xf numFmtId="0" fontId="26" fillId="0" borderId="27" xfId="0" quotePrefix="1" applyFont="1" applyBorder="1" applyAlignment="1" applyProtection="1">
      <alignment horizontal="left"/>
      <protection locked="0"/>
    </xf>
    <xf numFmtId="1" fontId="26" fillId="0" borderId="31" xfId="0" applyNumberFormat="1" applyFont="1" applyBorder="1" applyAlignment="1" applyProtection="1">
      <alignment horizontal="left"/>
      <protection locked="0"/>
    </xf>
    <xf numFmtId="37" fontId="18" fillId="0" borderId="132" xfId="11" applyNumberFormat="1" applyFont="1" applyBorder="1" applyAlignment="1">
      <alignment horizontal="center" vertical="center" wrapText="1"/>
    </xf>
    <xf numFmtId="37" fontId="18" fillId="0" borderId="250" xfId="11" applyNumberFormat="1" applyFont="1" applyBorder="1" applyAlignment="1">
      <alignment horizontal="center" vertical="center" wrapText="1"/>
    </xf>
    <xf numFmtId="37" fontId="18" fillId="0" borderId="94" xfId="11" applyNumberFormat="1" applyFont="1" applyBorder="1" applyAlignment="1">
      <alignment horizontal="center" vertical="center" wrapText="1"/>
    </xf>
    <xf numFmtId="37" fontId="18" fillId="0" borderId="44" xfId="11" applyNumberFormat="1" applyFont="1" applyBorder="1" applyAlignment="1">
      <alignment horizontal="center" vertical="center" wrapText="1"/>
    </xf>
    <xf numFmtId="9" fontId="43" fillId="0" borderId="5" xfId="0" applyNumberFormat="1" applyFont="1" applyBorder="1" applyAlignment="1">
      <alignment horizontal="left" vertical="center"/>
    </xf>
    <xf numFmtId="9" fontId="43" fillId="0" borderId="0" xfId="0" applyNumberFormat="1" applyFont="1" applyAlignment="1">
      <alignment horizontal="left" vertical="center"/>
    </xf>
    <xf numFmtId="0" fontId="6" fillId="0" borderId="98" xfId="0" applyFont="1" applyBorder="1" applyAlignment="1">
      <alignment horizontal="center"/>
    </xf>
    <xf numFmtId="5" fontId="7" fillId="0" borderId="27" xfId="6" applyFont="1" applyBorder="1" applyAlignment="1"/>
    <xf numFmtId="5" fontId="7" fillId="0" borderId="31" xfId="6" applyFont="1" applyBorder="1" applyAlignment="1"/>
    <xf numFmtId="5" fontId="7" fillId="0" borderId="105" xfId="6" applyFont="1" applyBorder="1" applyAlignment="1"/>
    <xf numFmtId="0" fontId="7" fillId="0" borderId="30" xfId="0" applyFont="1" applyBorder="1" applyAlignment="1"/>
    <xf numFmtId="0" fontId="6" fillId="0" borderId="171" xfId="0" applyFont="1" applyBorder="1" applyAlignment="1"/>
    <xf numFmtId="0" fontId="6" fillId="0" borderId="131" xfId="0" applyFont="1" applyBorder="1" applyAlignment="1"/>
    <xf numFmtId="38" fontId="7" fillId="0" borderId="0" xfId="6" applyNumberFormat="1" applyFont="1" applyAlignment="1"/>
    <xf numFmtId="0" fontId="6" fillId="0" borderId="168" xfId="0" applyFont="1" applyBorder="1" applyAlignment="1"/>
    <xf numFmtId="0" fontId="6" fillId="0" borderId="169" xfId="0" applyFont="1" applyBorder="1" applyAlignment="1"/>
    <xf numFmtId="9" fontId="7" fillId="0" borderId="32" xfId="13" applyFont="1" applyBorder="1" applyAlignment="1">
      <alignment horizontal="left"/>
    </xf>
    <xf numFmtId="9" fontId="7" fillId="0" borderId="31" xfId="13" applyFont="1" applyBorder="1" applyAlignment="1">
      <alignment horizontal="left"/>
    </xf>
    <xf numFmtId="9" fontId="7" fillId="0" borderId="49" xfId="13" applyFont="1" applyBorder="1" applyAlignment="1">
      <alignment horizontal="left"/>
    </xf>
    <xf numFmtId="9" fontId="1" fillId="0" borderId="0" xfId="13" applyFont="1" applyAlignment="1" applyProtection="1">
      <alignment horizontal="left" vertical="top" wrapText="1"/>
    </xf>
    <xf numFmtId="9" fontId="0" fillId="0" borderId="0" xfId="13" applyFont="1" applyAlignment="1" applyProtection="1">
      <alignment horizontal="left" vertical="top" wrapText="1"/>
    </xf>
    <xf numFmtId="0" fontId="1" fillId="5" borderId="189" xfId="0" applyFont="1" applyFill="1" applyBorder="1" applyAlignment="1" applyProtection="1">
      <alignment horizontal="left" vertical="top"/>
      <protection locked="0"/>
    </xf>
    <xf numFmtId="0" fontId="1" fillId="5" borderId="27" xfId="0" applyFont="1" applyFill="1" applyBorder="1" applyAlignment="1" applyProtection="1">
      <alignment horizontal="left" vertical="top"/>
      <protection locked="0"/>
    </xf>
    <xf numFmtId="0" fontId="1" fillId="5" borderId="188" xfId="0" applyFont="1" applyFill="1" applyBorder="1" applyAlignment="1" applyProtection="1">
      <alignment horizontal="left" vertical="top"/>
      <protection locked="0"/>
    </xf>
    <xf numFmtId="0" fontId="6" fillId="0" borderId="9" xfId="10" applyFont="1" applyBorder="1" applyAlignment="1">
      <alignment horizontal="center"/>
    </xf>
    <xf numFmtId="0" fontId="7" fillId="0" borderId="263" xfId="10" applyFont="1" applyBorder="1" applyAlignment="1">
      <alignment horizontal="center" vertical="center" wrapText="1"/>
    </xf>
    <xf numFmtId="0" fontId="13" fillId="0" borderId="264" xfId="0" applyFont="1" applyBorder="1" applyAlignment="1">
      <alignment horizontal="center" vertical="center" wrapText="1"/>
    </xf>
    <xf numFmtId="0" fontId="13" fillId="0" borderId="265" xfId="0" applyFont="1" applyBorder="1" applyAlignment="1">
      <alignment horizontal="center" vertical="center" wrapText="1"/>
    </xf>
    <xf numFmtId="43" fontId="6" fillId="16" borderId="4" xfId="2" applyNumberFormat="1" applyFont="1" applyFill="1" applyBorder="1" applyAlignment="1">
      <alignment horizontal="center"/>
    </xf>
    <xf numFmtId="43" fontId="6" fillId="16" borderId="53" xfId="2" applyNumberFormat="1" applyFont="1" applyFill="1" applyBorder="1" applyAlignment="1">
      <alignment horizontal="center"/>
    </xf>
    <xf numFmtId="5" fontId="7" fillId="6" borderId="251" xfId="6" applyFont="1" applyFill="1" applyBorder="1" applyAlignment="1">
      <alignment horizontal="left"/>
    </xf>
    <xf numFmtId="5" fontId="7" fillId="6" borderId="160" xfId="6" applyFont="1" applyFill="1" applyBorder="1" applyAlignment="1">
      <alignment horizontal="left"/>
    </xf>
    <xf numFmtId="41" fontId="7" fillId="0" borderId="30" xfId="0" applyNumberFormat="1" applyFont="1" applyBorder="1" applyAlignment="1">
      <alignment vertical="center"/>
    </xf>
    <xf numFmtId="0" fontId="6" fillId="0" borderId="243" xfId="0" applyFont="1" applyBorder="1" applyAlignment="1">
      <alignment horizontal="center"/>
    </xf>
    <xf numFmtId="5" fontId="7" fillId="0" borderId="251" xfId="6" applyFont="1" applyBorder="1" applyAlignment="1" applyProtection="1">
      <alignment horizontal="left"/>
    </xf>
    <xf numFmtId="5" fontId="7" fillId="0" borderId="160" xfId="6" applyFont="1" applyBorder="1" applyAlignment="1" applyProtection="1">
      <alignment horizontal="left"/>
    </xf>
    <xf numFmtId="0" fontId="12" fillId="5" borderId="189" xfId="0" applyFont="1" applyFill="1" applyBorder="1" applyAlignment="1" applyProtection="1">
      <alignment horizontal="left" vertical="top"/>
      <protection locked="0"/>
    </xf>
    <xf numFmtId="0" fontId="12" fillId="5" borderId="27" xfId="0" applyFont="1" applyFill="1" applyBorder="1" applyAlignment="1" applyProtection="1">
      <alignment horizontal="left" vertical="top"/>
      <protection locked="0"/>
    </xf>
    <xf numFmtId="0" fontId="12" fillId="5" borderId="188" xfId="0" applyFont="1" applyFill="1" applyBorder="1" applyAlignment="1" applyProtection="1">
      <alignment horizontal="left" vertical="top"/>
      <protection locked="0"/>
    </xf>
    <xf numFmtId="43" fontId="6" fillId="16" borderId="88" xfId="2" applyNumberFormat="1" applyFont="1" applyFill="1" applyBorder="1" applyAlignment="1">
      <alignment horizontal="center"/>
    </xf>
    <xf numFmtId="43" fontId="6" fillId="16" borderId="17" xfId="2" applyNumberFormat="1" applyFont="1" applyFill="1" applyBorder="1" applyAlignment="1">
      <alignment horizontal="center"/>
    </xf>
    <xf numFmtId="43" fontId="6" fillId="16" borderId="128" xfId="2" applyNumberFormat="1" applyFont="1" applyFill="1" applyBorder="1" applyAlignment="1">
      <alignment horizontal="center"/>
    </xf>
    <xf numFmtId="43" fontId="6" fillId="0" borderId="9" xfId="10" applyNumberFormat="1" applyFont="1" applyBorder="1" applyAlignment="1">
      <alignment horizontal="center"/>
    </xf>
    <xf numFmtId="43" fontId="6" fillId="0" borderId="88" xfId="2" applyNumberFormat="1" applyFont="1" applyFill="1" applyBorder="1" applyAlignment="1">
      <alignment horizontal="center"/>
    </xf>
    <xf numFmtId="43" fontId="6" fillId="0" borderId="17" xfId="2" applyNumberFormat="1" applyFont="1" applyFill="1" applyBorder="1" applyAlignment="1">
      <alignment horizontal="center"/>
    </xf>
    <xf numFmtId="0" fontId="7" fillId="0" borderId="19" xfId="10" applyFont="1" applyBorder="1" applyAlignment="1">
      <alignment horizontal="center" vertical="center" wrapText="1"/>
    </xf>
    <xf numFmtId="0" fontId="13" fillId="0" borderId="19" xfId="0" applyFont="1" applyBorder="1" applyAlignment="1">
      <alignment horizontal="center" vertical="center" wrapText="1"/>
    </xf>
    <xf numFmtId="43" fontId="0" fillId="0" borderId="0" xfId="1" applyFont="1" applyProtection="1">
      <protection locked="0"/>
    </xf>
  </cellXfs>
  <cellStyles count="14">
    <cellStyle name="Comma" xfId="1" builtinId="3"/>
    <cellStyle name="Comma_1st CASH FLOW " xfId="2" xr:uid="{00000000-0005-0000-0000-000001000000}"/>
    <cellStyle name="Comma0" xfId="3" xr:uid="{00000000-0005-0000-0000-000002000000}"/>
    <cellStyle name="Comma0 2" xfId="4" xr:uid="{00000000-0005-0000-0000-000003000000}"/>
    <cellStyle name="Currency" xfId="5" builtinId="4"/>
    <cellStyle name="Currency0" xfId="6" xr:uid="{00000000-0005-0000-0000-000005000000}"/>
    <cellStyle name="Currency0 2" xfId="7" xr:uid="{00000000-0005-0000-0000-000006000000}"/>
    <cellStyle name="Hyperlink" xfId="8" builtinId="8"/>
    <cellStyle name="Normal" xfId="0" builtinId="0"/>
    <cellStyle name="Normal 2" xfId="9" xr:uid="{00000000-0005-0000-0000-000009000000}"/>
    <cellStyle name="Normal_1st CASH FLOW " xfId="10" xr:uid="{00000000-0005-0000-0000-00000A000000}"/>
    <cellStyle name="Normal_Charters" xfId="11" xr:uid="{00000000-0005-0000-0000-00000B000000}"/>
    <cellStyle name="Normal_SBE Alternate Form Cert Page 8 15 03" xfId="12" xr:uid="{00000000-0005-0000-0000-00000C000000}"/>
    <cellStyle name="Percent" xfId="13" builtinId="5"/>
  </cellStyles>
  <dxfs count="390">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font>
    </dxf>
    <dxf>
      <font>
        <b/>
        <i val="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9C0006"/>
      </font>
      <fill>
        <patternFill>
          <bgColor rgb="FFFFC7CE"/>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b/>
        <i val="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b/>
        <i val="0"/>
      </font>
    </dxf>
    <dxf>
      <fill>
        <patternFill>
          <bgColor rgb="FFFF0000"/>
        </patternFill>
      </fill>
    </dxf>
    <dxf>
      <fill>
        <patternFill>
          <bgColor rgb="FF92D050"/>
        </patternFill>
      </fill>
    </dxf>
    <dxf>
      <font>
        <b/>
        <i val="0"/>
      </font>
    </dxf>
    <dxf>
      <font>
        <b/>
        <i val="0"/>
      </font>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b/>
        <i val="0"/>
        <color rgb="FFC00000"/>
      </font>
    </dxf>
    <dxf>
      <font>
        <color rgb="FF9C0006"/>
      </font>
      <fill>
        <patternFill>
          <bgColor rgb="FFFFC7CE"/>
        </patternFill>
      </fill>
    </dxf>
    <dxf>
      <font>
        <b/>
        <i val="0"/>
      </font>
    </dxf>
    <dxf>
      <font>
        <b/>
        <i val="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b/>
        <i val="0"/>
      </font>
    </dxf>
    <dxf>
      <font>
        <b/>
        <i val="0"/>
      </font>
    </dxf>
    <dxf>
      <font>
        <b/>
        <i val="0"/>
      </font>
    </dxf>
    <dxf>
      <font>
        <b/>
        <i val="0"/>
      </font>
    </dxf>
    <dxf>
      <font>
        <b/>
        <i val="0"/>
      </font>
    </dxf>
    <dxf>
      <font>
        <b/>
        <i val="0"/>
      </font>
    </dxf>
    <dxf>
      <fill>
        <patternFill>
          <bgColor rgb="FFFF0000"/>
        </patternFill>
      </fill>
    </dxf>
    <dxf>
      <fill>
        <patternFill>
          <bgColor rgb="FF92D050"/>
        </patternFill>
      </fill>
    </dxf>
    <dxf>
      <font>
        <color rgb="FF9C0006"/>
      </font>
      <fill>
        <patternFill>
          <bgColor rgb="FFFFC7CE"/>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C00000"/>
      </font>
    </dxf>
    <dxf>
      <font>
        <color rgb="FF9C0006"/>
      </font>
      <fill>
        <patternFill>
          <bgColor rgb="FFFFC7CE"/>
        </patternFill>
      </fill>
    </dxf>
    <dxf>
      <font>
        <b/>
        <i val="0"/>
        <color rgb="FFC0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al%20Reporting\2020-21\Charter%20Schools\Second%20Interim\246%20-%20RP%20Alternative%20Report-2nd%20Interim%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DGET-CHECKLIST"/>
      <sheetName val="BUDGET-CERTIFICATION"/>
      <sheetName val="Budget-ADA"/>
      <sheetName val="Budget-Assumptions"/>
      <sheetName val="Budget-Unrestricted MYP"/>
      <sheetName val="Budget-Restricted MYP"/>
      <sheetName val="Budget-Summary MYP"/>
      <sheetName val="Budget-DEBT"/>
      <sheetName val="Budget-Cash Flow Year 1"/>
      <sheetName val="Budget-Cash Flow Year 2"/>
      <sheetName val="INTERIM-CHECKLIST"/>
      <sheetName val="INTERIM-CERTIFICATION"/>
      <sheetName val="1st Interim-ADA"/>
      <sheetName val="1st Interim-Assumptions"/>
      <sheetName val="1st Interim-Unrestricted MYP"/>
      <sheetName val="1st Interim-Restricted MYP"/>
      <sheetName val="1st Interim-Summary MYP"/>
      <sheetName val="1st Interim-DEBT"/>
      <sheetName val="1st Interim-Cash Flow Year 1"/>
      <sheetName val="1st Interim-Cash Flow Year 2"/>
      <sheetName val="2nd Interim-ADA"/>
      <sheetName val="2nd Interim-Assumptions"/>
      <sheetName val="2nd Interim-Unrestricted MYP"/>
      <sheetName val="2nd Interim-Restricted MYP"/>
      <sheetName val="2nd Interim-Summary MYP"/>
      <sheetName val="2nd Interim-DEBT"/>
      <sheetName val="2nd Interim-Cash Flow Year 1"/>
      <sheetName val="2nd Interim-Cash Flow Yea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cmat.org/local-control-funding-formula-resourc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cmat.org/lcff" TargetMode="External"/><Relationship Id="rId1" Type="http://schemas.openxmlformats.org/officeDocument/2006/relationships/hyperlink" Target="http://fcmat.org/local-control-funding-formula-resources/" TargetMode="Externa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5.bin"/><Relationship Id="rId4" Type="http://schemas.openxmlformats.org/officeDocument/2006/relationships/customProperty" Target="../customProperty6.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customProperty" Target="../customProperty9.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customProperty" Target="../customProperty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customProperty" Target="../customProperty15.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customProperty" Target="../customProperty16.bin"/><Relationship Id="rId1" Type="http://schemas.openxmlformats.org/officeDocument/2006/relationships/printerSettings" Target="../printerSettings/printerSettings11.bin"/><Relationship Id="rId4" Type="http://schemas.openxmlformats.org/officeDocument/2006/relationships/customProperty" Target="../customProperty1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fcmat.org/lcff" TargetMode="External"/><Relationship Id="rId1" Type="http://schemas.openxmlformats.org/officeDocument/2006/relationships/hyperlink" Target="http://fcmat.org/local-control-funding-formula-resources/" TargetMode="Externa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3.bin"/><Relationship Id="rId4" Type="http://schemas.openxmlformats.org/officeDocument/2006/relationships/customProperty" Target="../customProperty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customProperty" Target="../customProperty22.bin"/><Relationship Id="rId1" Type="http://schemas.openxmlformats.org/officeDocument/2006/relationships/printerSettings" Target="../printerSettings/printerSettings15.bin"/><Relationship Id="rId4" Type="http://schemas.openxmlformats.org/officeDocument/2006/relationships/customProperty" Target="../customProperty24.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customProperty" Target="../customProperty2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customProperty" Target="../customProperty28.bin"/><Relationship Id="rId1" Type="http://schemas.openxmlformats.org/officeDocument/2006/relationships/printerSettings" Target="../printerSettings/printerSettings17.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customProperty" Target="../customProperty3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9.bin"/><Relationship Id="rId4" Type="http://schemas.openxmlformats.org/officeDocument/2006/relationships/customProperty" Target="../customProperty33.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customProperty" Target="../customProperty34.bin"/><Relationship Id="rId1" Type="http://schemas.openxmlformats.org/officeDocument/2006/relationships/printerSettings" Target="../printerSettings/printerSettings20.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customProperty" Target="../customProperty36.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21.bin"/><Relationship Id="rId4" Type="http://schemas.openxmlformats.org/officeDocument/2006/relationships/customProperty" Target="../customProperty39.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customProperty" Target="../customProperty40.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customProperty" Target="../customProperty43.bin"/><Relationship Id="rId1" Type="http://schemas.openxmlformats.org/officeDocument/2006/relationships/printerSettings" Target="../printerSettings/printerSettings22.bin"/><Relationship Id="rId4" Type="http://schemas.openxmlformats.org/officeDocument/2006/relationships/customProperty" Target="../customProperty45.bin"/></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47.bin"/><Relationship Id="rId2" Type="http://schemas.openxmlformats.org/officeDocument/2006/relationships/customProperty" Target="../customProperty46.bin"/><Relationship Id="rId1" Type="http://schemas.openxmlformats.org/officeDocument/2006/relationships/printerSettings" Target="../printerSettings/printerSettings23.bin"/><Relationship Id="rId4" Type="http://schemas.openxmlformats.org/officeDocument/2006/relationships/customProperty" Target="../customProperty48.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50.bin"/><Relationship Id="rId2" Type="http://schemas.openxmlformats.org/officeDocument/2006/relationships/customProperty" Target="../customProperty49.bin"/><Relationship Id="rId1" Type="http://schemas.openxmlformats.org/officeDocument/2006/relationships/printerSettings" Target="../printerSettings/printerSettings24.bin"/><Relationship Id="rId4" Type="http://schemas.openxmlformats.org/officeDocument/2006/relationships/customProperty" Target="../customProperty51.bin"/></Relationships>
</file>

<file path=xl/worksheets/_rels/sheet27.xml.rels><?xml version="1.0" encoding="UTF-8" standalone="yes"?>
<Relationships xmlns="http://schemas.openxmlformats.org/package/2006/relationships"><Relationship Id="rId3" Type="http://schemas.openxmlformats.org/officeDocument/2006/relationships/customProperty" Target="../customProperty53.bin"/><Relationship Id="rId2" Type="http://schemas.openxmlformats.org/officeDocument/2006/relationships/customProperty" Target="../customProperty52.bin"/><Relationship Id="rId1" Type="http://schemas.openxmlformats.org/officeDocument/2006/relationships/printerSettings" Target="../printerSettings/printerSettings25.bin"/><Relationship Id="rId4" Type="http://schemas.openxmlformats.org/officeDocument/2006/relationships/customProperty" Target="../customProperty54.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56.bin"/><Relationship Id="rId2" Type="http://schemas.openxmlformats.org/officeDocument/2006/relationships/customProperty" Target="../customProperty55.bin"/><Relationship Id="rId1" Type="http://schemas.openxmlformats.org/officeDocument/2006/relationships/printerSettings" Target="../printerSettings/printerSettings26.bin"/><Relationship Id="rId4" Type="http://schemas.openxmlformats.org/officeDocument/2006/relationships/customProperty" Target="../customProperty5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59.bin"/><Relationship Id="rId2" Type="http://schemas.openxmlformats.org/officeDocument/2006/relationships/customProperty" Target="../customProperty58.bin"/><Relationship Id="rId1" Type="http://schemas.openxmlformats.org/officeDocument/2006/relationships/printerSettings" Target="../printerSettings/printerSettings28.bin"/><Relationship Id="rId4" Type="http://schemas.openxmlformats.org/officeDocument/2006/relationships/customProperty" Target="../customProperty60.bin"/></Relationships>
</file>

<file path=xl/worksheets/_rels/sheet31.xml.rels><?xml version="1.0" encoding="UTF-8" standalone="yes"?>
<Relationships xmlns="http://schemas.openxmlformats.org/package/2006/relationships"><Relationship Id="rId3" Type="http://schemas.openxmlformats.org/officeDocument/2006/relationships/customProperty" Target="../customProperty62.bin"/><Relationship Id="rId2" Type="http://schemas.openxmlformats.org/officeDocument/2006/relationships/customProperty" Target="../customProperty61.bin"/><Relationship Id="rId1" Type="http://schemas.openxmlformats.org/officeDocument/2006/relationships/printerSettings" Target="../printerSettings/printerSettings29.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customProperty" Target="../customProperty63.bin"/></Relationships>
</file>

<file path=xl/worksheets/_rels/sheet32.xml.rels><?xml version="1.0" encoding="UTF-8" standalone="yes"?>
<Relationships xmlns="http://schemas.openxmlformats.org/package/2006/relationships"><Relationship Id="rId3" Type="http://schemas.openxmlformats.org/officeDocument/2006/relationships/customProperty" Target="../customProperty65.bin"/><Relationship Id="rId2" Type="http://schemas.openxmlformats.org/officeDocument/2006/relationships/customProperty" Target="../customProperty64.bin"/><Relationship Id="rId1" Type="http://schemas.openxmlformats.org/officeDocument/2006/relationships/printerSettings" Target="../printerSettings/printerSettings30.bin"/><Relationship Id="rId4" Type="http://schemas.openxmlformats.org/officeDocument/2006/relationships/customProperty" Target="../customProperty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L113"/>
  <sheetViews>
    <sheetView showGridLines="0" zoomScale="115" zoomScaleNormal="115" workbookViewId="0">
      <selection activeCell="H2" sqref="H2"/>
    </sheetView>
  </sheetViews>
  <sheetFormatPr defaultRowHeight="12.75"/>
  <cols>
    <col min="1" max="1" width="10" customWidth="1"/>
    <col min="6" max="6" width="11.28515625" customWidth="1"/>
    <col min="7" max="7" width="12.140625" customWidth="1"/>
    <col min="8" max="8" width="11.5703125" customWidth="1"/>
    <col min="9" max="9" width="10.7109375" customWidth="1"/>
    <col min="10" max="10" width="13.28515625" customWidth="1"/>
  </cols>
  <sheetData>
    <row r="1" spans="1:10">
      <c r="A1" s="15" t="s">
        <v>0</v>
      </c>
      <c r="B1" s="16"/>
      <c r="C1" s="16"/>
      <c r="D1" s="16"/>
      <c r="E1" s="16"/>
      <c r="F1" s="16"/>
      <c r="G1" s="16"/>
      <c r="H1" s="1217" t="s">
        <v>1</v>
      </c>
      <c r="I1" s="16"/>
      <c r="J1" s="16"/>
    </row>
    <row r="2" spans="1:10">
      <c r="A2" s="16"/>
      <c r="B2" s="16"/>
      <c r="C2" s="16"/>
      <c r="D2" s="16"/>
      <c r="E2" s="16"/>
      <c r="F2" s="16"/>
      <c r="G2" s="16"/>
      <c r="H2" s="16"/>
      <c r="I2" s="16"/>
      <c r="J2" s="16"/>
    </row>
    <row r="3" spans="1:10">
      <c r="A3" s="17" t="s">
        <v>2</v>
      </c>
      <c r="B3" s="1627" t="s">
        <v>3</v>
      </c>
      <c r="C3" s="1627"/>
      <c r="D3" s="1627"/>
      <c r="E3" s="1627"/>
      <c r="F3" s="1627"/>
      <c r="G3" s="1627"/>
      <c r="H3" s="1627"/>
      <c r="I3" s="1627"/>
      <c r="J3" s="1627"/>
    </row>
    <row r="4" spans="1:10">
      <c r="A4" s="16"/>
      <c r="B4" s="1627"/>
      <c r="C4" s="1627"/>
      <c r="D4" s="1627"/>
      <c r="E4" s="1627"/>
      <c r="F4" s="1627"/>
      <c r="G4" s="1627"/>
      <c r="H4" s="1627"/>
      <c r="I4" s="1627"/>
      <c r="J4" s="1627"/>
    </row>
    <row r="5" spans="1:10">
      <c r="A5" s="16"/>
      <c r="B5" s="16"/>
      <c r="C5" s="16"/>
      <c r="D5" s="16"/>
      <c r="E5" s="16"/>
      <c r="F5" s="16"/>
      <c r="G5" s="16"/>
      <c r="H5" s="16"/>
      <c r="I5" s="16"/>
      <c r="J5" s="16"/>
    </row>
    <row r="6" spans="1:10">
      <c r="A6" s="1629" t="s">
        <v>4</v>
      </c>
      <c r="B6" s="1629"/>
      <c r="C6" s="78" t="s">
        <v>5</v>
      </c>
      <c r="D6" s="77"/>
      <c r="E6" s="77"/>
      <c r="F6" s="16"/>
      <c r="G6" s="16"/>
      <c r="H6" s="16"/>
      <c r="I6" s="16"/>
      <c r="J6" s="16"/>
    </row>
    <row r="7" spans="1:10">
      <c r="A7" s="16"/>
      <c r="B7" s="228"/>
      <c r="C7" s="228"/>
      <c r="D7" s="228"/>
      <c r="E7" s="228"/>
      <c r="F7" s="228"/>
      <c r="G7" s="228"/>
      <c r="H7" s="16"/>
      <c r="I7" s="16"/>
      <c r="J7" s="16"/>
    </row>
    <row r="8" spans="1:10">
      <c r="A8" s="16">
        <v>1</v>
      </c>
      <c r="B8" s="1625" t="s">
        <v>6</v>
      </c>
      <c r="C8" s="1625"/>
      <c r="D8" s="1625"/>
      <c r="E8" s="1625"/>
      <c r="F8" s="228"/>
      <c r="G8" s="228"/>
      <c r="H8" s="16"/>
      <c r="I8" s="16"/>
      <c r="J8" s="16"/>
    </row>
    <row r="9" spans="1:10">
      <c r="A9" s="16"/>
      <c r="B9" s="228"/>
      <c r="C9" s="228"/>
      <c r="D9" s="228"/>
      <c r="E9" s="228"/>
      <c r="F9" s="228"/>
      <c r="G9" s="228"/>
      <c r="H9" s="16"/>
      <c r="I9" s="16"/>
      <c r="J9" s="16"/>
    </row>
    <row r="10" spans="1:10">
      <c r="A10" s="17" t="s">
        <v>7</v>
      </c>
      <c r="B10" s="228"/>
      <c r="C10" s="229" t="s">
        <v>5</v>
      </c>
      <c r="D10" s="230"/>
      <c r="E10" s="230"/>
      <c r="F10" s="228"/>
      <c r="G10" s="228"/>
      <c r="H10" s="16"/>
      <c r="I10" s="16"/>
      <c r="J10" s="16"/>
    </row>
    <row r="11" spans="1:10">
      <c r="A11" s="16"/>
      <c r="B11" s="228"/>
      <c r="C11" s="228"/>
      <c r="D11" s="228"/>
      <c r="E11" s="228"/>
      <c r="F11" s="228"/>
      <c r="G11" s="228"/>
      <c r="H11" s="16"/>
      <c r="I11" s="16"/>
      <c r="J11" s="16"/>
    </row>
    <row r="12" spans="1:10">
      <c r="A12" s="16">
        <v>1</v>
      </c>
      <c r="B12" s="1625" t="s">
        <v>8</v>
      </c>
      <c r="C12" s="1625"/>
      <c r="D12" s="1625"/>
      <c r="E12" s="1625"/>
      <c r="F12" s="228"/>
      <c r="G12" s="228"/>
      <c r="H12" s="16"/>
      <c r="I12" s="16"/>
    </row>
    <row r="13" spans="1:10">
      <c r="A13" s="16"/>
      <c r="B13" s="228"/>
      <c r="C13" s="1625" t="s">
        <v>9</v>
      </c>
      <c r="D13" s="1625"/>
      <c r="E13" s="1625"/>
      <c r="F13" s="1625"/>
      <c r="G13" s="1625"/>
      <c r="H13" s="16"/>
      <c r="I13" s="16"/>
    </row>
    <row r="14" spans="1:10">
      <c r="A14" s="16"/>
      <c r="B14" s="228"/>
      <c r="C14" s="1625" t="s">
        <v>10</v>
      </c>
      <c r="D14" s="1625"/>
      <c r="E14" s="1625"/>
      <c r="F14" s="1625"/>
      <c r="G14" s="1625"/>
      <c r="H14" s="16"/>
      <c r="I14" s="16"/>
    </row>
    <row r="15" spans="1:10">
      <c r="A15" s="16"/>
      <c r="B15" s="228"/>
      <c r="C15" s="1625" t="s">
        <v>11</v>
      </c>
      <c r="D15" s="1625"/>
      <c r="E15" s="1625"/>
      <c r="F15" s="1625"/>
      <c r="G15" s="1625"/>
      <c r="H15" s="16"/>
      <c r="I15" s="16"/>
    </row>
    <row r="16" spans="1:10">
      <c r="A16" s="16"/>
      <c r="B16" s="16"/>
      <c r="C16" s="16"/>
      <c r="D16" s="16"/>
      <c r="E16" s="16"/>
      <c r="F16" s="16"/>
      <c r="G16" s="16"/>
      <c r="H16" s="16"/>
      <c r="I16" s="16"/>
      <c r="J16" s="16"/>
    </row>
    <row r="17" spans="1:10">
      <c r="A17" s="1626" t="s">
        <v>12</v>
      </c>
      <c r="B17" s="1626"/>
      <c r="C17" s="78" t="s">
        <v>5</v>
      </c>
      <c r="D17" s="77"/>
      <c r="E17" s="77"/>
      <c r="F17" s="16"/>
      <c r="G17" s="16"/>
      <c r="H17" s="16"/>
      <c r="I17" s="16"/>
      <c r="J17" s="16"/>
    </row>
    <row r="18" spans="1:10">
      <c r="A18" s="16"/>
      <c r="B18" s="16"/>
      <c r="C18" s="16"/>
      <c r="D18" s="16"/>
      <c r="E18" s="16"/>
      <c r="F18" s="16"/>
      <c r="G18" s="16"/>
      <c r="H18" s="16"/>
      <c r="I18" s="16"/>
      <c r="J18" s="16"/>
    </row>
    <row r="19" spans="1:10">
      <c r="A19" s="16"/>
      <c r="B19" s="1631" t="s">
        <v>13</v>
      </c>
      <c r="C19" s="1631"/>
      <c r="D19" s="1631"/>
      <c r="E19" s="1631"/>
      <c r="F19" s="1631"/>
      <c r="G19" s="1631"/>
      <c r="H19" s="1631"/>
      <c r="I19" s="1631"/>
      <c r="J19" s="1631"/>
    </row>
    <row r="20" spans="1:10">
      <c r="A20" s="16"/>
      <c r="B20" s="1631"/>
      <c r="C20" s="1631"/>
      <c r="D20" s="1631"/>
      <c r="E20" s="1631"/>
      <c r="F20" s="1631"/>
      <c r="G20" s="1631"/>
      <c r="H20" s="1631"/>
      <c r="I20" s="1631"/>
      <c r="J20" s="1631"/>
    </row>
    <row r="21" spans="1:10">
      <c r="A21" s="16"/>
      <c r="B21" s="16"/>
      <c r="C21" s="16"/>
      <c r="D21" s="16"/>
      <c r="E21" s="16"/>
      <c r="F21" s="16"/>
      <c r="G21" s="16"/>
      <c r="H21" s="16"/>
      <c r="I21" s="16"/>
      <c r="J21" s="16"/>
    </row>
    <row r="22" spans="1:10">
      <c r="A22" s="16">
        <v>1</v>
      </c>
      <c r="B22" s="1625" t="s">
        <v>14</v>
      </c>
      <c r="C22" s="1625"/>
      <c r="D22" s="1625"/>
      <c r="E22" s="1625"/>
      <c r="F22" s="1625"/>
      <c r="G22" s="1625"/>
      <c r="H22" s="1625"/>
      <c r="I22" s="1625"/>
      <c r="J22" s="1625"/>
    </row>
    <row r="23" spans="1:10">
      <c r="A23" s="16"/>
      <c r="B23" s="228"/>
      <c r="C23" s="228"/>
      <c r="D23" s="228"/>
      <c r="E23" s="228"/>
      <c r="F23" s="228"/>
      <c r="G23" s="228"/>
      <c r="H23" s="228"/>
      <c r="I23" s="228"/>
      <c r="J23" s="228"/>
    </row>
    <row r="24" spans="1:10">
      <c r="A24" s="16">
        <v>2</v>
      </c>
      <c r="B24" s="1627" t="s">
        <v>15</v>
      </c>
      <c r="C24" s="1627"/>
      <c r="D24" s="1627"/>
      <c r="E24" s="1627"/>
      <c r="F24" s="1627"/>
      <c r="G24" s="1627"/>
      <c r="H24" s="1627"/>
      <c r="I24" s="1627"/>
      <c r="J24" s="1627"/>
    </row>
    <row r="25" spans="1:10">
      <c r="A25" s="16"/>
      <c r="B25" s="1627"/>
      <c r="C25" s="1627"/>
      <c r="D25" s="1627"/>
      <c r="E25" s="1627"/>
      <c r="F25" s="1627"/>
      <c r="G25" s="1627"/>
      <c r="H25" s="1627"/>
      <c r="I25" s="1627"/>
      <c r="J25" s="1627"/>
    </row>
    <row r="26" spans="1:10">
      <c r="A26" s="16"/>
      <c r="B26" s="228"/>
      <c r="C26" s="228"/>
      <c r="D26" s="228"/>
      <c r="E26" s="228"/>
      <c r="F26" s="228"/>
      <c r="G26" s="228"/>
      <c r="H26" s="228"/>
      <c r="I26" s="228"/>
      <c r="J26" s="228"/>
    </row>
    <row r="27" spans="1:10">
      <c r="A27" s="16">
        <v>3</v>
      </c>
      <c r="B27" s="1625" t="s">
        <v>16</v>
      </c>
      <c r="C27" s="1625"/>
      <c r="D27" s="1625"/>
      <c r="E27" s="1625"/>
      <c r="F27" s="1625"/>
      <c r="G27" s="1625"/>
      <c r="H27" s="1625"/>
      <c r="I27" s="1625"/>
      <c r="J27" s="1625"/>
    </row>
    <row r="28" spans="1:10">
      <c r="A28" s="16"/>
      <c r="B28" s="228"/>
      <c r="C28" s="228"/>
      <c r="D28" s="228"/>
      <c r="E28" s="228"/>
      <c r="F28" s="228"/>
      <c r="G28" s="228"/>
      <c r="H28" s="228"/>
      <c r="I28" s="228"/>
      <c r="J28" s="228"/>
    </row>
    <row r="29" spans="1:10">
      <c r="A29" s="16">
        <v>4</v>
      </c>
      <c r="B29" s="1625" t="s">
        <v>17</v>
      </c>
      <c r="C29" s="1625"/>
      <c r="D29" s="1625"/>
      <c r="E29" s="1625"/>
      <c r="F29" s="1625"/>
      <c r="G29" s="1625"/>
      <c r="H29" s="1625"/>
      <c r="I29" s="1625"/>
      <c r="J29" s="1625"/>
    </row>
    <row r="30" spans="1:10">
      <c r="A30" s="16"/>
      <c r="B30" s="16"/>
      <c r="C30" s="16"/>
      <c r="D30" s="16"/>
      <c r="E30" s="16"/>
      <c r="F30" s="16"/>
      <c r="G30" s="16"/>
      <c r="H30" s="16"/>
      <c r="I30" s="16"/>
      <c r="J30" s="16"/>
    </row>
    <row r="31" spans="1:10">
      <c r="A31" s="1626" t="s">
        <v>18</v>
      </c>
      <c r="B31" s="1626"/>
      <c r="C31" s="1626"/>
      <c r="D31" s="1626"/>
      <c r="E31" s="1626"/>
      <c r="F31" s="1626"/>
      <c r="G31" s="1626"/>
      <c r="H31" s="1626"/>
      <c r="I31" s="1626"/>
      <c r="J31" s="1626"/>
    </row>
    <row r="32" spans="1:10">
      <c r="A32" s="16"/>
      <c r="B32" s="16"/>
      <c r="C32" s="16"/>
      <c r="D32" s="16"/>
      <c r="E32" s="16"/>
      <c r="F32" s="16"/>
      <c r="G32" s="16"/>
      <c r="H32" s="16"/>
      <c r="I32" s="16"/>
      <c r="J32" s="16"/>
    </row>
    <row r="33" spans="1:10" ht="12.75" customHeight="1">
      <c r="A33" s="16">
        <v>1</v>
      </c>
      <c r="B33" s="1632" t="s">
        <v>19</v>
      </c>
      <c r="C33" s="1633"/>
      <c r="D33" s="1633"/>
      <c r="E33" s="1633"/>
      <c r="F33" s="1633"/>
      <c r="G33" s="1633"/>
      <c r="H33" s="1633"/>
      <c r="I33" s="1633"/>
      <c r="J33" s="1633"/>
    </row>
    <row r="34" spans="1:10">
      <c r="A34" s="16"/>
      <c r="B34" s="1633"/>
      <c r="C34" s="1633"/>
      <c r="D34" s="1633"/>
      <c r="E34" s="1633"/>
      <c r="F34" s="1633"/>
      <c r="G34" s="1633"/>
      <c r="H34" s="1633"/>
      <c r="I34" s="1633"/>
      <c r="J34" s="1633"/>
    </row>
    <row r="35" spans="1:10">
      <c r="A35" s="16"/>
      <c r="B35" s="1633"/>
      <c r="C35" s="1633"/>
      <c r="D35" s="1633"/>
      <c r="E35" s="1633"/>
      <c r="F35" s="1633"/>
      <c r="G35" s="1633"/>
      <c r="H35" s="1633"/>
      <c r="I35" s="1633"/>
      <c r="J35" s="1633"/>
    </row>
    <row r="36" spans="1:10">
      <c r="A36" s="16"/>
      <c r="B36" s="1633"/>
      <c r="C36" s="1633"/>
      <c r="D36" s="1633"/>
      <c r="E36" s="1633"/>
      <c r="F36" s="1633"/>
      <c r="G36" s="1633"/>
      <c r="H36" s="1633"/>
      <c r="I36" s="1633"/>
      <c r="J36" s="1633"/>
    </row>
    <row r="37" spans="1:10">
      <c r="A37" s="16"/>
      <c r="B37" s="1633"/>
      <c r="C37" s="1633"/>
      <c r="D37" s="1633"/>
      <c r="E37" s="1633"/>
      <c r="F37" s="1633"/>
      <c r="G37" s="1633"/>
      <c r="H37" s="1633"/>
      <c r="I37" s="1633"/>
      <c r="J37" s="1633"/>
    </row>
    <row r="38" spans="1:10">
      <c r="A38" s="16"/>
      <c r="B38" s="1633"/>
      <c r="C38" s="1633"/>
      <c r="D38" s="1633"/>
      <c r="E38" s="1633"/>
      <c r="F38" s="1633"/>
      <c r="G38" s="1633"/>
      <c r="H38" s="1633"/>
      <c r="I38" s="1633"/>
      <c r="J38" s="1633"/>
    </row>
    <row r="39" spans="1:10">
      <c r="A39" s="16"/>
      <c r="B39" s="16"/>
      <c r="C39" s="16"/>
      <c r="D39" s="16"/>
      <c r="E39" s="16"/>
      <c r="F39" s="16"/>
      <c r="G39" s="16"/>
      <c r="H39" s="16"/>
      <c r="I39" s="16"/>
      <c r="J39" s="16"/>
    </row>
    <row r="40" spans="1:10">
      <c r="A40" s="17" t="s">
        <v>20</v>
      </c>
      <c r="B40" s="16"/>
      <c r="C40" s="16"/>
      <c r="D40" s="16"/>
      <c r="E40" s="16"/>
      <c r="F40" s="16"/>
      <c r="G40" s="220" t="s">
        <v>21</v>
      </c>
      <c r="I40" s="16"/>
      <c r="J40" s="16"/>
    </row>
    <row r="41" spans="1:10">
      <c r="A41" s="16"/>
      <c r="B41" s="16"/>
      <c r="C41" s="16"/>
      <c r="D41" s="16"/>
      <c r="E41" s="16"/>
      <c r="F41" s="16"/>
      <c r="G41" s="16"/>
      <c r="H41" s="16"/>
      <c r="I41" s="16"/>
      <c r="J41" s="16"/>
    </row>
    <row r="42" spans="1:10">
      <c r="A42" s="1630">
        <v>1</v>
      </c>
      <c r="B42" s="1628" t="s">
        <v>22</v>
      </c>
      <c r="C42" s="1628"/>
      <c r="D42" s="1628"/>
      <c r="E42" s="1628"/>
      <c r="F42" s="1628"/>
      <c r="G42" s="1628"/>
      <c r="H42" s="1628"/>
      <c r="I42" s="1628"/>
      <c r="J42" s="1628"/>
    </row>
    <row r="43" spans="1:10">
      <c r="A43" s="1630"/>
      <c r="B43" s="1628"/>
      <c r="C43" s="1628"/>
      <c r="D43" s="1628"/>
      <c r="E43" s="1628"/>
      <c r="F43" s="1628"/>
      <c r="G43" s="1628"/>
      <c r="H43" s="1628"/>
      <c r="I43" s="1628"/>
      <c r="J43" s="1628"/>
    </row>
    <row r="44" spans="1:10">
      <c r="A44" s="16"/>
      <c r="B44" s="16"/>
      <c r="C44" s="16"/>
      <c r="D44" s="16"/>
      <c r="E44" s="16"/>
      <c r="F44" s="16"/>
      <c r="G44" s="16"/>
      <c r="H44" s="16"/>
      <c r="I44" s="16"/>
      <c r="J44" s="16"/>
    </row>
    <row r="45" spans="1:10">
      <c r="A45" s="100">
        <v>2</v>
      </c>
      <c r="B45" s="1625" t="s">
        <v>23</v>
      </c>
      <c r="C45" s="1625"/>
      <c r="D45" s="1625"/>
      <c r="E45" s="1625"/>
      <c r="F45" s="1625"/>
      <c r="G45" s="1625"/>
      <c r="H45" s="1625"/>
      <c r="I45" s="1625"/>
      <c r="J45" s="1625"/>
    </row>
    <row r="46" spans="1:10">
      <c r="A46" s="16"/>
      <c r="B46" s="16"/>
      <c r="C46" s="16"/>
      <c r="D46" s="16"/>
      <c r="E46" s="16"/>
      <c r="F46" s="16"/>
      <c r="G46" s="16"/>
      <c r="H46" s="16"/>
      <c r="I46" s="16"/>
      <c r="J46" s="16"/>
    </row>
    <row r="47" spans="1:10">
      <c r="A47" s="17" t="s">
        <v>24</v>
      </c>
      <c r="B47" s="16"/>
      <c r="C47" s="16"/>
      <c r="D47" s="16"/>
      <c r="E47" s="78" t="s">
        <v>5</v>
      </c>
      <c r="F47" s="77"/>
      <c r="G47" s="77"/>
      <c r="H47" s="16"/>
      <c r="I47" s="16"/>
      <c r="J47" s="16"/>
    </row>
    <row r="48" spans="1:10">
      <c r="A48" s="16"/>
      <c r="B48" s="16"/>
      <c r="C48" s="16"/>
      <c r="D48" s="16"/>
      <c r="E48" s="16"/>
      <c r="F48" s="16"/>
      <c r="G48" s="16"/>
      <c r="H48" s="16"/>
      <c r="I48" s="16"/>
      <c r="J48" s="16"/>
    </row>
    <row r="49" spans="1:12">
      <c r="A49" s="16"/>
      <c r="B49" s="18" t="s">
        <v>25</v>
      </c>
      <c r="C49" s="16"/>
      <c r="D49" s="16"/>
      <c r="E49" s="16"/>
      <c r="F49" s="16"/>
      <c r="G49" s="16"/>
      <c r="H49" s="16"/>
      <c r="I49" s="16"/>
      <c r="J49" s="16"/>
    </row>
    <row r="50" spans="1:12">
      <c r="A50" s="16"/>
      <c r="B50" s="18"/>
      <c r="C50" s="16"/>
      <c r="D50" s="16"/>
      <c r="E50" s="16"/>
      <c r="F50" s="16"/>
      <c r="G50" s="16"/>
      <c r="H50" s="16"/>
      <c r="I50" s="16"/>
      <c r="J50" s="16"/>
    </row>
    <row r="51" spans="1:12">
      <c r="A51" s="100">
        <v>1</v>
      </c>
      <c r="B51" s="1624" t="s">
        <v>26</v>
      </c>
      <c r="C51" s="1624"/>
      <c r="D51" s="1624"/>
      <c r="E51" s="1624"/>
      <c r="F51" s="1624"/>
      <c r="G51" s="1624"/>
      <c r="H51" s="1624"/>
      <c r="I51" s="1624"/>
      <c r="J51" s="1624"/>
    </row>
    <row r="52" spans="1:12">
      <c r="A52" s="16"/>
      <c r="B52" s="16"/>
      <c r="C52" s="16"/>
      <c r="D52" s="16"/>
      <c r="E52" s="16"/>
      <c r="F52" s="16"/>
      <c r="G52" s="16"/>
      <c r="H52" s="16"/>
      <c r="I52" s="16"/>
      <c r="J52" s="16"/>
    </row>
    <row r="53" spans="1:12" ht="27" customHeight="1">
      <c r="A53" s="100">
        <v>2</v>
      </c>
      <c r="B53" s="1628" t="s">
        <v>27</v>
      </c>
      <c r="C53" s="1628"/>
      <c r="D53" s="1628"/>
      <c r="E53" s="1628"/>
      <c r="F53" s="1628"/>
      <c r="G53" s="1628"/>
      <c r="H53" s="1628"/>
      <c r="I53" s="1628"/>
      <c r="J53" s="1628"/>
    </row>
    <row r="54" spans="1:12">
      <c r="A54" s="16"/>
      <c r="B54" s="16"/>
      <c r="C54" s="16"/>
      <c r="D54" s="16"/>
      <c r="E54" s="16"/>
      <c r="F54" s="16"/>
      <c r="G54" s="16"/>
      <c r="H54" s="16"/>
      <c r="I54" s="16"/>
      <c r="J54" s="16"/>
    </row>
    <row r="55" spans="1:12" ht="26.25" customHeight="1">
      <c r="A55" s="100">
        <v>3</v>
      </c>
      <c r="B55" s="1628" t="s">
        <v>28</v>
      </c>
      <c r="C55" s="1628"/>
      <c r="D55" s="1628"/>
      <c r="E55" s="1628"/>
      <c r="F55" s="1628"/>
      <c r="G55" s="1628"/>
      <c r="H55" s="1628"/>
      <c r="I55" s="1628"/>
      <c r="J55" s="1628"/>
    </row>
    <row r="56" spans="1:12">
      <c r="A56" s="16"/>
      <c r="B56" s="16"/>
      <c r="C56" s="16"/>
      <c r="D56" s="16"/>
      <c r="E56" s="16"/>
      <c r="F56" s="16"/>
      <c r="G56" s="16"/>
      <c r="H56" s="16"/>
      <c r="I56" s="16"/>
      <c r="J56" s="16"/>
    </row>
    <row r="57" spans="1:12">
      <c r="A57" s="100">
        <v>4</v>
      </c>
      <c r="B57" s="1624" t="s">
        <v>29</v>
      </c>
      <c r="C57" s="1624"/>
      <c r="D57" s="1624"/>
      <c r="E57" s="1624"/>
      <c r="F57" s="1624"/>
      <c r="G57" s="1624"/>
      <c r="H57" s="1624"/>
      <c r="I57" s="1624"/>
      <c r="J57" s="1624"/>
    </row>
    <row r="58" spans="1:12">
      <c r="A58" s="16"/>
      <c r="B58" s="16"/>
      <c r="C58" s="16"/>
      <c r="D58" s="16"/>
      <c r="E58" s="16"/>
      <c r="F58" s="16"/>
      <c r="G58" s="16"/>
      <c r="H58" s="16"/>
      <c r="I58" s="16"/>
      <c r="J58" s="16"/>
    </row>
    <row r="59" spans="1:12" ht="12.75" customHeight="1">
      <c r="A59" s="100">
        <v>5</v>
      </c>
      <c r="B59" s="1628" t="s">
        <v>30</v>
      </c>
      <c r="C59" s="1628"/>
      <c r="D59" s="1628"/>
      <c r="E59" s="1628"/>
      <c r="F59" s="1628"/>
      <c r="G59" s="1628"/>
      <c r="H59" s="1628"/>
      <c r="I59" s="1628"/>
      <c r="J59" s="1628"/>
      <c r="K59" s="84"/>
    </row>
    <row r="60" spans="1:12" ht="25.5" customHeight="1">
      <c r="A60" s="16"/>
      <c r="B60" s="101" t="s">
        <v>31</v>
      </c>
      <c r="C60" s="1628" t="s">
        <v>32</v>
      </c>
      <c r="D60" s="1628"/>
      <c r="E60" s="1628"/>
      <c r="F60" s="1628"/>
      <c r="G60" s="1628"/>
      <c r="H60" s="1628"/>
      <c r="I60" s="1628"/>
      <c r="J60" s="1628"/>
    </row>
    <row r="61" spans="1:12" ht="38.25" customHeight="1">
      <c r="B61" s="101" t="s">
        <v>33</v>
      </c>
      <c r="C61" s="1628" t="s">
        <v>34</v>
      </c>
      <c r="D61" s="1628"/>
      <c r="E61" s="1628"/>
      <c r="F61" s="1628"/>
      <c r="G61" s="1628"/>
      <c r="H61" s="1628"/>
      <c r="I61" s="1628"/>
      <c r="J61" s="1628"/>
      <c r="K61" s="84"/>
      <c r="L61" s="84"/>
    </row>
    <row r="62" spans="1:12" ht="38.25" customHeight="1">
      <c r="B62" s="101" t="s">
        <v>35</v>
      </c>
      <c r="C62" s="1628" t="s">
        <v>36</v>
      </c>
      <c r="D62" s="1628"/>
      <c r="E62" s="1628"/>
      <c r="F62" s="1628"/>
      <c r="G62" s="1628"/>
      <c r="H62" s="1628"/>
      <c r="I62" s="1628"/>
      <c r="J62" s="1628"/>
      <c r="K62" s="85"/>
      <c r="L62" s="85"/>
    </row>
    <row r="64" spans="1:12" ht="25.5" customHeight="1">
      <c r="A64" s="100">
        <v>6</v>
      </c>
      <c r="B64" s="1628" t="s">
        <v>37</v>
      </c>
      <c r="C64" s="1628"/>
      <c r="D64" s="1628"/>
      <c r="E64" s="1628"/>
      <c r="F64" s="1628"/>
      <c r="G64" s="1628"/>
      <c r="H64" s="1628"/>
      <c r="I64" s="1628"/>
      <c r="J64" s="1628"/>
    </row>
    <row r="65" spans="1:10">
      <c r="A65" s="877"/>
      <c r="B65" s="877"/>
      <c r="C65" s="877"/>
      <c r="D65" s="877"/>
      <c r="E65" s="877"/>
      <c r="F65" s="877"/>
      <c r="G65" s="877"/>
      <c r="H65" s="877"/>
      <c r="I65" s="877"/>
      <c r="J65" s="877"/>
    </row>
    <row r="66" spans="1:10">
      <c r="A66" s="100">
        <v>7</v>
      </c>
      <c r="B66" s="1624" t="s">
        <v>38</v>
      </c>
      <c r="C66" s="1624"/>
      <c r="D66" s="1624"/>
      <c r="E66" s="1624"/>
      <c r="F66" s="1624"/>
      <c r="G66" s="1624"/>
      <c r="H66" s="1624"/>
      <c r="I66" s="1624"/>
      <c r="J66" s="1624"/>
    </row>
    <row r="67" spans="1:10">
      <c r="A67" s="100"/>
      <c r="B67" s="877"/>
      <c r="C67" s="877"/>
      <c r="D67" s="877"/>
      <c r="E67" s="877"/>
      <c r="F67" s="877"/>
      <c r="G67" s="877"/>
      <c r="H67" s="877"/>
      <c r="I67" s="877"/>
      <c r="J67" s="877"/>
    </row>
    <row r="68" spans="1:10">
      <c r="A68" s="100">
        <v>8</v>
      </c>
      <c r="B68" s="1624" t="s">
        <v>39</v>
      </c>
      <c r="C68" s="1624"/>
      <c r="D68" s="1624"/>
      <c r="E68" s="1624"/>
      <c r="F68" s="1624"/>
      <c r="G68" s="1624"/>
      <c r="H68" s="1624"/>
      <c r="I68" s="1624"/>
      <c r="J68" s="1624"/>
    </row>
    <row r="69" spans="1:10">
      <c r="A69" s="100"/>
      <c r="B69" s="100"/>
      <c r="C69" s="100"/>
      <c r="D69" s="100"/>
      <c r="E69" s="100"/>
      <c r="F69" s="100"/>
      <c r="G69" s="100"/>
      <c r="H69" s="100"/>
      <c r="I69" s="100"/>
      <c r="J69" s="100"/>
    </row>
    <row r="70" spans="1:10" ht="27" customHeight="1">
      <c r="A70" s="100">
        <v>9</v>
      </c>
      <c r="B70" s="1628" t="s">
        <v>40</v>
      </c>
      <c r="C70" s="1628"/>
      <c r="D70" s="1628"/>
      <c r="E70" s="1628"/>
      <c r="F70" s="1628"/>
      <c r="G70" s="1628"/>
      <c r="H70" s="1628"/>
      <c r="I70" s="1628"/>
      <c r="J70" s="1628"/>
    </row>
    <row r="71" spans="1:10">
      <c r="A71" s="100"/>
      <c r="B71" s="85"/>
      <c r="C71" s="85"/>
      <c r="D71" s="85"/>
      <c r="E71" s="85"/>
      <c r="F71" s="85"/>
      <c r="G71" s="85"/>
      <c r="H71" s="85"/>
      <c r="I71" s="85"/>
      <c r="J71" s="85"/>
    </row>
    <row r="72" spans="1:10" ht="27" customHeight="1">
      <c r="A72" s="100">
        <v>10</v>
      </c>
      <c r="B72" s="1628" t="s">
        <v>41</v>
      </c>
      <c r="C72" s="1628"/>
      <c r="D72" s="1628"/>
      <c r="E72" s="1628"/>
      <c r="F72" s="1628"/>
      <c r="G72" s="1628"/>
      <c r="H72" s="1628"/>
      <c r="I72" s="1628"/>
      <c r="J72" s="1628"/>
    </row>
    <row r="73" spans="1:10">
      <c r="A73" s="16"/>
      <c r="B73" s="16"/>
      <c r="C73" s="16"/>
      <c r="D73" s="16"/>
      <c r="E73" s="16"/>
      <c r="F73" s="16"/>
      <c r="G73" s="16"/>
      <c r="H73" s="16"/>
      <c r="I73" s="16"/>
      <c r="J73" s="16"/>
    </row>
    <row r="74" spans="1:10">
      <c r="A74" s="17" t="s">
        <v>42</v>
      </c>
      <c r="B74" s="16"/>
      <c r="C74" s="78" t="s">
        <v>5</v>
      </c>
      <c r="D74" s="77"/>
      <c r="E74" s="77"/>
      <c r="F74" s="16"/>
      <c r="G74" s="16"/>
      <c r="H74" s="16"/>
      <c r="I74" s="16"/>
      <c r="J74" s="16"/>
    </row>
    <row r="75" spans="1:10">
      <c r="A75" s="16"/>
      <c r="B75" s="16"/>
      <c r="C75" s="16"/>
      <c r="D75" s="16"/>
      <c r="E75" s="16"/>
      <c r="F75" s="16"/>
      <c r="G75" s="16"/>
      <c r="H75" s="16"/>
      <c r="I75" s="16"/>
      <c r="J75" s="16"/>
    </row>
    <row r="76" spans="1:10" ht="25.5" customHeight="1">
      <c r="A76" s="100">
        <v>1</v>
      </c>
      <c r="B76" s="1627" t="s">
        <v>43</v>
      </c>
      <c r="C76" s="1627"/>
      <c r="D76" s="1627"/>
      <c r="E76" s="1627"/>
      <c r="F76" s="1627"/>
      <c r="G76" s="1627"/>
      <c r="H76" s="1627"/>
      <c r="I76" s="1627"/>
      <c r="J76" s="1627"/>
    </row>
    <row r="77" spans="1:10">
      <c r="A77" s="16"/>
      <c r="B77" s="16"/>
      <c r="C77" s="16"/>
      <c r="D77" s="16"/>
      <c r="E77" s="16"/>
      <c r="F77" s="16"/>
      <c r="G77" s="16"/>
      <c r="H77" s="16"/>
      <c r="I77" s="16"/>
      <c r="J77" s="16"/>
    </row>
    <row r="78" spans="1:10">
      <c r="A78" s="16">
        <v>2</v>
      </c>
      <c r="B78" s="1625" t="s">
        <v>44</v>
      </c>
      <c r="C78" s="1625"/>
      <c r="D78" s="1625"/>
      <c r="E78" s="1625"/>
      <c r="F78" s="1625"/>
      <c r="G78" s="1625"/>
      <c r="H78" s="1625"/>
      <c r="I78" s="1625"/>
      <c r="J78" s="1625"/>
    </row>
    <row r="79" spans="1:10">
      <c r="A79" s="16"/>
      <c r="B79" s="16"/>
      <c r="C79" s="16"/>
      <c r="D79" s="16"/>
      <c r="E79" s="16"/>
      <c r="F79" s="16"/>
      <c r="G79" s="16"/>
      <c r="H79" s="16"/>
      <c r="I79" s="16"/>
      <c r="J79" s="16"/>
    </row>
    <row r="80" spans="1:10">
      <c r="A80" s="16">
        <v>3</v>
      </c>
      <c r="B80" s="1634" t="s">
        <v>45</v>
      </c>
      <c r="C80" s="1634"/>
      <c r="D80" s="1634"/>
      <c r="E80" s="1634"/>
      <c r="F80" s="1634"/>
      <c r="G80" s="1634"/>
      <c r="H80" s="1634"/>
      <c r="I80" s="1634"/>
      <c r="J80" s="1634"/>
    </row>
    <row r="81" spans="1:10">
      <c r="A81" s="16"/>
      <c r="B81" s="16"/>
      <c r="C81" s="16"/>
      <c r="D81" s="16"/>
      <c r="E81" s="16"/>
      <c r="F81" s="16"/>
      <c r="G81" s="16"/>
      <c r="H81" s="16"/>
      <c r="I81" s="16"/>
      <c r="J81" s="16"/>
    </row>
    <row r="82" spans="1:10">
      <c r="A82" s="16">
        <v>4</v>
      </c>
      <c r="B82" s="1627" t="s">
        <v>46</v>
      </c>
      <c r="C82" s="1627"/>
      <c r="D82" s="1627"/>
      <c r="E82" s="1627"/>
      <c r="F82" s="1627"/>
      <c r="G82" s="1627"/>
      <c r="H82" s="1627"/>
      <c r="I82" s="1627"/>
      <c r="J82" s="1627"/>
    </row>
    <row r="83" spans="1:10">
      <c r="A83" s="16"/>
      <c r="B83" s="1627"/>
      <c r="C83" s="1627"/>
      <c r="D83" s="1627"/>
      <c r="E83" s="1627"/>
      <c r="F83" s="1627"/>
      <c r="G83" s="1627"/>
      <c r="H83" s="1627"/>
      <c r="I83" s="1627"/>
      <c r="J83" s="1627"/>
    </row>
    <row r="84" spans="1:10">
      <c r="A84" s="16"/>
      <c r="B84" s="16"/>
      <c r="C84" s="16"/>
      <c r="D84" s="16"/>
      <c r="E84" s="16"/>
      <c r="F84" s="16"/>
      <c r="G84" s="16"/>
      <c r="H84" s="16"/>
      <c r="I84" s="16"/>
      <c r="J84" s="16"/>
    </row>
    <row r="85" spans="1:10" ht="25.5" customHeight="1">
      <c r="A85" s="100">
        <v>5</v>
      </c>
      <c r="B85" s="1627" t="s">
        <v>47</v>
      </c>
      <c r="C85" s="1627"/>
      <c r="D85" s="1627"/>
      <c r="E85" s="1627"/>
      <c r="F85" s="1627"/>
      <c r="G85" s="1627"/>
      <c r="H85" s="1627"/>
      <c r="I85" s="1627"/>
      <c r="J85" s="1627"/>
    </row>
    <row r="86" spans="1:10">
      <c r="A86" s="16"/>
      <c r="B86" s="16"/>
      <c r="C86" s="16"/>
      <c r="D86" s="16"/>
      <c r="E86" s="16"/>
      <c r="F86" s="16"/>
      <c r="G86" s="16"/>
      <c r="H86" s="16"/>
      <c r="I86" s="16"/>
      <c r="J86" s="16"/>
    </row>
    <row r="87" spans="1:10">
      <c r="A87" s="16">
        <v>6</v>
      </c>
      <c r="B87" s="1627" t="s">
        <v>48</v>
      </c>
      <c r="C87" s="1627"/>
      <c r="D87" s="1627"/>
      <c r="E87" s="1627"/>
      <c r="F87" s="1627"/>
      <c r="G87" s="1627"/>
      <c r="H87" s="1627"/>
      <c r="I87" s="1627"/>
      <c r="J87" s="1627"/>
    </row>
    <row r="88" spans="1:10">
      <c r="A88" s="16"/>
      <c r="B88" s="1627"/>
      <c r="C88" s="1627"/>
      <c r="D88" s="1627"/>
      <c r="E88" s="1627"/>
      <c r="F88" s="1627"/>
      <c r="G88" s="1627"/>
      <c r="H88" s="1627"/>
      <c r="I88" s="1627"/>
      <c r="J88" s="1627"/>
    </row>
    <row r="89" spans="1:10">
      <c r="A89" s="16"/>
      <c r="B89" s="16"/>
      <c r="C89" s="16"/>
      <c r="D89" s="16"/>
      <c r="E89" s="16"/>
      <c r="F89" s="16"/>
      <c r="G89" s="16"/>
      <c r="H89" s="16"/>
      <c r="I89" s="16"/>
      <c r="J89" s="16"/>
    </row>
    <row r="90" spans="1:10">
      <c r="A90" s="996" t="s">
        <v>49</v>
      </c>
      <c r="B90" s="16"/>
      <c r="C90" s="16"/>
      <c r="D90" s="16"/>
      <c r="E90" s="16"/>
      <c r="F90" s="16"/>
      <c r="G90" s="16"/>
      <c r="H90" s="16"/>
      <c r="I90" s="16"/>
      <c r="J90" s="16"/>
    </row>
    <row r="91" spans="1:10">
      <c r="A91" s="16" t="s">
        <v>50</v>
      </c>
      <c r="B91" s="16"/>
      <c r="C91" s="16"/>
      <c r="D91" s="16"/>
      <c r="E91" s="16"/>
      <c r="F91" s="16"/>
      <c r="G91" s="16"/>
      <c r="H91" s="16"/>
      <c r="I91" s="16"/>
      <c r="J91" s="16"/>
    </row>
    <row r="92" spans="1:10">
      <c r="A92" s="16" t="s">
        <v>51</v>
      </c>
      <c r="B92" s="16"/>
      <c r="C92" s="16"/>
      <c r="D92" s="16"/>
      <c r="E92" s="16"/>
      <c r="F92" s="16"/>
      <c r="G92" s="16"/>
      <c r="H92" s="16"/>
      <c r="I92" s="16"/>
      <c r="J92" s="16"/>
    </row>
    <row r="93" spans="1:10">
      <c r="A93" s="16"/>
      <c r="B93" s="16"/>
      <c r="C93" s="16"/>
      <c r="D93" s="16"/>
      <c r="E93" s="16"/>
      <c r="F93" s="16"/>
      <c r="G93" s="16"/>
      <c r="H93" s="16"/>
      <c r="I93" s="16"/>
      <c r="J93" s="16"/>
    </row>
    <row r="94" spans="1:10">
      <c r="A94" s="16"/>
      <c r="B94" s="16"/>
      <c r="C94" s="16"/>
      <c r="D94" s="16"/>
      <c r="E94" s="16"/>
      <c r="F94" s="16"/>
      <c r="G94" s="16"/>
      <c r="H94" s="16"/>
      <c r="I94" s="16"/>
      <c r="J94" s="16"/>
    </row>
    <row r="95" spans="1:10">
      <c r="A95" s="16"/>
      <c r="B95" s="16"/>
      <c r="C95" s="16"/>
      <c r="D95" s="16"/>
      <c r="E95" s="16"/>
      <c r="F95" s="16"/>
      <c r="G95" s="16"/>
      <c r="H95" s="16"/>
      <c r="I95" s="16"/>
      <c r="J95" s="16"/>
    </row>
    <row r="96" spans="1:10">
      <c r="A96" s="16"/>
      <c r="B96" s="16"/>
      <c r="C96" s="16"/>
      <c r="D96" s="16"/>
      <c r="E96" s="16"/>
      <c r="F96" s="16"/>
      <c r="G96" s="16"/>
      <c r="H96" s="16"/>
      <c r="I96" s="16"/>
      <c r="J96" s="16"/>
    </row>
    <row r="97" spans="1:10">
      <c r="A97" s="16"/>
      <c r="B97" s="16"/>
      <c r="C97" s="16"/>
      <c r="D97" s="16"/>
      <c r="E97" s="16"/>
      <c r="F97" s="16"/>
      <c r="G97" s="16"/>
      <c r="H97" s="16"/>
      <c r="I97" s="16"/>
      <c r="J97" s="16"/>
    </row>
    <row r="98" spans="1:10">
      <c r="A98" s="16"/>
      <c r="B98" s="16"/>
      <c r="C98" s="16"/>
      <c r="D98" s="16"/>
      <c r="E98" s="16"/>
      <c r="F98" s="16"/>
      <c r="G98" s="16"/>
      <c r="H98" s="16"/>
      <c r="I98" s="16"/>
      <c r="J98" s="16"/>
    </row>
    <row r="99" spans="1:10">
      <c r="A99" s="16"/>
      <c r="B99" s="16"/>
      <c r="C99" s="16"/>
      <c r="D99" s="16"/>
      <c r="E99" s="16"/>
      <c r="F99" s="16"/>
      <c r="G99" s="16"/>
      <c r="H99" s="16"/>
      <c r="I99" s="16"/>
      <c r="J99" s="16"/>
    </row>
    <row r="100" spans="1:10">
      <c r="A100" s="16"/>
      <c r="B100" s="16"/>
      <c r="C100" s="16"/>
      <c r="D100" s="16"/>
      <c r="E100" s="16"/>
      <c r="F100" s="16"/>
      <c r="G100" s="16"/>
      <c r="H100" s="16"/>
      <c r="I100" s="16"/>
      <c r="J100" s="16"/>
    </row>
    <row r="101" spans="1:10">
      <c r="A101" s="16"/>
      <c r="B101" s="16"/>
      <c r="C101" s="16"/>
      <c r="D101" s="16"/>
      <c r="E101" s="16"/>
      <c r="F101" s="16"/>
      <c r="G101" s="16"/>
      <c r="H101" s="16"/>
      <c r="I101" s="16"/>
      <c r="J101" s="16"/>
    </row>
    <row r="102" spans="1:10">
      <c r="A102" s="16"/>
      <c r="B102" s="16"/>
      <c r="C102" s="16"/>
      <c r="D102" s="16"/>
      <c r="E102" s="16"/>
      <c r="F102" s="16"/>
      <c r="G102" s="16"/>
      <c r="H102" s="16"/>
      <c r="I102" s="16"/>
      <c r="J102" s="16"/>
    </row>
    <row r="103" spans="1:10">
      <c r="A103" s="16"/>
      <c r="B103" s="16"/>
      <c r="C103" s="16"/>
      <c r="D103" s="16"/>
      <c r="E103" s="16"/>
      <c r="F103" s="16"/>
      <c r="G103" s="16"/>
      <c r="H103" s="16"/>
      <c r="I103" s="16"/>
      <c r="J103" s="16"/>
    </row>
    <row r="104" spans="1:10">
      <c r="A104" s="16"/>
      <c r="B104" s="16"/>
      <c r="C104" s="16"/>
      <c r="D104" s="16"/>
      <c r="E104" s="16"/>
      <c r="F104" s="16"/>
      <c r="G104" s="16"/>
      <c r="H104" s="16"/>
      <c r="I104" s="16"/>
      <c r="J104" s="16"/>
    </row>
    <row r="105" spans="1:10">
      <c r="A105" s="16"/>
      <c r="B105" s="16"/>
      <c r="C105" s="16"/>
      <c r="D105" s="16"/>
      <c r="E105" s="16"/>
      <c r="F105" s="16"/>
      <c r="G105" s="16"/>
      <c r="H105" s="16"/>
      <c r="I105" s="16"/>
      <c r="J105" s="16"/>
    </row>
    <row r="106" spans="1:10">
      <c r="A106" s="16"/>
      <c r="B106" s="16"/>
      <c r="C106" s="16"/>
      <c r="D106" s="16"/>
      <c r="E106" s="16"/>
      <c r="F106" s="16"/>
      <c r="G106" s="16"/>
      <c r="H106" s="16"/>
      <c r="I106" s="16"/>
      <c r="J106" s="16"/>
    </row>
    <row r="107" spans="1:10">
      <c r="A107" s="16"/>
      <c r="B107" s="16"/>
      <c r="C107" s="16"/>
      <c r="D107" s="16"/>
      <c r="E107" s="16"/>
      <c r="F107" s="16"/>
      <c r="G107" s="16"/>
      <c r="H107" s="16"/>
      <c r="I107" s="16"/>
      <c r="J107" s="16"/>
    </row>
    <row r="108" spans="1:10">
      <c r="A108" s="16"/>
      <c r="B108" s="16"/>
      <c r="C108" s="16"/>
      <c r="D108" s="16"/>
      <c r="E108" s="16"/>
      <c r="F108" s="16"/>
      <c r="G108" s="16"/>
      <c r="H108" s="16"/>
      <c r="I108" s="16"/>
      <c r="J108" s="16"/>
    </row>
    <row r="109" spans="1:10">
      <c r="A109" s="16"/>
      <c r="B109" s="16"/>
      <c r="C109" s="16"/>
      <c r="D109" s="16"/>
      <c r="E109" s="16"/>
      <c r="F109" s="16"/>
      <c r="G109" s="16"/>
      <c r="H109" s="16"/>
      <c r="I109" s="16"/>
      <c r="J109" s="16"/>
    </row>
    <row r="110" spans="1:10">
      <c r="A110" s="16"/>
      <c r="B110" s="16"/>
      <c r="C110" s="16"/>
      <c r="D110" s="16"/>
      <c r="E110" s="16"/>
      <c r="F110" s="16"/>
      <c r="G110" s="16"/>
      <c r="H110" s="16"/>
      <c r="I110" s="16"/>
      <c r="J110" s="16"/>
    </row>
    <row r="111" spans="1:10">
      <c r="A111" s="16"/>
      <c r="B111" s="16"/>
      <c r="C111" s="16"/>
      <c r="D111" s="16"/>
      <c r="E111" s="16"/>
      <c r="F111" s="16"/>
      <c r="G111" s="16"/>
      <c r="H111" s="16"/>
      <c r="I111" s="16"/>
      <c r="J111" s="16"/>
    </row>
    <row r="112" spans="1:10">
      <c r="A112" s="16"/>
      <c r="B112" s="16"/>
      <c r="C112" s="16"/>
      <c r="D112" s="16"/>
      <c r="E112" s="16"/>
      <c r="F112" s="16"/>
      <c r="G112" s="16"/>
      <c r="H112" s="16"/>
      <c r="I112" s="16"/>
      <c r="J112" s="16"/>
    </row>
    <row r="113" spans="1:10">
      <c r="A113" s="16"/>
      <c r="B113" s="16"/>
      <c r="C113" s="16"/>
      <c r="D113" s="16"/>
      <c r="E113" s="16"/>
      <c r="F113" s="16"/>
      <c r="G113" s="16"/>
      <c r="H113" s="16"/>
      <c r="I113" s="16"/>
      <c r="J113" s="16"/>
    </row>
  </sheetData>
  <mergeCells count="37">
    <mergeCell ref="B76:J76"/>
    <mergeCell ref="B70:J70"/>
    <mergeCell ref="B87:J88"/>
    <mergeCell ref="B22:J22"/>
    <mergeCell ref="B55:J55"/>
    <mergeCell ref="B57:J57"/>
    <mergeCell ref="B59:J59"/>
    <mergeCell ref="C61:J61"/>
    <mergeCell ref="C62:J62"/>
    <mergeCell ref="B33:J38"/>
    <mergeCell ref="B42:J43"/>
    <mergeCell ref="B72:J72"/>
    <mergeCell ref="B78:J78"/>
    <mergeCell ref="B80:J80"/>
    <mergeCell ref="B82:J83"/>
    <mergeCell ref="B85:J85"/>
    <mergeCell ref="C15:G15"/>
    <mergeCell ref="A6:B6"/>
    <mergeCell ref="C60:J60"/>
    <mergeCell ref="A42:A43"/>
    <mergeCell ref="B19:J20"/>
    <mergeCell ref="B3:J4"/>
    <mergeCell ref="B8:E8"/>
    <mergeCell ref="B12:E12"/>
    <mergeCell ref="C13:G13"/>
    <mergeCell ref="C14:G14"/>
    <mergeCell ref="B68:J68"/>
    <mergeCell ref="B29:J29"/>
    <mergeCell ref="A31:J31"/>
    <mergeCell ref="A17:B17"/>
    <mergeCell ref="B24:J25"/>
    <mergeCell ref="B27:J27"/>
    <mergeCell ref="B45:J45"/>
    <mergeCell ref="B64:J64"/>
    <mergeCell ref="B66:J66"/>
    <mergeCell ref="B51:J51"/>
    <mergeCell ref="B53:J53"/>
  </mergeCells>
  <phoneticPr fontId="5" type="noConversion"/>
  <hyperlinks>
    <hyperlink ref="G40" r:id="rId1" xr:uid="{00000000-0004-0000-0000-000000000000}"/>
  </hyperlinks>
  <pageMargins left="0" right="0" top="0.5" bottom="0.5" header="0.5" footer="0.5"/>
  <pageSetup scale="95" orientation="portrait" horizontalDpi="525" verticalDpi="525"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6" tint="-0.249977111117893"/>
  </sheetPr>
  <dimension ref="A1:B28"/>
  <sheetViews>
    <sheetView showGridLines="0" zoomScale="145" zoomScaleNormal="145" workbookViewId="0">
      <selection activeCell="H25" sqref="H25"/>
    </sheetView>
  </sheetViews>
  <sheetFormatPr defaultRowHeight="12.75"/>
  <cols>
    <col min="1" max="1" width="6.140625" customWidth="1"/>
    <col min="2" max="2" width="76.5703125" customWidth="1"/>
  </cols>
  <sheetData>
    <row r="1" spans="1:2">
      <c r="A1" s="133" t="s">
        <v>52</v>
      </c>
    </row>
    <row r="2" spans="1:2">
      <c r="A2" s="133" t="s">
        <v>53</v>
      </c>
    </row>
    <row r="3" spans="1:2">
      <c r="A3" s="1085" t="str">
        <f>Instructions!H1</f>
        <v>Rev. 5/28/2021</v>
      </c>
    </row>
    <row r="4" spans="1:2" ht="15.75">
      <c r="A4" s="1636" t="str">
        <f>IF('BUDGET-CERTIFICATION'!$H$1="","Enter Charter School Name on BUDGET-CERTIFICATION Worksheet",'BUDGET-CERTIFICATION'!$H$1)</f>
        <v>Encore High School -</v>
      </c>
      <c r="B4" s="1636"/>
    </row>
    <row r="5" spans="1:2" ht="15.75">
      <c r="A5" s="1637" t="str">
        <f>IF('BUDGET-CERTIFICATION'!$H$2="","Enter CDS# on INTERIM - CERTIFICATION Worksheet",'BUDGET-CERTIFICATION'!$H$2)</f>
        <v>35-75044-01166707</v>
      </c>
      <c r="B5" s="1637"/>
    </row>
    <row r="6" spans="1:2">
      <c r="A6" s="133"/>
    </row>
    <row r="7" spans="1:2">
      <c r="A7" s="214" t="s">
        <v>54</v>
      </c>
    </row>
    <row r="8" spans="1:2">
      <c r="A8" s="134"/>
    </row>
    <row r="9" spans="1:2">
      <c r="A9" s="137" t="s">
        <v>55</v>
      </c>
    </row>
    <row r="10" spans="1:2">
      <c r="A10" s="1638" t="str">
        <f>"CHARTER "&amp;'Budget-ADA'!K7&amp;" Budget/Interim Reporting Worksheet (all Budget tabs completed):"</f>
        <v>CHARTER 2021-22 Budget/Interim Reporting Worksheet (all Budget tabs completed):</v>
      </c>
      <c r="B10" s="1638"/>
    </row>
    <row r="11" spans="1:2" ht="13.5" thickBot="1">
      <c r="A11" s="199" t="s">
        <v>56</v>
      </c>
      <c r="B11" t="s">
        <v>57</v>
      </c>
    </row>
    <row r="12" spans="1:2" ht="13.5" thickBot="1">
      <c r="A12" s="200" t="s">
        <v>56</v>
      </c>
      <c r="B12" s="135" t="s">
        <v>58</v>
      </c>
    </row>
    <row r="13" spans="1:2" ht="13.5" thickBot="1">
      <c r="A13" s="200" t="s">
        <v>56</v>
      </c>
      <c r="B13" s="135" t="s">
        <v>59</v>
      </c>
    </row>
    <row r="14" spans="1:2" ht="13.5" thickBot="1">
      <c r="A14" s="200" t="s">
        <v>56</v>
      </c>
      <c r="B14" s="135" t="s">
        <v>60</v>
      </c>
    </row>
    <row r="15" spans="1:2" ht="13.5" thickBot="1">
      <c r="A15" s="200" t="s">
        <v>56</v>
      </c>
      <c r="B15" s="135" t="s">
        <v>61</v>
      </c>
    </row>
    <row r="16" spans="1:2" ht="13.5" thickBot="1">
      <c r="A16" s="200" t="s">
        <v>56</v>
      </c>
      <c r="B16" s="135" t="s">
        <v>62</v>
      </c>
    </row>
    <row r="17" spans="1:2" ht="13.5" thickBot="1">
      <c r="A17" s="200" t="s">
        <v>56</v>
      </c>
      <c r="B17" s="135" t="s">
        <v>63</v>
      </c>
    </row>
    <row r="18" spans="1:2" ht="13.5" thickBot="1">
      <c r="A18" s="200" t="s">
        <v>56</v>
      </c>
      <c r="B18" s="135" t="s">
        <v>64</v>
      </c>
    </row>
    <row r="19" spans="1:2" ht="13.5" thickBot="1">
      <c r="A19" s="200" t="s">
        <v>56</v>
      </c>
      <c r="B19" s="135" t="s">
        <v>65</v>
      </c>
    </row>
    <row r="20" spans="1:2">
      <c r="A20" s="203"/>
      <c r="B20" s="135"/>
    </row>
    <row r="21" spans="1:2" ht="13.5" thickBot="1">
      <c r="A21" s="199" t="s">
        <v>56</v>
      </c>
      <c r="B21" s="135" t="s">
        <v>66</v>
      </c>
    </row>
    <row r="22" spans="1:2" ht="13.5" thickBot="1">
      <c r="A22" s="199"/>
      <c r="B22" s="135" t="s">
        <v>67</v>
      </c>
    </row>
    <row r="23" spans="1:2">
      <c r="A23" s="203"/>
      <c r="B23" s="135"/>
    </row>
    <row r="24" spans="1:2">
      <c r="A24" s="135" t="s">
        <v>68</v>
      </c>
    </row>
    <row r="25" spans="1:2" ht="13.5" thickBot="1">
      <c r="A25" s="199"/>
      <c r="B25" s="135" t="s">
        <v>69</v>
      </c>
    </row>
    <row r="26" spans="1:2">
      <c r="A26" s="203"/>
    </row>
    <row r="27" spans="1:2">
      <c r="A27" s="135" t="s">
        <v>70</v>
      </c>
    </row>
    <row r="28" spans="1:2">
      <c r="A28" s="1635" t="s">
        <v>71</v>
      </c>
      <c r="B28" s="1635"/>
    </row>
  </sheetData>
  <sheetProtection sheet="1" objects="1" scenarios="1"/>
  <mergeCells count="4">
    <mergeCell ref="A28:B28"/>
    <mergeCell ref="A4:B4"/>
    <mergeCell ref="A5:B5"/>
    <mergeCell ref="A10:B10"/>
  </mergeCells>
  <conditionalFormatting sqref="A4">
    <cfRule type="containsText" dxfId="389" priority="5" stopIfTrue="1" operator="containsText" text="Enter">
      <formula>NOT(ISERROR(SEARCH("Enter",A4)))</formula>
    </cfRule>
    <cfRule type="cellIs" dxfId="388" priority="6" stopIfTrue="1" operator="equal">
      <formula>"Enter Charter CDS # on BUDGET - CERT Worksheet"</formula>
    </cfRule>
  </conditionalFormatting>
  <conditionalFormatting sqref="A5">
    <cfRule type="containsText" dxfId="387" priority="1" stopIfTrue="1" operator="containsText" text="Enter">
      <formula>NOT(ISERROR(SEARCH("Enter",A5)))</formula>
    </cfRule>
    <cfRule type="cellIs" dxfId="386" priority="2" stopIfTrue="1" operator="equal">
      <formula>"Enter Charter CDS # on BUDGET - CERT Worksheet"</formula>
    </cfRule>
  </conditionalFormatting>
  <hyperlinks>
    <hyperlink ref="A28" r:id="rId1" display="http://fcmat.org/local-control-funding-formula-resources/" xr:uid="{00000000-0004-0000-0100-000000000000}"/>
    <hyperlink ref="A28:B28" r:id="rId2" display="https://www.fcmat.org/lcff" xr:uid="{00000000-0004-0000-0100-000001000000}"/>
  </hyperlinks>
  <pageMargins left="0.7" right="0.7" top="0.75" bottom="0.75" header="0.3" footer="0.3"/>
  <pageSetup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6" tint="-0.249977111117893"/>
    <pageSetUpPr fitToPage="1"/>
  </sheetPr>
  <dimension ref="A1:S65"/>
  <sheetViews>
    <sheetView showGridLines="0" zoomScale="115" zoomScaleNormal="115" workbookViewId="0">
      <selection activeCell="B26" sqref="B26:M27"/>
    </sheetView>
  </sheetViews>
  <sheetFormatPr defaultRowHeight="12.75"/>
  <cols>
    <col min="1" max="1" width="2.42578125" customWidth="1"/>
    <col min="13" max="13" width="13.85546875" customWidth="1"/>
    <col min="14" max="14" width="9.140625" customWidth="1"/>
  </cols>
  <sheetData>
    <row r="1" spans="1:19" ht="16.5">
      <c r="A1" s="113"/>
      <c r="B1" s="114"/>
      <c r="C1" s="114"/>
      <c r="D1" s="114"/>
      <c r="E1" s="114"/>
      <c r="F1" s="114"/>
      <c r="G1" s="115" t="s">
        <v>72</v>
      </c>
      <c r="H1" s="1218" t="s">
        <v>73</v>
      </c>
      <c r="I1" s="1306"/>
      <c r="J1" s="1306"/>
      <c r="K1" s="1306"/>
      <c r="L1" s="1306"/>
      <c r="M1" s="1306"/>
      <c r="N1" s="215"/>
    </row>
    <row r="2" spans="1:19" ht="16.5">
      <c r="A2" s="113"/>
      <c r="B2" s="114"/>
      <c r="C2" s="114"/>
      <c r="D2" s="114"/>
      <c r="E2" s="114"/>
      <c r="F2" s="114"/>
      <c r="G2" s="115" t="s">
        <v>74</v>
      </c>
      <c r="H2" s="1647" t="s">
        <v>75</v>
      </c>
      <c r="I2" s="1647"/>
      <c r="J2" s="1647"/>
      <c r="K2" s="1647"/>
      <c r="L2" s="1647"/>
      <c r="M2" s="1647"/>
      <c r="N2" s="215"/>
    </row>
    <row r="3" spans="1:19" ht="16.5">
      <c r="A3" s="113"/>
      <c r="B3" s="114"/>
      <c r="C3" s="114"/>
      <c r="D3" s="114"/>
      <c r="E3" s="114"/>
      <c r="F3" s="114"/>
      <c r="G3" s="115" t="s">
        <v>76</v>
      </c>
      <c r="H3" s="1219" t="s">
        <v>77</v>
      </c>
      <c r="I3" s="1307"/>
      <c r="J3" s="1307"/>
      <c r="K3" s="1307"/>
      <c r="L3" s="1307"/>
      <c r="M3" s="1307"/>
      <c r="N3" s="215"/>
    </row>
    <row r="4" spans="1:19" ht="16.5">
      <c r="A4" s="113"/>
      <c r="B4" s="114"/>
      <c r="C4" s="114"/>
      <c r="D4" s="114"/>
      <c r="E4" s="114"/>
      <c r="F4" s="114"/>
      <c r="G4" s="115" t="s">
        <v>78</v>
      </c>
      <c r="H4" s="1219" t="s">
        <v>79</v>
      </c>
      <c r="I4" s="1307"/>
      <c r="J4" s="1307"/>
      <c r="K4" s="1307"/>
      <c r="L4" s="1307"/>
      <c r="M4" s="1307"/>
      <c r="N4" s="215"/>
    </row>
    <row r="5" spans="1:19" ht="16.5">
      <c r="A5" s="113"/>
      <c r="B5" s="114"/>
      <c r="C5" s="114"/>
      <c r="D5" s="114"/>
      <c r="E5" s="114"/>
      <c r="F5" s="114"/>
      <c r="G5" s="115" t="s">
        <v>80</v>
      </c>
      <c r="H5" s="1220" t="s">
        <v>81</v>
      </c>
      <c r="I5" s="1308"/>
      <c r="J5" s="1308"/>
      <c r="K5" s="1308"/>
      <c r="L5" s="1308"/>
      <c r="M5" s="1308"/>
      <c r="N5" s="215"/>
    </row>
    <row r="6" spans="1:19" ht="15" thickBot="1">
      <c r="A6" s="117"/>
      <c r="B6" s="117"/>
      <c r="C6" s="117"/>
      <c r="D6" s="117"/>
      <c r="E6" s="117"/>
      <c r="F6" s="117"/>
      <c r="G6" s="117"/>
      <c r="H6" s="216"/>
      <c r="I6" s="216"/>
      <c r="J6" s="216"/>
      <c r="K6" s="216"/>
      <c r="L6" s="216"/>
      <c r="M6" s="1086" t="str">
        <f>Instructions!H1</f>
        <v>Rev. 5/28/2021</v>
      </c>
      <c r="N6" s="1619"/>
    </row>
    <row r="7" spans="1:19" ht="15" thickTop="1">
      <c r="A7" s="118"/>
      <c r="B7" s="118"/>
      <c r="C7" s="118"/>
      <c r="D7" s="118"/>
      <c r="E7" s="118"/>
      <c r="F7" s="118"/>
      <c r="G7" s="118"/>
      <c r="H7" s="118"/>
      <c r="I7" s="118"/>
      <c r="J7" s="118"/>
      <c r="K7" s="118"/>
      <c r="L7" s="118"/>
      <c r="M7" s="118"/>
      <c r="N7" s="1619"/>
    </row>
    <row r="8" spans="1:19" ht="14.25">
      <c r="A8" s="8"/>
      <c r="B8" s="8" t="s">
        <v>82</v>
      </c>
      <c r="C8" s="130"/>
      <c r="D8" s="130"/>
      <c r="E8" s="130"/>
      <c r="F8" s="130"/>
      <c r="G8" s="130"/>
      <c r="H8" s="8"/>
      <c r="I8" s="130"/>
      <c r="J8" s="130"/>
      <c r="K8" s="130"/>
      <c r="L8" s="130"/>
      <c r="M8" s="130"/>
      <c r="N8" s="99"/>
    </row>
    <row r="9" spans="1:19" ht="14.25">
      <c r="A9" s="8"/>
      <c r="B9" s="1648" t="str">
        <f>""&amp;'Budget-ADA'!K7&amp;" CHARTER SCHOOL INTERIM REPORT -- ALTERNATIVE FORM:  This report has been approved, and is hereby filed by the charter school pursuant to Education Code Section 47604.33."</f>
        <v>2021-22 CHARTER SCHOOL INTERIM REPORT -- ALTERNATIVE FORM:  This report has been approved, and is hereby filed by the charter school pursuant to Education Code Section 47604.33.</v>
      </c>
      <c r="C9" s="1648"/>
      <c r="D9" s="1648"/>
      <c r="E9" s="1648"/>
      <c r="F9" s="1648"/>
      <c r="G9" s="1648"/>
      <c r="H9" s="1648"/>
      <c r="I9" s="1648"/>
      <c r="J9" s="1648"/>
      <c r="K9" s="1648"/>
      <c r="L9" s="1648"/>
      <c r="M9" s="1648"/>
      <c r="N9" s="99"/>
    </row>
    <row r="10" spans="1:19" ht="14.25">
      <c r="A10" s="8"/>
      <c r="B10" s="1648"/>
      <c r="C10" s="1648"/>
      <c r="D10" s="1648"/>
      <c r="E10" s="1648"/>
      <c r="F10" s="1648"/>
      <c r="G10" s="1648"/>
      <c r="H10" s="1648"/>
      <c r="I10" s="1648"/>
      <c r="J10" s="1648"/>
      <c r="K10" s="1648"/>
      <c r="L10" s="1648"/>
      <c r="M10" s="1648"/>
      <c r="N10" s="99"/>
    </row>
    <row r="11" spans="1:19" ht="26.25" customHeight="1">
      <c r="A11" s="8"/>
      <c r="B11" s="8" t="s">
        <v>83</v>
      </c>
      <c r="C11" s="1642"/>
      <c r="D11" s="1650"/>
      <c r="E11" s="1650"/>
      <c r="F11" s="1650"/>
      <c r="G11" s="1650"/>
      <c r="H11" s="8"/>
      <c r="I11" s="8" t="s">
        <v>84</v>
      </c>
      <c r="J11" s="1643"/>
      <c r="K11" s="1643"/>
      <c r="L11" s="1643"/>
      <c r="M11" s="8"/>
      <c r="N11" s="99"/>
    </row>
    <row r="12" spans="1:19" ht="14.25">
      <c r="A12" s="99"/>
      <c r="B12" s="99"/>
      <c r="C12" s="120" t="s">
        <v>85</v>
      </c>
      <c r="D12" s="121"/>
      <c r="E12" s="121"/>
      <c r="F12" s="121"/>
      <c r="G12" s="121"/>
      <c r="H12" s="99"/>
      <c r="I12" s="99"/>
      <c r="J12" s="99"/>
      <c r="K12" s="99"/>
      <c r="L12" s="99"/>
      <c r="M12" s="99"/>
      <c r="N12" s="99"/>
    </row>
    <row r="13" spans="1:19" ht="14.25">
      <c r="A13" s="99"/>
      <c r="B13" s="99"/>
      <c r="C13" s="120" t="s">
        <v>86</v>
      </c>
      <c r="D13" s="121"/>
      <c r="E13" s="121"/>
      <c r="F13" s="121"/>
      <c r="G13" s="121"/>
      <c r="H13" s="99"/>
      <c r="I13" s="99"/>
      <c r="J13" s="99"/>
      <c r="K13" s="99"/>
      <c r="L13" s="99"/>
      <c r="M13" s="99"/>
      <c r="N13" s="99"/>
    </row>
    <row r="14" spans="1:19" ht="28.5">
      <c r="A14" s="8"/>
      <c r="B14" s="122" t="s">
        <v>87</v>
      </c>
      <c r="C14" s="1645" t="s">
        <v>88</v>
      </c>
      <c r="D14" s="1645"/>
      <c r="E14" s="1645"/>
      <c r="F14" s="1645"/>
      <c r="G14" s="1645"/>
      <c r="H14" s="8"/>
      <c r="I14" s="8" t="s">
        <v>89</v>
      </c>
      <c r="J14" s="1645" t="s">
        <v>90</v>
      </c>
      <c r="K14" s="1645"/>
      <c r="L14" s="1645"/>
      <c r="M14" s="8"/>
      <c r="N14" s="99"/>
    </row>
    <row r="15" spans="1:19" ht="14.25">
      <c r="A15" s="8"/>
      <c r="B15" s="8"/>
      <c r="C15" s="8"/>
      <c r="D15" s="8"/>
      <c r="E15" s="8"/>
      <c r="F15" s="8"/>
      <c r="G15" s="8"/>
      <c r="H15" s="8"/>
      <c r="I15" s="8"/>
      <c r="J15" s="8"/>
      <c r="K15" s="8"/>
      <c r="L15" s="8"/>
      <c r="M15" s="8"/>
      <c r="N15" s="8"/>
    </row>
    <row r="16" spans="1:19" ht="14.25">
      <c r="A16" s="99" t="s">
        <v>91</v>
      </c>
      <c r="B16" s="99"/>
      <c r="C16" s="99"/>
      <c r="D16" s="8"/>
      <c r="E16" s="122"/>
      <c r="F16" s="138"/>
      <c r="G16" s="1253"/>
      <c r="H16" s="1253"/>
      <c r="I16" s="1253"/>
      <c r="J16" s="1253"/>
      <c r="K16" s="8"/>
      <c r="L16" s="8"/>
      <c r="M16" s="138"/>
      <c r="N16" s="138"/>
      <c r="O16" s="138"/>
      <c r="P16" s="8"/>
      <c r="Q16" s="99"/>
      <c r="R16" s="99"/>
      <c r="S16" s="99"/>
    </row>
    <row r="17" spans="1:19" ht="14.25">
      <c r="A17" s="99"/>
      <c r="B17" s="99"/>
      <c r="C17" s="99"/>
      <c r="D17" s="8"/>
      <c r="E17" s="122"/>
      <c r="F17" s="138"/>
      <c r="G17" s="1253"/>
      <c r="H17" s="1253"/>
      <c r="I17" s="1253"/>
      <c r="J17" s="1253"/>
      <c r="K17" s="8"/>
      <c r="L17" s="8"/>
      <c r="M17" s="138"/>
      <c r="N17" s="138"/>
      <c r="O17" s="138"/>
      <c r="P17" s="8"/>
      <c r="Q17" s="99"/>
      <c r="R17" s="99"/>
      <c r="S17" s="99"/>
    </row>
    <row r="18" spans="1:19" s="16" customFormat="1" ht="14.25" customHeight="1">
      <c r="A18" s="1252"/>
      <c r="B18" s="1251"/>
      <c r="C18" s="1250" t="s">
        <v>92</v>
      </c>
      <c r="D18" s="1250"/>
      <c r="E18" s="1248"/>
      <c r="F18" s="1251"/>
      <c r="G18" s="1250" t="s">
        <v>93</v>
      </c>
      <c r="H18" s="1250"/>
      <c r="J18" s="1251"/>
      <c r="K18" s="1250" t="s">
        <v>94</v>
      </c>
      <c r="N18" s="1250"/>
      <c r="O18" s="1250"/>
      <c r="R18" s="1250"/>
      <c r="S18" s="1250"/>
    </row>
    <row r="19" spans="1:19" s="16" customFormat="1" ht="12">
      <c r="A19" s="1252"/>
      <c r="B19" s="1249"/>
      <c r="C19" s="1649" t="s">
        <v>95</v>
      </c>
      <c r="D19" s="1649"/>
      <c r="E19" s="1649"/>
      <c r="F19" s="1249"/>
      <c r="G19" s="1649" t="s">
        <v>96</v>
      </c>
      <c r="H19" s="1649"/>
      <c r="I19" s="1649"/>
      <c r="J19" s="1250"/>
      <c r="K19" s="1649" t="s">
        <v>97</v>
      </c>
      <c r="L19" s="1649"/>
      <c r="M19" s="1649"/>
      <c r="N19" s="1250"/>
      <c r="O19" s="1250"/>
      <c r="R19" s="1250"/>
      <c r="S19" s="1250"/>
    </row>
    <row r="20" spans="1:19" s="16" customFormat="1" ht="12">
      <c r="A20" s="1252"/>
      <c r="B20" s="1249"/>
      <c r="C20" s="1649"/>
      <c r="D20" s="1649"/>
      <c r="E20" s="1649"/>
      <c r="F20" s="1249"/>
      <c r="G20" s="1649"/>
      <c r="H20" s="1649"/>
      <c r="I20" s="1649"/>
      <c r="J20" s="1250"/>
      <c r="K20" s="1649"/>
      <c r="L20" s="1649"/>
      <c r="M20" s="1649"/>
      <c r="N20" s="1250"/>
      <c r="O20" s="1250"/>
      <c r="R20" s="1250"/>
      <c r="S20" s="1250"/>
    </row>
    <row r="21" spans="1:19" s="16" customFormat="1" ht="12">
      <c r="A21" s="1252"/>
      <c r="B21" s="1249"/>
      <c r="C21" s="1649"/>
      <c r="D21" s="1649"/>
      <c r="E21" s="1649"/>
      <c r="F21" s="1249"/>
      <c r="G21" s="1649"/>
      <c r="H21" s="1649"/>
      <c r="I21" s="1649"/>
      <c r="J21" s="1250"/>
      <c r="K21" s="1649"/>
      <c r="L21" s="1649"/>
      <c r="M21" s="1649"/>
      <c r="N21" s="1250"/>
      <c r="O21" s="1250"/>
      <c r="R21" s="1250"/>
      <c r="S21" s="1250"/>
    </row>
    <row r="22" spans="1:19" s="16" customFormat="1" ht="23.25" customHeight="1">
      <c r="A22" s="1252"/>
      <c r="B22" s="1249"/>
      <c r="C22" s="1649"/>
      <c r="D22" s="1649"/>
      <c r="E22" s="1649"/>
      <c r="F22" s="1252"/>
      <c r="G22" s="1649"/>
      <c r="H22" s="1649"/>
      <c r="I22" s="1649"/>
      <c r="J22" s="1250"/>
      <c r="K22" s="1649"/>
      <c r="L22" s="1649"/>
      <c r="M22" s="1649"/>
      <c r="N22" s="1250"/>
      <c r="O22" s="1250"/>
      <c r="R22" s="1250"/>
      <c r="S22" s="1250"/>
    </row>
    <row r="23" spans="1:19" ht="14.25">
      <c r="A23" s="123"/>
      <c r="B23" s="123"/>
      <c r="C23" s="123"/>
      <c r="D23" s="123"/>
      <c r="E23" s="123"/>
      <c r="F23" s="123"/>
      <c r="G23" s="123"/>
      <c r="H23" s="123"/>
      <c r="I23" s="123"/>
      <c r="J23" s="123"/>
      <c r="K23" s="123"/>
      <c r="L23" s="123"/>
      <c r="M23" s="123"/>
      <c r="N23" s="8"/>
    </row>
    <row r="24" spans="1:19" ht="14.25">
      <c r="A24" s="124"/>
      <c r="B24" s="124"/>
      <c r="C24" s="124"/>
      <c r="D24" s="124"/>
      <c r="E24" s="124"/>
      <c r="F24" s="124"/>
      <c r="G24" s="124"/>
      <c r="H24" s="124"/>
      <c r="I24" s="124"/>
      <c r="J24" s="124"/>
      <c r="K24" s="124"/>
      <c r="L24" s="124"/>
      <c r="M24" s="124"/>
      <c r="N24" s="8"/>
    </row>
    <row r="25" spans="1:19" ht="14.25">
      <c r="A25" s="8"/>
      <c r="B25" s="8" t="s">
        <v>98</v>
      </c>
      <c r="C25" s="8"/>
      <c r="D25" s="8"/>
      <c r="E25" s="8"/>
      <c r="F25" s="8"/>
      <c r="G25" s="8"/>
      <c r="H25" s="8"/>
      <c r="I25" s="8"/>
      <c r="J25" s="8"/>
      <c r="K25" s="8"/>
      <c r="L25" s="8"/>
      <c r="M25" s="130"/>
      <c r="N25" s="99"/>
    </row>
    <row r="26" spans="1:19" ht="14.25">
      <c r="A26" s="8"/>
      <c r="B26" s="1648" t="str">
        <f>""&amp;'[1]Budget-ADA'!K15&amp;" CHARTER SCHOOL INTERIM REPORT -- ALTERNATIVE FORM:  This report has been reviewed pursuant to Education Code 47604.32(a) is hereby filed with the County Superintendent pursuant to Education Code Section 47604.33."</f>
        <v xml:space="preserve"> CHARTER SCHOOL INTERIM REPORT -- ALTERNATIVE FORM:  This report has been reviewed pursuant to Education Code 47604.32(a) is hereby filed with the County Superintendent pursuant to Education Code Section 47604.33.</v>
      </c>
      <c r="C26" s="1648"/>
      <c r="D26" s="1648"/>
      <c r="E26" s="1648"/>
      <c r="F26" s="1648"/>
      <c r="G26" s="1648"/>
      <c r="H26" s="1648"/>
      <c r="I26" s="1648"/>
      <c r="J26" s="1648"/>
      <c r="K26" s="1648"/>
      <c r="L26" s="1648"/>
      <c r="M26" s="1648"/>
      <c r="N26" s="99"/>
    </row>
    <row r="27" spans="1:19" ht="14.25">
      <c r="A27" s="8"/>
      <c r="B27" s="1648"/>
      <c r="C27" s="1648"/>
      <c r="D27" s="1648"/>
      <c r="E27" s="1648"/>
      <c r="F27" s="1648"/>
      <c r="G27" s="1648"/>
      <c r="H27" s="1648"/>
      <c r="I27" s="1648"/>
      <c r="J27" s="1648"/>
      <c r="K27" s="1648"/>
      <c r="L27" s="1648"/>
      <c r="M27" s="1648"/>
      <c r="N27" s="99"/>
    </row>
    <row r="28" spans="1:19" ht="27" customHeight="1">
      <c r="A28" s="8"/>
      <c r="B28" s="8" t="s">
        <v>83</v>
      </c>
      <c r="C28" s="1642"/>
      <c r="D28" s="1642"/>
      <c r="E28" s="1642"/>
      <c r="F28" s="1642"/>
      <c r="G28" s="1642"/>
      <c r="H28" s="8"/>
      <c r="I28" s="8" t="s">
        <v>84</v>
      </c>
      <c r="J28" s="1643"/>
      <c r="K28" s="1643"/>
      <c r="L28" s="1643"/>
      <c r="M28" s="8"/>
      <c r="N28" s="99"/>
    </row>
    <row r="29" spans="1:19" ht="25.5" customHeight="1">
      <c r="A29" s="99"/>
      <c r="B29" s="99"/>
      <c r="C29" s="126" t="s">
        <v>99</v>
      </c>
      <c r="D29" s="126"/>
      <c r="E29" s="126"/>
      <c r="F29" s="126"/>
      <c r="G29" s="126"/>
      <c r="H29" s="99"/>
      <c r="I29" s="99"/>
      <c r="J29" s="127"/>
      <c r="K29" s="127"/>
      <c r="L29" s="127"/>
      <c r="M29" s="99"/>
      <c r="N29" s="99"/>
    </row>
    <row r="30" spans="1:19">
      <c r="A30" s="99"/>
      <c r="B30" s="99"/>
      <c r="C30" s="108" t="s">
        <v>86</v>
      </c>
      <c r="D30" s="108"/>
      <c r="E30" s="108"/>
      <c r="F30" s="108"/>
      <c r="G30" s="108"/>
      <c r="H30" s="99"/>
      <c r="I30" s="99"/>
      <c r="J30" s="99"/>
      <c r="K30" s="99"/>
      <c r="L30" s="99"/>
      <c r="M30" s="99"/>
      <c r="N30" s="99"/>
    </row>
    <row r="31" spans="1:19" ht="28.5">
      <c r="A31" s="8"/>
      <c r="B31" s="122" t="s">
        <v>87</v>
      </c>
      <c r="C31" s="1639"/>
      <c r="D31" s="1639"/>
      <c r="E31" s="1639"/>
      <c r="F31" s="1639"/>
      <c r="G31" s="1639"/>
      <c r="H31" s="8"/>
      <c r="I31" s="8" t="s">
        <v>89</v>
      </c>
      <c r="J31" s="1639"/>
      <c r="K31" s="1639"/>
      <c r="L31" s="1639"/>
      <c r="M31" s="8"/>
      <c r="N31" s="99"/>
    </row>
    <row r="32" spans="1:19" ht="14.25">
      <c r="A32" s="99"/>
      <c r="B32" s="99"/>
      <c r="C32" s="99"/>
      <c r="D32" s="8"/>
      <c r="E32" s="122"/>
      <c r="F32" s="138"/>
      <c r="G32" s="138"/>
      <c r="H32" s="138"/>
      <c r="I32" s="138"/>
      <c r="J32" s="138"/>
      <c r="K32" s="8"/>
      <c r="L32" s="8"/>
      <c r="M32" s="138"/>
      <c r="N32" s="138"/>
      <c r="O32" s="138"/>
      <c r="P32" s="8"/>
      <c r="Q32" s="99"/>
      <c r="R32" s="99"/>
      <c r="S32" s="99"/>
    </row>
    <row r="33" spans="1:19" ht="14.25">
      <c r="A33" s="222"/>
      <c r="B33" s="1271"/>
      <c r="C33" s="1250" t="s">
        <v>92</v>
      </c>
      <c r="D33" s="1250"/>
      <c r="E33" s="1248"/>
      <c r="F33" s="1271"/>
      <c r="G33" s="1250" t="s">
        <v>93</v>
      </c>
      <c r="H33" s="1250"/>
      <c r="I33" s="16"/>
      <c r="J33" s="1271"/>
      <c r="K33" s="1250" t="s">
        <v>94</v>
      </c>
      <c r="L33" s="16"/>
      <c r="M33" s="16"/>
      <c r="N33" s="8"/>
      <c r="O33" s="138"/>
      <c r="P33" s="8"/>
      <c r="Q33" s="99"/>
      <c r="R33" s="99"/>
      <c r="S33" s="99"/>
    </row>
    <row r="34" spans="1:19" ht="29.25" customHeight="1">
      <c r="A34" s="222"/>
      <c r="B34" s="1249"/>
      <c r="C34" s="1649" t="s">
        <v>100</v>
      </c>
      <c r="D34" s="1649"/>
      <c r="E34" s="1649"/>
      <c r="F34" s="1249"/>
      <c r="G34" s="1649" t="s">
        <v>101</v>
      </c>
      <c r="H34" s="1649"/>
      <c r="I34" s="1649"/>
      <c r="J34" s="1250"/>
      <c r="K34" s="1649" t="s">
        <v>102</v>
      </c>
      <c r="L34" s="1649"/>
      <c r="M34" s="1649"/>
      <c r="N34" s="8"/>
      <c r="O34" s="8"/>
      <c r="P34" s="8"/>
      <c r="Q34" s="8"/>
      <c r="R34" s="8"/>
      <c r="S34" s="99"/>
    </row>
    <row r="35" spans="1:19" ht="14.25">
      <c r="A35" s="222"/>
      <c r="B35" s="1249"/>
      <c r="C35" s="1649"/>
      <c r="D35" s="1649"/>
      <c r="E35" s="1649"/>
      <c r="F35" s="1249"/>
      <c r="G35" s="1649"/>
      <c r="H35" s="1649"/>
      <c r="I35" s="1649"/>
      <c r="J35" s="1250"/>
      <c r="K35" s="1649"/>
      <c r="L35" s="1649"/>
      <c r="M35" s="1649"/>
      <c r="N35" s="8"/>
    </row>
    <row r="36" spans="1:19" ht="14.25">
      <c r="A36" s="8"/>
      <c r="B36" s="1249"/>
      <c r="C36" s="1649"/>
      <c r="D36" s="1649"/>
      <c r="E36" s="1649"/>
      <c r="F36" s="1249"/>
      <c r="G36" s="1649"/>
      <c r="H36" s="1649"/>
      <c r="I36" s="1649"/>
      <c r="J36" s="1250"/>
      <c r="K36" s="1649"/>
      <c r="L36" s="1649"/>
      <c r="M36" s="1649"/>
      <c r="N36" s="99"/>
    </row>
    <row r="37" spans="1:19" ht="14.25" customHeight="1">
      <c r="A37" s="8"/>
      <c r="B37" s="1249"/>
      <c r="C37" s="1649"/>
      <c r="D37" s="1649"/>
      <c r="E37" s="1649"/>
      <c r="F37" s="1252"/>
      <c r="G37" s="1649"/>
      <c r="H37" s="1649"/>
      <c r="I37" s="1649"/>
      <c r="J37" s="1250"/>
      <c r="K37" s="1649"/>
      <c r="L37" s="1649"/>
      <c r="M37" s="1649"/>
      <c r="N37" s="99"/>
    </row>
    <row r="38" spans="1:19" ht="14.25">
      <c r="A38" s="123"/>
      <c r="B38" s="123"/>
      <c r="C38" s="123"/>
      <c r="D38" s="123"/>
      <c r="E38" s="123"/>
      <c r="F38" s="123"/>
      <c r="G38" s="123"/>
      <c r="H38" s="123"/>
      <c r="I38" s="123"/>
      <c r="J38" s="123"/>
      <c r="K38" s="123"/>
      <c r="L38" s="123"/>
      <c r="M38" s="123"/>
      <c r="N38" s="99"/>
    </row>
    <row r="39" spans="1:19" ht="14.25">
      <c r="A39" s="8"/>
      <c r="B39" s="124" t="s">
        <v>103</v>
      </c>
      <c r="C39" s="124"/>
      <c r="D39" s="124"/>
      <c r="E39" s="124"/>
      <c r="F39" s="124"/>
      <c r="G39" s="124"/>
      <c r="H39" s="124"/>
      <c r="I39" s="124"/>
      <c r="J39" s="124"/>
      <c r="K39" s="124"/>
      <c r="L39" s="124"/>
      <c r="M39" s="125"/>
      <c r="N39" s="99"/>
    </row>
    <row r="40" spans="1:19">
      <c r="A40" s="99"/>
      <c r="B40" s="1648" t="str">
        <f>""&amp;'Budget-ADA'!K7&amp;" CHARTER SCHOOL INTERIM REPORT -- ALTERNATIVE FORM:  This report has been received by the County Superintendent of Schools pursuant to Education Code Section 47604.33(1)."</f>
        <v>2021-22 CHARTER SCHOOL INTERIM REPORT -- ALTERNATIVE FORM:  This report has been received by the County Superintendent of Schools pursuant to Education Code Section 47604.33(1).</v>
      </c>
      <c r="C40" s="1648"/>
      <c r="D40" s="1648"/>
      <c r="E40" s="1648"/>
      <c r="F40" s="1648"/>
      <c r="G40" s="1648"/>
      <c r="H40" s="1648"/>
      <c r="I40" s="1648"/>
      <c r="J40" s="1648"/>
      <c r="K40" s="1648"/>
      <c r="L40" s="1648"/>
      <c r="M40" s="1648"/>
      <c r="N40" s="99"/>
    </row>
    <row r="41" spans="1:19">
      <c r="A41" s="99"/>
      <c r="B41" s="1648"/>
      <c r="C41" s="1648"/>
      <c r="D41" s="1648"/>
      <c r="E41" s="1648"/>
      <c r="F41" s="1648"/>
      <c r="G41" s="1648"/>
      <c r="H41" s="1648"/>
      <c r="I41" s="1648"/>
      <c r="J41" s="1648"/>
      <c r="K41" s="1648"/>
      <c r="L41" s="1648"/>
      <c r="M41" s="1648"/>
      <c r="N41" s="99"/>
    </row>
    <row r="42" spans="1:19" ht="14.25">
      <c r="A42" s="99"/>
      <c r="B42" s="8" t="s">
        <v>83</v>
      </c>
      <c r="C42" s="1642"/>
      <c r="D42" s="1642"/>
      <c r="E42" s="1642"/>
      <c r="F42" s="1642"/>
      <c r="G42" s="1642"/>
      <c r="H42" s="8"/>
      <c r="I42" s="8" t="s">
        <v>84</v>
      </c>
      <c r="J42" s="1643"/>
      <c r="K42" s="1643"/>
      <c r="L42" s="1643"/>
      <c r="M42" s="8"/>
      <c r="N42" s="1619"/>
      <c r="O42" s="1619"/>
      <c r="P42" s="1619"/>
    </row>
    <row r="43" spans="1:19" ht="14.25">
      <c r="A43" s="99"/>
      <c r="B43" s="8"/>
      <c r="C43" s="108" t="s">
        <v>104</v>
      </c>
      <c r="D43" s="108"/>
      <c r="E43" s="108"/>
      <c r="F43" s="108"/>
      <c r="G43" s="108"/>
      <c r="H43" s="128"/>
      <c r="I43" s="8"/>
      <c r="J43" s="8"/>
      <c r="K43" s="8"/>
      <c r="L43" s="8"/>
      <c r="M43" s="8"/>
      <c r="N43" s="1619"/>
      <c r="O43" s="1619"/>
      <c r="P43" s="1619"/>
    </row>
    <row r="44" spans="1:19" ht="14.25">
      <c r="A44" s="99"/>
      <c r="B44" s="8"/>
      <c r="C44" s="108" t="s">
        <v>86</v>
      </c>
      <c r="D44" s="108"/>
      <c r="E44" s="108"/>
      <c r="F44" s="108"/>
      <c r="G44" s="108"/>
      <c r="H44" s="128"/>
      <c r="I44" s="8"/>
      <c r="J44" s="8"/>
      <c r="K44" s="8"/>
      <c r="L44" s="8"/>
      <c r="M44" s="8"/>
      <c r="N44" s="1619"/>
      <c r="O44" s="1619"/>
      <c r="P44" s="1619"/>
    </row>
    <row r="45" spans="1:19" ht="29.25" customHeight="1" thickBot="1">
      <c r="A45" s="116"/>
      <c r="B45" s="116"/>
      <c r="C45" s="116"/>
      <c r="D45" s="116"/>
      <c r="E45" s="116"/>
      <c r="F45" s="116"/>
      <c r="G45" s="116"/>
      <c r="H45" s="116"/>
      <c r="I45" s="116"/>
      <c r="J45" s="116"/>
      <c r="K45" s="116"/>
      <c r="L45" s="116"/>
      <c r="M45" s="116"/>
      <c r="N45" s="1619"/>
      <c r="O45" s="1619"/>
      <c r="P45" s="1619"/>
    </row>
    <row r="46" spans="1:19" ht="13.5" thickTop="1">
      <c r="A46" s="99"/>
      <c r="B46" s="221"/>
      <c r="C46" s="221"/>
      <c r="D46" s="221"/>
      <c r="E46" s="221"/>
      <c r="F46" s="221"/>
      <c r="G46" s="221"/>
      <c r="H46" s="221"/>
      <c r="I46" s="221"/>
      <c r="J46" s="221"/>
      <c r="K46" s="221"/>
      <c r="L46" s="221"/>
      <c r="M46" s="221"/>
      <c r="N46" s="1619"/>
      <c r="O46" s="1619"/>
      <c r="P46" s="1619"/>
    </row>
    <row r="47" spans="1:19" ht="27.75" customHeight="1">
      <c r="A47" s="99"/>
      <c r="B47" s="8" t="s">
        <v>105</v>
      </c>
      <c r="C47" s="130"/>
      <c r="D47" s="130"/>
      <c r="E47" s="130"/>
      <c r="F47" s="130"/>
      <c r="G47" s="130"/>
      <c r="H47" s="130"/>
      <c r="I47" s="130"/>
      <c r="J47" s="130"/>
      <c r="K47" s="130"/>
      <c r="L47" s="130"/>
      <c r="M47" s="99"/>
      <c r="N47" s="1619"/>
      <c r="O47" s="1619"/>
      <c r="P47" s="1619"/>
    </row>
    <row r="48" spans="1:19">
      <c r="A48" s="99"/>
      <c r="B48" s="99"/>
      <c r="C48" s="99"/>
      <c r="D48" s="99"/>
      <c r="E48" s="99"/>
      <c r="F48" s="99"/>
      <c r="G48" s="99"/>
      <c r="H48" s="99"/>
      <c r="I48" s="99"/>
      <c r="J48" s="99"/>
      <c r="K48" s="99"/>
      <c r="L48" s="99"/>
      <c r="M48" s="99"/>
      <c r="N48" s="1619"/>
      <c r="O48" s="1619"/>
      <c r="P48" s="1619"/>
    </row>
    <row r="49" spans="1:16" ht="14.25">
      <c r="A49" s="99"/>
      <c r="B49" s="129" t="s">
        <v>106</v>
      </c>
      <c r="C49" s="130"/>
      <c r="D49" s="130"/>
      <c r="E49" s="130"/>
      <c r="F49" s="130"/>
      <c r="G49" s="130"/>
      <c r="H49" s="8"/>
      <c r="I49" s="129" t="s">
        <v>107</v>
      </c>
      <c r="J49" s="130"/>
      <c r="K49" s="130"/>
      <c r="L49" s="130"/>
      <c r="M49" s="130"/>
      <c r="N49" s="1619"/>
      <c r="O49" s="1619"/>
      <c r="P49" s="1619"/>
    </row>
    <row r="50" spans="1:16" ht="24.75" customHeight="1">
      <c r="A50" s="8"/>
      <c r="B50" s="1639"/>
      <c r="C50" s="1639"/>
      <c r="D50" s="1639"/>
      <c r="E50" s="1639"/>
      <c r="F50" s="1639"/>
      <c r="G50" s="1639"/>
      <c r="H50" s="8"/>
      <c r="I50" s="1644" t="s">
        <v>108</v>
      </c>
      <c r="J50" s="1641"/>
      <c r="K50" s="1641"/>
      <c r="L50" s="1641"/>
      <c r="M50" s="1641"/>
      <c r="N50" s="8"/>
      <c r="O50" s="8"/>
      <c r="P50" s="8"/>
    </row>
    <row r="51" spans="1:16" ht="14.25">
      <c r="A51" s="8"/>
      <c r="B51" s="131" t="s">
        <v>109</v>
      </c>
      <c r="C51" s="131"/>
      <c r="D51" s="131"/>
      <c r="E51" s="131"/>
      <c r="F51" s="131"/>
      <c r="G51" s="132"/>
      <c r="H51" s="8"/>
      <c r="I51" s="131" t="s">
        <v>109</v>
      </c>
      <c r="J51" s="131"/>
      <c r="K51" s="131"/>
      <c r="L51" s="131"/>
      <c r="M51" s="131"/>
      <c r="N51" s="8"/>
      <c r="O51" s="8"/>
      <c r="P51" s="8"/>
    </row>
    <row r="52" spans="1:16" ht="24.75" customHeight="1">
      <c r="A52" s="8"/>
      <c r="B52" s="1639" t="s">
        <v>103</v>
      </c>
      <c r="C52" s="1639"/>
      <c r="D52" s="1639"/>
      <c r="E52" s="1639"/>
      <c r="F52" s="1639"/>
      <c r="G52" s="1639"/>
      <c r="H52" s="8"/>
      <c r="I52" s="1645" t="s">
        <v>110</v>
      </c>
      <c r="J52" s="1646"/>
      <c r="K52" s="1646"/>
      <c r="L52" s="1646"/>
      <c r="M52" s="1646"/>
      <c r="N52" s="8"/>
      <c r="O52" s="8"/>
      <c r="P52" s="8"/>
    </row>
    <row r="53" spans="1:16" ht="14.25">
      <c r="A53" s="99"/>
      <c r="B53" s="131" t="s">
        <v>111</v>
      </c>
      <c r="C53" s="131"/>
      <c r="D53" s="131"/>
      <c r="E53" s="131"/>
      <c r="F53" s="131"/>
      <c r="G53" s="131"/>
      <c r="H53" s="8"/>
      <c r="I53" s="131" t="s">
        <v>111</v>
      </c>
      <c r="J53" s="131"/>
      <c r="K53" s="131"/>
      <c r="L53" s="131"/>
      <c r="M53" s="132"/>
      <c r="N53" s="99"/>
    </row>
    <row r="54" spans="1:16" ht="25.5" customHeight="1">
      <c r="A54" s="99"/>
      <c r="B54" s="1639" t="s">
        <v>103</v>
      </c>
      <c r="C54" s="1639"/>
      <c r="D54" s="1639"/>
      <c r="E54" s="1639"/>
      <c r="F54" s="1639"/>
      <c r="G54" s="1639"/>
      <c r="H54" s="8"/>
      <c r="I54" s="1644" t="s">
        <v>112</v>
      </c>
      <c r="J54" s="1641"/>
      <c r="K54" s="1641"/>
      <c r="L54" s="1641"/>
      <c r="M54" s="1641"/>
      <c r="N54" s="99"/>
    </row>
    <row r="55" spans="1:16" ht="14.25">
      <c r="A55" s="99"/>
      <c r="B55" s="131" t="s">
        <v>113</v>
      </c>
      <c r="C55" s="131"/>
      <c r="D55" s="131"/>
      <c r="E55" s="131"/>
      <c r="F55" s="131"/>
      <c r="G55" s="131"/>
      <c r="H55" s="8"/>
      <c r="I55" s="131" t="s">
        <v>113</v>
      </c>
      <c r="J55" s="131"/>
      <c r="K55" s="131"/>
      <c r="L55" s="131"/>
      <c r="M55" s="131"/>
      <c r="N55" s="99"/>
    </row>
    <row r="56" spans="1:16" ht="24.75" customHeight="1">
      <c r="A56" s="99"/>
      <c r="B56" s="1639" t="s">
        <v>103</v>
      </c>
      <c r="C56" s="1639"/>
      <c r="D56" s="1639"/>
      <c r="E56" s="1639"/>
      <c r="F56" s="1639"/>
      <c r="G56" s="1639"/>
      <c r="H56" s="8"/>
      <c r="I56" s="1640" t="s">
        <v>114</v>
      </c>
      <c r="J56" s="1641"/>
      <c r="K56" s="1641"/>
      <c r="L56" s="1641"/>
      <c r="M56" s="1641"/>
      <c r="N56" s="99"/>
    </row>
    <row r="57" spans="1:16" ht="14.25">
      <c r="A57" s="99"/>
      <c r="B57" s="131" t="s">
        <v>115</v>
      </c>
      <c r="C57" s="131"/>
      <c r="D57" s="131"/>
      <c r="E57" s="131"/>
      <c r="F57" s="131"/>
      <c r="G57" s="132"/>
      <c r="H57" s="8"/>
      <c r="I57" s="131" t="s">
        <v>115</v>
      </c>
      <c r="J57" s="131"/>
      <c r="K57" s="131"/>
      <c r="L57" s="131"/>
      <c r="M57" s="131"/>
      <c r="N57" s="99"/>
    </row>
    <row r="58" spans="1:16">
      <c r="A58" s="99"/>
      <c r="B58" s="99"/>
      <c r="C58" s="99"/>
      <c r="D58" s="99"/>
      <c r="E58" s="99"/>
      <c r="F58" s="99"/>
      <c r="G58" s="99"/>
      <c r="H58" s="99"/>
      <c r="I58" s="99"/>
      <c r="J58" s="99"/>
      <c r="K58" s="99"/>
      <c r="L58" s="99"/>
      <c r="M58" s="99"/>
      <c r="N58" s="99"/>
    </row>
    <row r="59" spans="1:16">
      <c r="A59" s="99"/>
      <c r="B59" s="99"/>
      <c r="C59" s="99"/>
      <c r="D59" s="99"/>
      <c r="E59" s="99"/>
      <c r="F59" s="99"/>
      <c r="G59" s="99"/>
      <c r="H59" s="99"/>
      <c r="I59" s="99"/>
      <c r="J59" s="99"/>
      <c r="K59" s="99"/>
      <c r="L59" s="99"/>
      <c r="M59" s="99"/>
      <c r="N59" s="99"/>
    </row>
    <row r="60" spans="1:16">
      <c r="A60" s="99"/>
      <c r="B60" s="99"/>
      <c r="C60" s="99"/>
      <c r="D60" s="99"/>
      <c r="E60" s="99"/>
      <c r="F60" s="99"/>
      <c r="G60" s="99"/>
      <c r="H60" s="99"/>
      <c r="I60" s="99"/>
      <c r="J60" s="99"/>
      <c r="K60" s="99"/>
      <c r="L60" s="99"/>
      <c r="M60" s="99"/>
      <c r="N60" s="99"/>
    </row>
    <row r="61" spans="1:16">
      <c r="B61" s="99"/>
      <c r="C61" s="99"/>
      <c r="D61" s="99"/>
      <c r="E61" s="99"/>
      <c r="F61" s="99"/>
      <c r="G61" s="99"/>
      <c r="H61" s="99"/>
      <c r="I61" s="99"/>
      <c r="J61" s="99"/>
      <c r="K61" s="99"/>
      <c r="L61" s="99"/>
      <c r="M61" s="99"/>
    </row>
    <row r="62" spans="1:16">
      <c r="B62" s="99"/>
      <c r="C62" s="99"/>
      <c r="D62" s="99"/>
      <c r="E62" s="99"/>
      <c r="F62" s="99"/>
      <c r="G62" s="99"/>
      <c r="H62" s="99"/>
      <c r="I62" s="99"/>
      <c r="J62" s="99"/>
      <c r="K62" s="99"/>
      <c r="L62" s="99"/>
      <c r="M62" s="99"/>
    </row>
    <row r="63" spans="1:16">
      <c r="B63" s="99"/>
      <c r="C63" s="99"/>
      <c r="D63" s="99"/>
      <c r="E63" s="99"/>
      <c r="F63" s="99"/>
      <c r="G63" s="99"/>
      <c r="H63" s="99"/>
      <c r="I63" s="99"/>
      <c r="J63" s="99"/>
      <c r="K63" s="99"/>
      <c r="L63" s="99"/>
      <c r="M63" s="99"/>
    </row>
    <row r="64" spans="1:16">
      <c r="B64" s="99"/>
      <c r="C64" s="99"/>
      <c r="D64" s="99"/>
      <c r="E64" s="99"/>
      <c r="F64" s="99"/>
      <c r="G64" s="99"/>
      <c r="H64" s="99"/>
      <c r="I64" s="99"/>
      <c r="J64" s="99"/>
      <c r="K64" s="99"/>
      <c r="L64" s="99"/>
      <c r="M64" s="99"/>
    </row>
    <row r="65" spans="2:13">
      <c r="B65" s="99"/>
      <c r="C65" s="99"/>
      <c r="D65" s="99"/>
      <c r="E65" s="99"/>
      <c r="F65" s="99"/>
      <c r="G65" s="99"/>
      <c r="H65" s="99"/>
      <c r="I65" s="99"/>
      <c r="J65" s="99"/>
      <c r="K65" s="99"/>
      <c r="L65" s="99"/>
      <c r="M65" s="99"/>
    </row>
  </sheetData>
  <sheetProtection password="CC5F" sheet="1" objects="1" scenarios="1"/>
  <mergeCells count="28">
    <mergeCell ref="C31:G31"/>
    <mergeCell ref="J31:L31"/>
    <mergeCell ref="B40:M41"/>
    <mergeCell ref="C11:G11"/>
    <mergeCell ref="I50:M50"/>
    <mergeCell ref="C14:G14"/>
    <mergeCell ref="J14:L14"/>
    <mergeCell ref="B26:M27"/>
    <mergeCell ref="C28:G28"/>
    <mergeCell ref="J28:L28"/>
    <mergeCell ref="C34:E37"/>
    <mergeCell ref="G34:I37"/>
    <mergeCell ref="K34:M37"/>
    <mergeCell ref="H2:M2"/>
    <mergeCell ref="J11:L11"/>
    <mergeCell ref="B9:M10"/>
    <mergeCell ref="C19:E22"/>
    <mergeCell ref="G19:I22"/>
    <mergeCell ref="K19:M22"/>
    <mergeCell ref="B56:G56"/>
    <mergeCell ref="I56:M56"/>
    <mergeCell ref="C42:G42"/>
    <mergeCell ref="J42:L42"/>
    <mergeCell ref="B50:G50"/>
    <mergeCell ref="B54:G54"/>
    <mergeCell ref="I54:M54"/>
    <mergeCell ref="B52:G52"/>
    <mergeCell ref="I52:M52"/>
  </mergeCells>
  <printOptions horizontalCentered="1"/>
  <pageMargins left="0.25" right="0.25" top="0.75" bottom="0.75" header="0.3" footer="0.3"/>
  <pageSetup scale="72" orientation="portrait" r:id="rId1"/>
  <customProperties>
    <customPr name="DrillPoint.FROID" r:id="rId2"/>
    <customPr name="DrillPoint.Mode" r:id="rId3"/>
    <customPr name="DrillPoint.Subsheet" r:id="rId4"/>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theme="6" tint="-0.249977111117893"/>
    <pageSetUpPr fitToPage="1"/>
  </sheetPr>
  <dimension ref="A1:Y88"/>
  <sheetViews>
    <sheetView showGridLines="0" zoomScaleNormal="100" workbookViewId="0">
      <pane xSplit="8" ySplit="9" topLeftCell="I10" activePane="bottomRight" state="frozen"/>
      <selection pane="topRight" activeCell="H25" sqref="H25"/>
      <selection pane="bottomLeft" activeCell="H25" sqref="H25"/>
      <selection pane="bottomRight" activeCell="I39" sqref="I39"/>
    </sheetView>
  </sheetViews>
  <sheetFormatPr defaultRowHeight="12.75"/>
  <cols>
    <col min="1" max="1" width="2.85546875" customWidth="1"/>
    <col min="9" max="9" width="14" style="92" customWidth="1"/>
    <col min="10" max="10" width="18.7109375" customWidth="1"/>
    <col min="11" max="11" width="14" customWidth="1"/>
    <col min="12" max="12" width="18.42578125" customWidth="1"/>
    <col min="13" max="14" width="14" customWidth="1"/>
    <col min="15" max="15" width="17.140625" customWidth="1"/>
    <col min="16" max="17" width="14" customWidth="1"/>
    <col min="18" max="18" width="17.140625" customWidth="1"/>
    <col min="19" max="19" width="14" customWidth="1"/>
    <col min="20" max="20" width="117.42578125" style="1212" customWidth="1"/>
    <col min="21" max="214" width="9.140625" customWidth="1"/>
  </cols>
  <sheetData>
    <row r="1" spans="1:25" ht="15.75">
      <c r="A1" s="42" t="s">
        <v>116</v>
      </c>
      <c r="B1" s="43"/>
      <c r="C1" s="44"/>
      <c r="D1" s="44"/>
      <c r="E1" s="44"/>
      <c r="F1" s="44"/>
      <c r="G1" s="44"/>
      <c r="H1" s="102"/>
      <c r="I1" s="1677" t="str">
        <f>IF('BUDGET-CERTIFICATION'!$H$1="","CHARTER NAME: Enter Charter Name on BUDGET-CERTIFICATION Worksheet",(CONCATENATE("CHARTER NAME: ",'BUDGET-CERTIFICATION'!$H$1)))</f>
        <v>CHARTER NAME: Encore High School -</v>
      </c>
      <c r="J1" s="1677"/>
      <c r="K1" s="1677"/>
      <c r="L1" s="1677"/>
      <c r="M1" s="1677"/>
      <c r="N1" s="1677"/>
      <c r="O1" s="204"/>
      <c r="P1" s="204"/>
      <c r="Q1" s="257"/>
      <c r="R1" s="257"/>
      <c r="S1" s="258"/>
      <c r="U1" s="1212"/>
      <c r="V1" s="1212"/>
      <c r="W1" s="1212"/>
      <c r="X1" s="1212"/>
      <c r="Y1" s="1212"/>
    </row>
    <row r="2" spans="1:25" ht="16.5" thickBot="1">
      <c r="A2" s="1087" t="str">
        <f>Instructions!H1</f>
        <v>Rev. 5/28/2021</v>
      </c>
      <c r="C2" s="33"/>
      <c r="D2" s="33"/>
      <c r="E2" s="33"/>
      <c r="F2" s="33"/>
      <c r="G2" s="33"/>
      <c r="H2" s="103"/>
      <c r="I2" s="1678" t="str">
        <f>IF('BUDGET-CERTIFICATION'!$H$5="","CHARTER #: Enter Charter # on BUDGET-CERTIFICATION Worksheet",(_xlfn.CONCAT("CHARTER #: ",'BUDGET-CERTIFICATION'!$H$5)))</f>
        <v>CHARTER #: 971</v>
      </c>
      <c r="J2" s="1678"/>
      <c r="K2" s="1678"/>
      <c r="L2" s="1678"/>
      <c r="M2" s="1678"/>
      <c r="N2" s="1678"/>
      <c r="O2" s="205"/>
      <c r="P2" s="10"/>
      <c r="S2" s="260"/>
    </row>
    <row r="3" spans="1:25" ht="16.5" thickTop="1">
      <c r="A3" s="259"/>
      <c r="B3" s="32"/>
      <c r="C3" s="33"/>
      <c r="D3" s="33"/>
      <c r="E3" s="33"/>
      <c r="F3" s="33"/>
      <c r="G3" s="33"/>
      <c r="H3" s="34"/>
      <c r="I3" s="997"/>
      <c r="J3" s="34"/>
      <c r="K3" s="34"/>
      <c r="L3" s="34"/>
      <c r="M3" s="34"/>
      <c r="N3" s="34"/>
      <c r="O3" s="34"/>
      <c r="P3" s="34"/>
      <c r="S3" s="261"/>
    </row>
    <row r="4" spans="1:25" ht="15.75">
      <c r="A4" s="39"/>
      <c r="B4" s="35"/>
      <c r="E4" s="36"/>
      <c r="F4" s="36"/>
      <c r="G4" s="36"/>
      <c r="H4" s="36"/>
      <c r="I4" s="1679" t="str">
        <f>"Fiscal Year "&amp;K7&amp;" Budget"</f>
        <v>Fiscal Year 2021-22 Budget</v>
      </c>
      <c r="J4" s="1679"/>
      <c r="K4" s="1679"/>
      <c r="L4" s="36"/>
      <c r="M4" s="36"/>
      <c r="N4" s="36"/>
      <c r="O4" s="36"/>
      <c r="P4" s="36"/>
      <c r="R4" s="87"/>
      <c r="S4" s="262"/>
    </row>
    <row r="5" spans="1:25" ht="15.75">
      <c r="A5" s="39"/>
      <c r="B5" s="35"/>
      <c r="C5" s="35"/>
      <c r="E5" s="36"/>
      <c r="F5" s="36"/>
      <c r="G5" s="36"/>
      <c r="H5" s="36"/>
      <c r="I5" s="36"/>
      <c r="J5" s="36" t="s">
        <v>117</v>
      </c>
      <c r="K5" s="36"/>
      <c r="L5" s="36"/>
      <c r="M5" s="36"/>
      <c r="N5" s="36"/>
      <c r="O5" s="36"/>
      <c r="P5" s="36"/>
      <c r="R5" s="87"/>
      <c r="S5" s="262"/>
    </row>
    <row r="6" spans="1:25" ht="16.5" thickBot="1">
      <c r="A6" s="1655"/>
      <c r="B6" s="1656"/>
      <c r="C6" s="1656"/>
      <c r="D6" s="1656"/>
      <c r="E6" s="1656"/>
      <c r="F6" s="1656"/>
      <c r="G6" s="1656"/>
      <c r="H6" s="1656"/>
      <c r="I6" s="264"/>
      <c r="J6" s="263"/>
      <c r="K6" s="265"/>
      <c r="L6" s="265"/>
      <c r="M6" s="265"/>
      <c r="N6" s="266"/>
      <c r="O6" s="266"/>
      <c r="P6" s="266"/>
      <c r="Q6" s="175"/>
      <c r="R6" s="175"/>
      <c r="S6" s="267"/>
    </row>
    <row r="7" spans="1:25" ht="15.75" customHeight="1">
      <c r="A7" s="1669" t="str">
        <f>IF('BUDGET-CERTIFICATION'!$H$3="","Charter Authorizer: Enter Charter Authorizer on BUDGET-CERTIFICATION Worksheet",(_xlfn.CONCAT("Charter Authorizer: ",'BUDGET-CERTIFICATION'!$H$3)))</f>
        <v>Charter Authorizer: Hesperia Unified School District</v>
      </c>
      <c r="B7" s="1670"/>
      <c r="C7" s="1670"/>
      <c r="D7" s="1670"/>
      <c r="E7" s="1670"/>
      <c r="F7" s="1670"/>
      <c r="G7" s="1671"/>
      <c r="H7" s="241"/>
      <c r="I7" s="1680" t="s">
        <v>118</v>
      </c>
      <c r="J7" s="1681"/>
      <c r="K7" s="1682" t="s">
        <v>119</v>
      </c>
      <c r="L7" s="1683"/>
      <c r="M7" s="1684"/>
      <c r="N7" s="1682" t="s">
        <v>120</v>
      </c>
      <c r="O7" s="1683"/>
      <c r="P7" s="1684"/>
      <c r="Q7" s="1652" t="s">
        <v>121</v>
      </c>
      <c r="R7" s="1653"/>
      <c r="S7" s="1654"/>
    </row>
    <row r="8" spans="1:25" ht="21" thickBot="1">
      <c r="A8" s="1672"/>
      <c r="B8" s="1673"/>
      <c r="C8" s="1673"/>
      <c r="D8" s="1673"/>
      <c r="E8" s="1673"/>
      <c r="F8" s="1673"/>
      <c r="G8" s="1674"/>
      <c r="H8" s="39"/>
      <c r="I8" s="443" t="s">
        <v>122</v>
      </c>
      <c r="J8" s="444" t="s">
        <v>123</v>
      </c>
      <c r="K8" s="443" t="s">
        <v>117</v>
      </c>
      <c r="L8" s="445" t="s">
        <v>123</v>
      </c>
      <c r="M8" s="1660" t="s">
        <v>124</v>
      </c>
      <c r="N8" s="446" t="s">
        <v>117</v>
      </c>
      <c r="O8" s="445" t="s">
        <v>123</v>
      </c>
      <c r="P8" s="1660" t="s">
        <v>124</v>
      </c>
      <c r="Q8" s="443" t="s">
        <v>117</v>
      </c>
      <c r="R8" s="447" t="s">
        <v>123</v>
      </c>
      <c r="S8" s="1662" t="s">
        <v>124</v>
      </c>
    </row>
    <row r="9" spans="1:25" ht="20.25" thickBot="1">
      <c r="A9" s="420" t="s">
        <v>103</v>
      </c>
      <c r="B9" s="421"/>
      <c r="C9" s="421"/>
      <c r="D9" s="421"/>
      <c r="E9" s="422"/>
      <c r="F9" s="423"/>
      <c r="G9" s="661"/>
      <c r="H9" s="659" t="s">
        <v>125</v>
      </c>
      <c r="I9" s="232" t="s">
        <v>126</v>
      </c>
      <c r="J9" s="231"/>
      <c r="K9" s="232" t="s">
        <v>127</v>
      </c>
      <c r="L9" s="233"/>
      <c r="M9" s="1661"/>
      <c r="N9" s="234" t="s">
        <v>127</v>
      </c>
      <c r="O9" s="233"/>
      <c r="P9" s="1661"/>
      <c r="Q9" s="232" t="s">
        <v>127</v>
      </c>
      <c r="R9" s="233"/>
      <c r="S9" s="1663"/>
    </row>
    <row r="10" spans="1:25" ht="21.75" thickTop="1" thickBot="1">
      <c r="A10" s="660" t="s">
        <v>128</v>
      </c>
      <c r="B10" s="106"/>
      <c r="C10" s="106"/>
      <c r="D10" s="33"/>
      <c r="E10" s="33"/>
      <c r="F10" s="33"/>
      <c r="G10" s="1001">
        <v>1</v>
      </c>
      <c r="H10" s="622"/>
      <c r="I10" s="558"/>
      <c r="J10" s="557"/>
      <c r="K10" s="557"/>
      <c r="L10" s="557"/>
      <c r="M10" s="557"/>
      <c r="N10" s="557"/>
      <c r="O10" s="557"/>
      <c r="P10" s="557"/>
      <c r="Q10" s="557"/>
      <c r="R10" s="557"/>
      <c r="S10" s="559"/>
    </row>
    <row r="11" spans="1:25" ht="15.75">
      <c r="A11" s="41" t="s">
        <v>129</v>
      </c>
      <c r="B11" s="151"/>
      <c r="C11" s="151"/>
      <c r="D11" s="243"/>
      <c r="E11" s="243"/>
      <c r="F11" s="243"/>
      <c r="G11" s="243"/>
      <c r="H11" s="560"/>
      <c r="I11" s="438"/>
      <c r="J11" s="242"/>
      <c r="K11" s="242"/>
      <c r="L11" s="242"/>
      <c r="M11" s="242"/>
      <c r="N11" s="242"/>
      <c r="O11" s="242"/>
      <c r="P11" s="242"/>
      <c r="Q11" s="242"/>
      <c r="R11" s="242"/>
      <c r="S11" s="437"/>
    </row>
    <row r="12" spans="1:25" ht="15.75">
      <c r="A12" s="439"/>
      <c r="B12" s="246"/>
      <c r="C12" s="1667" t="s">
        <v>130</v>
      </c>
      <c r="D12" s="1667"/>
      <c r="E12" s="1667"/>
      <c r="F12" s="1667"/>
      <c r="G12" s="1668"/>
      <c r="H12" s="245" t="s">
        <v>131</v>
      </c>
      <c r="I12" s="248"/>
      <c r="J12" s="656"/>
      <c r="K12" s="249"/>
      <c r="L12" s="657"/>
      <c r="M12" s="250" t="str">
        <f t="shared" ref="M12:M23" si="0">IF(I12&lt;1," ",IF(K12&lt;1," ",(K12-I12)/I12))</f>
        <v xml:space="preserve"> </v>
      </c>
      <c r="N12" s="249"/>
      <c r="O12" s="658"/>
      <c r="P12" s="251" t="str">
        <f t="shared" ref="P12:P23" si="1">IF(K12&lt;1," ",IF(N12&lt;1," ",(N12-K12)/K12))</f>
        <v xml:space="preserve"> </v>
      </c>
      <c r="Q12" s="249"/>
      <c r="R12" s="657"/>
      <c r="S12" s="252" t="str">
        <f t="shared" ref="S12:S23" si="2">IF(N12&lt;1," ",IF(Q12&lt;1," ",(Q12-N12)/N12))</f>
        <v xml:space="preserve"> </v>
      </c>
    </row>
    <row r="13" spans="1:25" ht="15.75">
      <c r="A13" s="238"/>
      <c r="B13" s="246"/>
      <c r="C13" s="1675" t="s">
        <v>132</v>
      </c>
      <c r="D13" s="1675"/>
      <c r="E13" s="1675"/>
      <c r="F13" s="1675"/>
      <c r="G13" s="1676"/>
      <c r="H13" s="245" t="s">
        <v>133</v>
      </c>
      <c r="I13" s="248"/>
      <c r="J13" s="656"/>
      <c r="K13" s="249"/>
      <c r="L13" s="657"/>
      <c r="M13" s="250" t="str">
        <f t="shared" si="0"/>
        <v xml:space="preserve"> </v>
      </c>
      <c r="N13" s="249"/>
      <c r="O13" s="658"/>
      <c r="P13" s="251" t="str">
        <f t="shared" si="1"/>
        <v xml:space="preserve"> </v>
      </c>
      <c r="Q13" s="249"/>
      <c r="R13" s="657"/>
      <c r="S13" s="252" t="str">
        <f t="shared" si="2"/>
        <v xml:space="preserve"> </v>
      </c>
    </row>
    <row r="14" spans="1:25" ht="15.75">
      <c r="A14" s="67"/>
      <c r="B14" s="246"/>
      <c r="C14" s="1667" t="s">
        <v>134</v>
      </c>
      <c r="D14" s="1667"/>
      <c r="E14" s="1667"/>
      <c r="F14" s="1667"/>
      <c r="G14" s="1668"/>
      <c r="H14" s="245" t="s">
        <v>135</v>
      </c>
      <c r="I14" s="248"/>
      <c r="J14" s="656"/>
      <c r="K14" s="249"/>
      <c r="L14" s="657"/>
      <c r="M14" s="250" t="str">
        <f t="shared" si="0"/>
        <v xml:space="preserve"> </v>
      </c>
      <c r="N14" s="249"/>
      <c r="O14" s="658"/>
      <c r="P14" s="251" t="str">
        <f t="shared" si="1"/>
        <v xml:space="preserve"> </v>
      </c>
      <c r="Q14" s="249"/>
      <c r="R14" s="657"/>
      <c r="S14" s="252" t="str">
        <f t="shared" si="2"/>
        <v xml:space="preserve"> </v>
      </c>
    </row>
    <row r="15" spans="1:25" ht="15.75">
      <c r="A15" s="67"/>
      <c r="B15" s="246"/>
      <c r="C15" s="1675" t="s">
        <v>136</v>
      </c>
      <c r="D15" s="1675"/>
      <c r="E15" s="1675"/>
      <c r="F15" s="1675"/>
      <c r="G15" s="1676"/>
      <c r="H15" s="245" t="s">
        <v>137</v>
      </c>
      <c r="I15" s="248"/>
      <c r="J15" s="656"/>
      <c r="K15" s="249"/>
      <c r="L15" s="657"/>
      <c r="M15" s="250" t="str">
        <f t="shared" si="0"/>
        <v xml:space="preserve"> </v>
      </c>
      <c r="N15" s="249"/>
      <c r="O15" s="658"/>
      <c r="P15" s="251" t="str">
        <f t="shared" si="1"/>
        <v xml:space="preserve"> </v>
      </c>
      <c r="Q15" s="249"/>
      <c r="R15" s="657"/>
      <c r="S15" s="252" t="str">
        <f t="shared" si="2"/>
        <v xml:space="preserve"> </v>
      </c>
    </row>
    <row r="16" spans="1:25" ht="15.75">
      <c r="A16" s="67"/>
      <c r="B16" s="246"/>
      <c r="C16" s="1667" t="s">
        <v>138</v>
      </c>
      <c r="D16" s="1667"/>
      <c r="E16" s="1667"/>
      <c r="F16" s="1667"/>
      <c r="G16" s="1668"/>
      <c r="H16" s="245" t="s">
        <v>139</v>
      </c>
      <c r="I16" s="248"/>
      <c r="J16" s="656"/>
      <c r="K16" s="249"/>
      <c r="L16" s="657"/>
      <c r="M16" s="250" t="str">
        <f t="shared" si="0"/>
        <v xml:space="preserve"> </v>
      </c>
      <c r="N16" s="249"/>
      <c r="O16" s="658"/>
      <c r="P16" s="251" t="str">
        <f t="shared" si="1"/>
        <v xml:space="preserve"> </v>
      </c>
      <c r="Q16" s="249"/>
      <c r="R16" s="657"/>
      <c r="S16" s="252" t="str">
        <f t="shared" si="2"/>
        <v xml:space="preserve"> </v>
      </c>
    </row>
    <row r="17" spans="1:19" ht="15.75">
      <c r="A17" s="67"/>
      <c r="B17" s="246"/>
      <c r="C17" s="1675" t="s">
        <v>140</v>
      </c>
      <c r="D17" s="1675"/>
      <c r="E17" s="1675"/>
      <c r="F17" s="1675"/>
      <c r="G17" s="1676"/>
      <c r="H17" s="245" t="s">
        <v>141</v>
      </c>
      <c r="I17" s="248"/>
      <c r="J17" s="656"/>
      <c r="K17" s="249"/>
      <c r="L17" s="657"/>
      <c r="M17" s="250" t="str">
        <f t="shared" si="0"/>
        <v xml:space="preserve"> </v>
      </c>
      <c r="N17" s="249"/>
      <c r="O17" s="658"/>
      <c r="P17" s="251" t="str">
        <f t="shared" si="1"/>
        <v xml:space="preserve"> </v>
      </c>
      <c r="Q17" s="249"/>
      <c r="R17" s="657"/>
      <c r="S17" s="252" t="str">
        <f t="shared" si="2"/>
        <v xml:space="preserve"> </v>
      </c>
    </row>
    <row r="18" spans="1:19" ht="15.75">
      <c r="A18" s="67"/>
      <c r="B18" s="246"/>
      <c r="C18" s="1667" t="s">
        <v>142</v>
      </c>
      <c r="D18" s="1667"/>
      <c r="E18" s="1667"/>
      <c r="F18" s="1667"/>
      <c r="G18" s="1668"/>
      <c r="H18" s="245" t="s">
        <v>143</v>
      </c>
      <c r="I18" s="248"/>
      <c r="J18" s="656"/>
      <c r="K18" s="249"/>
      <c r="L18" s="657"/>
      <c r="M18" s="250" t="str">
        <f t="shared" si="0"/>
        <v xml:space="preserve"> </v>
      </c>
      <c r="N18" s="249"/>
      <c r="O18" s="658"/>
      <c r="P18" s="251" t="str">
        <f t="shared" si="1"/>
        <v xml:space="preserve"> </v>
      </c>
      <c r="Q18" s="249"/>
      <c r="R18" s="657"/>
      <c r="S18" s="252" t="str">
        <f t="shared" si="2"/>
        <v xml:space="preserve"> </v>
      </c>
    </row>
    <row r="19" spans="1:19" ht="15.75">
      <c r="A19" s="67"/>
      <c r="B19" s="246"/>
      <c r="C19" s="1675" t="s">
        <v>144</v>
      </c>
      <c r="D19" s="1675"/>
      <c r="E19" s="1675"/>
      <c r="F19" s="1675"/>
      <c r="G19" s="1676"/>
      <c r="H19" s="245" t="s">
        <v>145</v>
      </c>
      <c r="I19" s="248"/>
      <c r="J19" s="656"/>
      <c r="K19" s="249"/>
      <c r="L19" s="657"/>
      <c r="M19" s="250" t="str">
        <f t="shared" si="0"/>
        <v xml:space="preserve"> </v>
      </c>
      <c r="N19" s="249"/>
      <c r="O19" s="658"/>
      <c r="P19" s="251" t="str">
        <f t="shared" si="1"/>
        <v xml:space="preserve"> </v>
      </c>
      <c r="Q19" s="249"/>
      <c r="R19" s="657"/>
      <c r="S19" s="252" t="str">
        <f t="shared" si="2"/>
        <v xml:space="preserve"> </v>
      </c>
    </row>
    <row r="20" spans="1:19" ht="36" customHeight="1">
      <c r="A20" s="67"/>
      <c r="B20" s="1664" t="s">
        <v>146</v>
      </c>
      <c r="C20" s="1665"/>
      <c r="D20" s="1665"/>
      <c r="E20" s="1665"/>
      <c r="F20" s="1665"/>
      <c r="G20" s="1666"/>
      <c r="H20" s="245" t="s">
        <v>147</v>
      </c>
      <c r="I20" s="253">
        <f>I12+I14+I16+I18</f>
        <v>0</v>
      </c>
      <c r="J20" s="656"/>
      <c r="K20" s="253">
        <f>K12+K14+K16+K18</f>
        <v>0</v>
      </c>
      <c r="L20" s="657"/>
      <c r="M20" s="251" t="str">
        <f t="shared" si="0"/>
        <v xml:space="preserve"> </v>
      </c>
      <c r="N20" s="253">
        <f>N12+N14+N16+N18</f>
        <v>0</v>
      </c>
      <c r="O20" s="658"/>
      <c r="P20" s="251" t="str">
        <f t="shared" si="1"/>
        <v xml:space="preserve"> </v>
      </c>
      <c r="Q20" s="253">
        <f>Q12+Q14+Q16+Q18</f>
        <v>0</v>
      </c>
      <c r="R20" s="657"/>
      <c r="S20" s="434" t="str">
        <f t="shared" si="2"/>
        <v xml:space="preserve"> </v>
      </c>
    </row>
    <row r="21" spans="1:19" ht="15.75">
      <c r="A21" s="67"/>
      <c r="B21" s="1664" t="s">
        <v>148</v>
      </c>
      <c r="C21" s="1665"/>
      <c r="D21" s="1665"/>
      <c r="E21" s="1665"/>
      <c r="F21" s="1665"/>
      <c r="G21" s="1666"/>
      <c r="H21" s="245" t="s">
        <v>149</v>
      </c>
      <c r="I21" s="253">
        <f>I13+I15+I17+I19</f>
        <v>0</v>
      </c>
      <c r="J21" s="254">
        <f>I21</f>
        <v>0</v>
      </c>
      <c r="K21" s="253">
        <f>K13+K15+K17+K19</f>
        <v>0</v>
      </c>
      <c r="L21" s="556">
        <f>K21</f>
        <v>0</v>
      </c>
      <c r="M21" s="251" t="str">
        <f t="shared" si="0"/>
        <v xml:space="preserve"> </v>
      </c>
      <c r="N21" s="253">
        <f>N13+N15+N17+N19</f>
        <v>0</v>
      </c>
      <c r="O21" s="556">
        <f>N21</f>
        <v>0</v>
      </c>
      <c r="P21" s="251" t="str">
        <f t="shared" si="1"/>
        <v xml:space="preserve"> </v>
      </c>
      <c r="Q21" s="253">
        <f>Q13+Q15+Q17+Q19</f>
        <v>0</v>
      </c>
      <c r="R21" s="442">
        <f>Q21</f>
        <v>0</v>
      </c>
      <c r="S21" s="434" t="str">
        <f t="shared" si="2"/>
        <v xml:space="preserve"> </v>
      </c>
    </row>
    <row r="22" spans="1:19" ht="33.75" customHeight="1">
      <c r="A22" s="67"/>
      <c r="B22" s="1664" t="s">
        <v>150</v>
      </c>
      <c r="C22" s="1665"/>
      <c r="D22" s="1665"/>
      <c r="E22" s="1665"/>
      <c r="F22" s="1665"/>
      <c r="G22" s="1666"/>
      <c r="H22" s="245" t="s">
        <v>151</v>
      </c>
      <c r="I22" s="253">
        <f>I20-I21</f>
        <v>0</v>
      </c>
      <c r="J22" s="254">
        <f>IF($G$10="","Cell G10 CANNOT be blank",I22*$G$10)</f>
        <v>0</v>
      </c>
      <c r="K22" s="253">
        <f>K20-K21</f>
        <v>0</v>
      </c>
      <c r="L22" s="556">
        <f>IF($G$10="","Cell G10 CANNOT be blank",K22*$G$10)</f>
        <v>0</v>
      </c>
      <c r="M22" s="251" t="str">
        <f t="shared" si="0"/>
        <v xml:space="preserve"> </v>
      </c>
      <c r="N22" s="253">
        <f>N20-N21</f>
        <v>0</v>
      </c>
      <c r="O22" s="556">
        <f>IF($G$10="","Cell G10 CANNOT be blank",N22*$G$10)</f>
        <v>0</v>
      </c>
      <c r="P22" s="251" t="str">
        <f t="shared" si="1"/>
        <v xml:space="preserve"> </v>
      </c>
      <c r="Q22" s="253">
        <f>Q20-Q21</f>
        <v>0</v>
      </c>
      <c r="R22" s="556">
        <f>IF($G$10="","Cell G10 CANNOT be blank",Q22*$G$10)</f>
        <v>0</v>
      </c>
      <c r="S22" s="256" t="str">
        <f t="shared" si="2"/>
        <v xml:space="preserve"> </v>
      </c>
    </row>
    <row r="23" spans="1:19" ht="30" customHeight="1">
      <c r="A23" s="67"/>
      <c r="B23" s="1657" t="s">
        <v>152</v>
      </c>
      <c r="C23" s="1658"/>
      <c r="D23" s="1658"/>
      <c r="E23" s="1658"/>
      <c r="F23" s="1658"/>
      <c r="G23" s="1659"/>
      <c r="H23" s="245" t="s">
        <v>153</v>
      </c>
      <c r="I23" s="248"/>
      <c r="J23" s="656"/>
      <c r="K23" s="249"/>
      <c r="L23" s="657"/>
      <c r="M23" s="250" t="str">
        <f t="shared" si="0"/>
        <v xml:space="preserve"> </v>
      </c>
      <c r="N23" s="249"/>
      <c r="O23" s="658"/>
      <c r="P23" s="251" t="str">
        <f t="shared" si="1"/>
        <v xml:space="preserve"> </v>
      </c>
      <c r="Q23" s="249"/>
      <c r="R23" s="657"/>
      <c r="S23" s="252" t="str">
        <f t="shared" si="2"/>
        <v xml:space="preserve"> </v>
      </c>
    </row>
    <row r="24" spans="1:19" ht="15.75">
      <c r="A24" s="67"/>
      <c r="B24" s="106"/>
      <c r="C24" s="33"/>
      <c r="D24" s="33"/>
      <c r="E24" s="33"/>
      <c r="F24" s="33"/>
      <c r="G24" s="33"/>
      <c r="H24" s="561"/>
      <c r="I24" s="562"/>
      <c r="J24" s="563"/>
      <c r="K24" s="562"/>
      <c r="L24" s="563"/>
      <c r="M24" s="563"/>
      <c r="N24" s="562"/>
      <c r="O24" s="563"/>
      <c r="P24" s="563"/>
      <c r="Q24" s="562"/>
      <c r="R24" s="563"/>
      <c r="S24" s="564"/>
    </row>
    <row r="25" spans="1:19" ht="15.75">
      <c r="A25" s="41" t="s">
        <v>154</v>
      </c>
      <c r="B25" s="151"/>
      <c r="C25" s="151"/>
      <c r="D25" s="243"/>
      <c r="E25" s="243"/>
      <c r="F25" s="243"/>
      <c r="G25" s="243"/>
      <c r="H25" s="560"/>
      <c r="I25" s="438"/>
      <c r="J25" s="242"/>
      <c r="K25" s="242"/>
      <c r="L25" s="242"/>
      <c r="M25" s="242"/>
      <c r="N25" s="242"/>
      <c r="O25" s="242"/>
      <c r="P25" s="242"/>
      <c r="Q25" s="242"/>
      <c r="R25" s="242"/>
      <c r="S25" s="437"/>
    </row>
    <row r="26" spans="1:19" ht="15.75">
      <c r="A26" s="67"/>
      <c r="B26" s="246"/>
      <c r="C26" s="1667" t="s">
        <v>130</v>
      </c>
      <c r="D26" s="1667"/>
      <c r="E26" s="1667"/>
      <c r="F26" s="1667"/>
      <c r="G26" s="1668"/>
      <c r="H26" s="245" t="s">
        <v>131</v>
      </c>
      <c r="I26" s="248"/>
      <c r="J26" s="656"/>
      <c r="K26" s="249"/>
      <c r="L26" s="657"/>
      <c r="M26" s="250" t="str">
        <f t="shared" ref="M26:M36" si="3">IF(I26&lt;1," ",IF(K26&lt;1," ",(K26-I26)/I26))</f>
        <v xml:space="preserve"> </v>
      </c>
      <c r="N26" s="249"/>
      <c r="O26" s="658"/>
      <c r="P26" s="251" t="str">
        <f t="shared" ref="P26:P36" si="4">IF(K26&lt;1," ",IF(N26&lt;1," ",(N26-K26)/K26))</f>
        <v xml:space="preserve"> </v>
      </c>
      <c r="Q26" s="249"/>
      <c r="R26" s="657"/>
      <c r="S26" s="252" t="str">
        <f t="shared" ref="S26:S36" si="5">IF(N26&lt;1," ",IF(Q26&lt;1," ",(Q26-N26)/N26))</f>
        <v xml:space="preserve"> </v>
      </c>
    </row>
    <row r="27" spans="1:19" ht="15.75">
      <c r="A27" s="67"/>
      <c r="B27" s="246"/>
      <c r="C27" s="1675" t="s">
        <v>132</v>
      </c>
      <c r="D27" s="1675"/>
      <c r="E27" s="1675"/>
      <c r="F27" s="1675"/>
      <c r="G27" s="1676"/>
      <c r="H27" s="245" t="s">
        <v>133</v>
      </c>
      <c r="I27" s="248"/>
      <c r="J27" s="656"/>
      <c r="K27" s="249"/>
      <c r="L27" s="657"/>
      <c r="M27" s="250" t="str">
        <f t="shared" si="3"/>
        <v xml:space="preserve"> </v>
      </c>
      <c r="N27" s="249"/>
      <c r="O27" s="658"/>
      <c r="P27" s="251" t="str">
        <f t="shared" si="4"/>
        <v xml:space="preserve"> </v>
      </c>
      <c r="Q27" s="249"/>
      <c r="R27" s="657"/>
      <c r="S27" s="252" t="str">
        <f t="shared" si="5"/>
        <v xml:space="preserve"> </v>
      </c>
    </row>
    <row r="28" spans="1:19" ht="15.75">
      <c r="A28" s="67"/>
      <c r="B28" s="246"/>
      <c r="C28" s="1667" t="s">
        <v>134</v>
      </c>
      <c r="D28" s="1667"/>
      <c r="E28" s="1667"/>
      <c r="F28" s="1667"/>
      <c r="G28" s="1668"/>
      <c r="H28" s="245" t="s">
        <v>135</v>
      </c>
      <c r="I28" s="248"/>
      <c r="J28" s="656"/>
      <c r="K28" s="249"/>
      <c r="L28" s="657"/>
      <c r="M28" s="250" t="str">
        <f t="shared" si="3"/>
        <v xml:space="preserve"> </v>
      </c>
      <c r="N28" s="249"/>
      <c r="O28" s="658"/>
      <c r="P28" s="251" t="str">
        <f t="shared" si="4"/>
        <v xml:space="preserve"> </v>
      </c>
      <c r="Q28" s="249"/>
      <c r="R28" s="657"/>
      <c r="S28" s="252" t="str">
        <f t="shared" si="5"/>
        <v xml:space="preserve"> </v>
      </c>
    </row>
    <row r="29" spans="1:19" ht="15.75">
      <c r="A29" s="67"/>
      <c r="B29" s="246"/>
      <c r="C29" s="1675" t="s">
        <v>136</v>
      </c>
      <c r="D29" s="1675"/>
      <c r="E29" s="1675"/>
      <c r="F29" s="1675"/>
      <c r="G29" s="1676"/>
      <c r="H29" s="245" t="s">
        <v>137</v>
      </c>
      <c r="I29" s="248"/>
      <c r="J29" s="656"/>
      <c r="K29" s="249"/>
      <c r="L29" s="657"/>
      <c r="M29" s="250" t="str">
        <f t="shared" si="3"/>
        <v xml:space="preserve"> </v>
      </c>
      <c r="N29" s="249"/>
      <c r="O29" s="658"/>
      <c r="P29" s="251" t="str">
        <f t="shared" si="4"/>
        <v xml:space="preserve"> </v>
      </c>
      <c r="Q29" s="249"/>
      <c r="R29" s="657"/>
      <c r="S29" s="252" t="str">
        <f t="shared" si="5"/>
        <v xml:space="preserve"> </v>
      </c>
    </row>
    <row r="30" spans="1:19" ht="15.75">
      <c r="A30" s="67"/>
      <c r="B30" s="246"/>
      <c r="C30" s="1667" t="s">
        <v>138</v>
      </c>
      <c r="D30" s="1667"/>
      <c r="E30" s="1667"/>
      <c r="F30" s="1667"/>
      <c r="G30" s="1668"/>
      <c r="H30" s="245" t="s">
        <v>139</v>
      </c>
      <c r="I30" s="248"/>
      <c r="J30" s="656"/>
      <c r="K30" s="249"/>
      <c r="L30" s="657"/>
      <c r="M30" s="250" t="str">
        <f t="shared" si="3"/>
        <v xml:space="preserve"> </v>
      </c>
      <c r="N30" s="249"/>
      <c r="O30" s="658"/>
      <c r="P30" s="251" t="str">
        <f t="shared" si="4"/>
        <v xml:space="preserve"> </v>
      </c>
      <c r="Q30" s="249"/>
      <c r="R30" s="657"/>
      <c r="S30" s="252" t="str">
        <f t="shared" si="5"/>
        <v xml:space="preserve"> </v>
      </c>
    </row>
    <row r="31" spans="1:19" ht="15.75">
      <c r="A31" s="67"/>
      <c r="B31" s="246"/>
      <c r="C31" s="1675" t="s">
        <v>140</v>
      </c>
      <c r="D31" s="1675"/>
      <c r="E31" s="1675"/>
      <c r="F31" s="1675"/>
      <c r="G31" s="1676"/>
      <c r="H31" s="245" t="s">
        <v>141</v>
      </c>
      <c r="I31" s="248"/>
      <c r="J31" s="656"/>
      <c r="K31" s="249"/>
      <c r="L31" s="657"/>
      <c r="M31" s="250" t="str">
        <f t="shared" si="3"/>
        <v xml:space="preserve"> </v>
      </c>
      <c r="N31" s="249"/>
      <c r="O31" s="658"/>
      <c r="P31" s="251" t="str">
        <f t="shared" si="4"/>
        <v xml:space="preserve"> </v>
      </c>
      <c r="Q31" s="249"/>
      <c r="R31" s="657"/>
      <c r="S31" s="252" t="str">
        <f t="shared" si="5"/>
        <v xml:space="preserve"> </v>
      </c>
    </row>
    <row r="32" spans="1:19" ht="15.75">
      <c r="A32" s="67"/>
      <c r="B32" s="246"/>
      <c r="C32" s="1667" t="s">
        <v>142</v>
      </c>
      <c r="D32" s="1667"/>
      <c r="E32" s="1667"/>
      <c r="F32" s="1667"/>
      <c r="G32" s="1668"/>
      <c r="H32" s="245" t="s">
        <v>143</v>
      </c>
      <c r="I32" s="248"/>
      <c r="J32" s="656"/>
      <c r="K32" s="249"/>
      <c r="L32" s="657"/>
      <c r="M32" s="250" t="str">
        <f t="shared" si="3"/>
        <v xml:space="preserve"> </v>
      </c>
      <c r="N32" s="249"/>
      <c r="O32" s="658"/>
      <c r="P32" s="251" t="str">
        <f t="shared" si="4"/>
        <v xml:space="preserve"> </v>
      </c>
      <c r="Q32" s="249"/>
      <c r="R32" s="657"/>
      <c r="S32" s="252" t="str">
        <f t="shared" si="5"/>
        <v xml:space="preserve"> </v>
      </c>
    </row>
    <row r="33" spans="1:19" ht="15.75">
      <c r="A33" s="67"/>
      <c r="B33" s="246"/>
      <c r="C33" s="1675" t="s">
        <v>144</v>
      </c>
      <c r="D33" s="1675"/>
      <c r="E33" s="1675"/>
      <c r="F33" s="1675"/>
      <c r="G33" s="1676"/>
      <c r="H33" s="245" t="s">
        <v>145</v>
      </c>
      <c r="I33" s="248"/>
      <c r="J33" s="656"/>
      <c r="K33" s="249"/>
      <c r="L33" s="657"/>
      <c r="M33" s="250" t="str">
        <f t="shared" si="3"/>
        <v xml:space="preserve"> </v>
      </c>
      <c r="N33" s="249"/>
      <c r="O33" s="658"/>
      <c r="P33" s="251" t="str">
        <f t="shared" si="4"/>
        <v xml:space="preserve"> </v>
      </c>
      <c r="Q33" s="249"/>
      <c r="R33" s="657"/>
      <c r="S33" s="252" t="str">
        <f t="shared" si="5"/>
        <v xml:space="preserve"> </v>
      </c>
    </row>
    <row r="34" spans="1:19" ht="33" customHeight="1">
      <c r="A34" s="67"/>
      <c r="B34" s="1664" t="s">
        <v>146</v>
      </c>
      <c r="C34" s="1665"/>
      <c r="D34" s="1665"/>
      <c r="E34" s="1665"/>
      <c r="F34" s="1665"/>
      <c r="G34" s="1666"/>
      <c r="H34" s="245" t="s">
        <v>147</v>
      </c>
      <c r="I34" s="253">
        <f>I26+I28+I30+I32</f>
        <v>0</v>
      </c>
      <c r="J34" s="656"/>
      <c r="K34" s="253">
        <f>K26+K28+K30+K32</f>
        <v>0</v>
      </c>
      <c r="L34" s="657"/>
      <c r="M34" s="251" t="str">
        <f t="shared" si="3"/>
        <v xml:space="preserve"> </v>
      </c>
      <c r="N34" s="253">
        <f>N26+N28+N30+N32</f>
        <v>0</v>
      </c>
      <c r="O34" s="657"/>
      <c r="P34" s="441" t="str">
        <f t="shared" si="4"/>
        <v xml:space="preserve"> </v>
      </c>
      <c r="Q34" s="253">
        <f>Q26+Q28+Q30+Q32</f>
        <v>0</v>
      </c>
      <c r="R34" s="657"/>
      <c r="S34" s="252" t="str">
        <f t="shared" si="5"/>
        <v xml:space="preserve"> </v>
      </c>
    </row>
    <row r="35" spans="1:19" ht="15.75">
      <c r="A35" s="67"/>
      <c r="B35" s="1664" t="s">
        <v>148</v>
      </c>
      <c r="C35" s="1665"/>
      <c r="D35" s="1665"/>
      <c r="E35" s="1665"/>
      <c r="F35" s="1665"/>
      <c r="G35" s="1666"/>
      <c r="H35" s="245" t="s">
        <v>149</v>
      </c>
      <c r="I35" s="253">
        <f>I27+I29+I31+I33</f>
        <v>0</v>
      </c>
      <c r="J35" s="254">
        <f>I35</f>
        <v>0</v>
      </c>
      <c r="K35" s="253">
        <f>K27+K29+K31+K33</f>
        <v>0</v>
      </c>
      <c r="L35" s="442">
        <f>K35</f>
        <v>0</v>
      </c>
      <c r="M35" s="251" t="str">
        <f t="shared" si="3"/>
        <v xml:space="preserve"> </v>
      </c>
      <c r="N35" s="253">
        <f>N27+N29+N31+N33</f>
        <v>0</v>
      </c>
      <c r="O35" s="442">
        <f>N35</f>
        <v>0</v>
      </c>
      <c r="P35" s="441" t="str">
        <f t="shared" si="4"/>
        <v xml:space="preserve"> </v>
      </c>
      <c r="Q35" s="253">
        <f>Q27+Q29+Q31+Q33</f>
        <v>0</v>
      </c>
      <c r="R35" s="442">
        <f>Q35</f>
        <v>0</v>
      </c>
      <c r="S35" s="252" t="str">
        <f t="shared" si="5"/>
        <v xml:space="preserve"> </v>
      </c>
    </row>
    <row r="36" spans="1:19" ht="32.25" customHeight="1">
      <c r="A36" s="67"/>
      <c r="B36" s="1664" t="s">
        <v>150</v>
      </c>
      <c r="C36" s="1665"/>
      <c r="D36" s="1665"/>
      <c r="E36" s="1665"/>
      <c r="F36" s="1665"/>
      <c r="G36" s="1666"/>
      <c r="H36" s="245" t="s">
        <v>151</v>
      </c>
      <c r="I36" s="253">
        <f>I34-I35</f>
        <v>0</v>
      </c>
      <c r="J36" s="254">
        <f>IF($G$10="","Cell G10 CANNOT be blank",I36*$G$10)</f>
        <v>0</v>
      </c>
      <c r="K36" s="253">
        <f>K34-K35</f>
        <v>0</v>
      </c>
      <c r="L36" s="442">
        <f>IF($G$10="","Cell G10 CANNOT be blank",K36*$G$10)</f>
        <v>0</v>
      </c>
      <c r="M36" s="251" t="str">
        <f t="shared" si="3"/>
        <v xml:space="preserve"> </v>
      </c>
      <c r="N36" s="253">
        <f>N34-N35</f>
        <v>0</v>
      </c>
      <c r="O36" s="442">
        <f>IF($G$10="","Cell G10 CANNOT be blank",N36*$G$10)</f>
        <v>0</v>
      </c>
      <c r="P36" s="441" t="str">
        <f t="shared" si="4"/>
        <v xml:space="preserve"> </v>
      </c>
      <c r="Q36" s="253">
        <f>Q34-Q35</f>
        <v>0</v>
      </c>
      <c r="R36" s="442">
        <f>IF($G$10="","Cell G10 CANNOT be blank",Q36*$G$10)</f>
        <v>0</v>
      </c>
      <c r="S36" s="1008" t="str">
        <f t="shared" si="5"/>
        <v xml:space="preserve"> </v>
      </c>
    </row>
    <row r="37" spans="1:19" ht="15.75">
      <c r="A37" s="67"/>
      <c r="B37" s="106"/>
      <c r="C37" s="33"/>
      <c r="D37" s="33"/>
      <c r="E37" s="33"/>
      <c r="F37" s="33"/>
      <c r="G37" s="33"/>
      <c r="H37" s="561"/>
      <c r="I37" s="562"/>
      <c r="J37" s="563"/>
      <c r="K37" s="562"/>
      <c r="L37" s="563"/>
      <c r="M37" s="563"/>
      <c r="N37" s="562"/>
      <c r="O37" s="563"/>
      <c r="P37" s="563"/>
      <c r="Q37" s="562"/>
      <c r="R37" s="563"/>
      <c r="S37" s="564"/>
    </row>
    <row r="38" spans="1:19" ht="15.75">
      <c r="A38" s="41" t="s">
        <v>155</v>
      </c>
      <c r="B38" s="151"/>
      <c r="C38" s="151"/>
      <c r="D38" s="243"/>
      <c r="E38" s="243"/>
      <c r="F38" s="243"/>
      <c r="G38" s="243"/>
      <c r="H38" s="560"/>
      <c r="I38" s="438"/>
      <c r="J38" s="242"/>
      <c r="K38" s="242"/>
      <c r="L38" s="242"/>
      <c r="M38" s="242"/>
      <c r="N38" s="242"/>
      <c r="O38" s="242"/>
      <c r="P38" s="242"/>
      <c r="Q38" s="242"/>
      <c r="R38" s="242"/>
      <c r="S38" s="437"/>
    </row>
    <row r="39" spans="1:19" ht="15.75">
      <c r="A39" s="40"/>
      <c r="B39" s="246"/>
      <c r="C39" s="1667" t="s">
        <v>130</v>
      </c>
      <c r="D39" s="1667"/>
      <c r="E39" s="1667"/>
      <c r="F39" s="1667"/>
      <c r="G39" s="1668"/>
      <c r="H39" s="245" t="s">
        <v>131</v>
      </c>
      <c r="I39" s="248">
        <v>342.1</v>
      </c>
      <c r="J39" s="656"/>
      <c r="K39" s="249">
        <v>260.39999999999998</v>
      </c>
      <c r="L39" s="657"/>
      <c r="M39" s="250">
        <f t="shared" ref="M39:M49" si="6">IF(I39&lt;1," ",IF(K39&lt;1," ",(K39-I39)/I39))</f>
        <v>-0.23881905875475018</v>
      </c>
      <c r="N39" s="249">
        <v>260.39999999999998</v>
      </c>
      <c r="O39" s="658"/>
      <c r="P39" s="251">
        <f t="shared" ref="P39:P49" si="7">IF(K39&lt;1," ",IF(N39&lt;1," ",(N39-K39)/K39))</f>
        <v>0</v>
      </c>
      <c r="Q39" s="249">
        <v>260.39999999999998</v>
      </c>
      <c r="R39" s="657"/>
      <c r="S39" s="252">
        <f t="shared" ref="S39:S49" si="8">IF(N39&lt;1," ",IF(Q39&lt;1," ",(Q39-N39)/N39))</f>
        <v>0</v>
      </c>
    </row>
    <row r="40" spans="1:19" ht="15.75">
      <c r="A40" s="40"/>
      <c r="B40" s="246"/>
      <c r="C40" s="1675" t="s">
        <v>132</v>
      </c>
      <c r="D40" s="1675"/>
      <c r="E40" s="1675"/>
      <c r="F40" s="1675"/>
      <c r="G40" s="1676"/>
      <c r="H40" s="245" t="s">
        <v>133</v>
      </c>
      <c r="I40" s="248"/>
      <c r="J40" s="656"/>
      <c r="K40" s="249"/>
      <c r="L40" s="657"/>
      <c r="M40" s="250" t="str">
        <f t="shared" si="6"/>
        <v xml:space="preserve"> </v>
      </c>
      <c r="N40" s="249"/>
      <c r="O40" s="658"/>
      <c r="P40" s="251" t="str">
        <f t="shared" si="7"/>
        <v xml:space="preserve"> </v>
      </c>
      <c r="Q40" s="249"/>
      <c r="R40" s="657"/>
      <c r="S40" s="252" t="str">
        <f t="shared" si="8"/>
        <v xml:space="preserve"> </v>
      </c>
    </row>
    <row r="41" spans="1:19" ht="15.75">
      <c r="A41" s="40"/>
      <c r="B41" s="246"/>
      <c r="C41" s="1667" t="s">
        <v>134</v>
      </c>
      <c r="D41" s="1667"/>
      <c r="E41" s="1667"/>
      <c r="F41" s="1667"/>
      <c r="G41" s="1668"/>
      <c r="H41" s="245" t="s">
        <v>135</v>
      </c>
      <c r="I41" s="248"/>
      <c r="J41" s="656"/>
      <c r="K41" s="249"/>
      <c r="L41" s="657"/>
      <c r="M41" s="250" t="str">
        <f t="shared" si="6"/>
        <v xml:space="preserve"> </v>
      </c>
      <c r="N41" s="249"/>
      <c r="O41" s="658"/>
      <c r="P41" s="251" t="str">
        <f t="shared" si="7"/>
        <v xml:space="preserve"> </v>
      </c>
      <c r="Q41" s="249"/>
      <c r="R41" s="657"/>
      <c r="S41" s="252" t="str">
        <f t="shared" si="8"/>
        <v xml:space="preserve"> </v>
      </c>
    </row>
    <row r="42" spans="1:19" ht="15.75">
      <c r="A42" s="40"/>
      <c r="B42" s="246"/>
      <c r="C42" s="1675" t="s">
        <v>136</v>
      </c>
      <c r="D42" s="1675"/>
      <c r="E42" s="1675"/>
      <c r="F42" s="1675"/>
      <c r="G42" s="1676"/>
      <c r="H42" s="245" t="s">
        <v>137</v>
      </c>
      <c r="I42" s="248"/>
      <c r="J42" s="656"/>
      <c r="K42" s="249"/>
      <c r="L42" s="657"/>
      <c r="M42" s="250" t="str">
        <f t="shared" si="6"/>
        <v xml:space="preserve"> </v>
      </c>
      <c r="N42" s="249"/>
      <c r="O42" s="658"/>
      <c r="P42" s="251" t="str">
        <f t="shared" si="7"/>
        <v xml:space="preserve"> </v>
      </c>
      <c r="Q42" s="249"/>
      <c r="R42" s="657"/>
      <c r="S42" s="252" t="str">
        <f t="shared" si="8"/>
        <v xml:space="preserve"> </v>
      </c>
    </row>
    <row r="43" spans="1:19" ht="15.75">
      <c r="A43" s="40"/>
      <c r="B43" s="246"/>
      <c r="C43" s="1667" t="s">
        <v>138</v>
      </c>
      <c r="D43" s="1667"/>
      <c r="E43" s="1667"/>
      <c r="F43" s="1667"/>
      <c r="G43" s="1668"/>
      <c r="H43" s="245" t="s">
        <v>139</v>
      </c>
      <c r="I43" s="248"/>
      <c r="J43" s="656"/>
      <c r="K43" s="249"/>
      <c r="L43" s="657"/>
      <c r="M43" s="250" t="str">
        <f t="shared" si="6"/>
        <v xml:space="preserve"> </v>
      </c>
      <c r="N43" s="249"/>
      <c r="O43" s="658"/>
      <c r="P43" s="251" t="str">
        <f t="shared" si="7"/>
        <v xml:space="preserve"> </v>
      </c>
      <c r="Q43" s="249"/>
      <c r="R43" s="657"/>
      <c r="S43" s="252" t="str">
        <f t="shared" si="8"/>
        <v xml:space="preserve"> </v>
      </c>
    </row>
    <row r="44" spans="1:19" ht="15.75">
      <c r="A44" s="40"/>
      <c r="B44" s="246"/>
      <c r="C44" s="1675" t="s">
        <v>140</v>
      </c>
      <c r="D44" s="1675"/>
      <c r="E44" s="1675"/>
      <c r="F44" s="1675"/>
      <c r="G44" s="1676"/>
      <c r="H44" s="245" t="s">
        <v>141</v>
      </c>
      <c r="I44" s="248"/>
      <c r="J44" s="656"/>
      <c r="K44" s="249"/>
      <c r="L44" s="657"/>
      <c r="M44" s="250" t="str">
        <f t="shared" si="6"/>
        <v xml:space="preserve"> </v>
      </c>
      <c r="N44" s="249"/>
      <c r="O44" s="658"/>
      <c r="P44" s="251" t="str">
        <f t="shared" si="7"/>
        <v xml:space="preserve"> </v>
      </c>
      <c r="Q44" s="249"/>
      <c r="R44" s="657"/>
      <c r="S44" s="252" t="str">
        <f t="shared" si="8"/>
        <v xml:space="preserve"> </v>
      </c>
    </row>
    <row r="45" spans="1:19" ht="15.75">
      <c r="A45" s="40"/>
      <c r="B45" s="246"/>
      <c r="C45" s="1667" t="s">
        <v>142</v>
      </c>
      <c r="D45" s="1667"/>
      <c r="E45" s="1667"/>
      <c r="F45" s="1667"/>
      <c r="G45" s="1668"/>
      <c r="H45" s="245" t="s">
        <v>143</v>
      </c>
      <c r="I45" s="248"/>
      <c r="J45" s="656"/>
      <c r="K45" s="249"/>
      <c r="L45" s="657"/>
      <c r="M45" s="250" t="str">
        <f t="shared" si="6"/>
        <v xml:space="preserve"> </v>
      </c>
      <c r="N45" s="249"/>
      <c r="O45" s="658"/>
      <c r="P45" s="251" t="str">
        <f t="shared" si="7"/>
        <v xml:space="preserve"> </v>
      </c>
      <c r="Q45" s="249"/>
      <c r="R45" s="657"/>
      <c r="S45" s="252" t="str">
        <f t="shared" si="8"/>
        <v xml:space="preserve"> </v>
      </c>
    </row>
    <row r="46" spans="1:19" ht="15.75">
      <c r="A46" s="40"/>
      <c r="B46" s="246"/>
      <c r="C46" s="1675" t="s">
        <v>144</v>
      </c>
      <c r="D46" s="1675"/>
      <c r="E46" s="1675"/>
      <c r="F46" s="1675"/>
      <c r="G46" s="1676"/>
      <c r="H46" s="245" t="s">
        <v>145</v>
      </c>
      <c r="I46" s="248"/>
      <c r="J46" s="656"/>
      <c r="K46" s="249"/>
      <c r="L46" s="657"/>
      <c r="M46" s="250" t="str">
        <f t="shared" si="6"/>
        <v xml:space="preserve"> </v>
      </c>
      <c r="N46" s="249"/>
      <c r="O46" s="658"/>
      <c r="P46" s="251" t="str">
        <f t="shared" si="7"/>
        <v xml:space="preserve"> </v>
      </c>
      <c r="Q46" s="249"/>
      <c r="R46" s="657"/>
      <c r="S46" s="252" t="str">
        <f t="shared" si="8"/>
        <v xml:space="preserve"> </v>
      </c>
    </row>
    <row r="47" spans="1:19" ht="33" customHeight="1">
      <c r="A47" s="67"/>
      <c r="B47" s="1664" t="s">
        <v>146</v>
      </c>
      <c r="C47" s="1665"/>
      <c r="D47" s="1665"/>
      <c r="E47" s="1665"/>
      <c r="F47" s="1665"/>
      <c r="G47" s="1666"/>
      <c r="H47" s="245" t="s">
        <v>147</v>
      </c>
      <c r="I47" s="253">
        <f>I39+I41+I43+I45</f>
        <v>342.1</v>
      </c>
      <c r="J47" s="656"/>
      <c r="K47" s="253">
        <f>K39+K41+K43+K45</f>
        <v>260.39999999999998</v>
      </c>
      <c r="L47" s="657"/>
      <c r="M47" s="251">
        <f t="shared" si="6"/>
        <v>-0.23881905875475018</v>
      </c>
      <c r="N47" s="253">
        <f>N39+N41+N43+N45</f>
        <v>260.39999999999998</v>
      </c>
      <c r="O47" s="657"/>
      <c r="P47" s="441">
        <f t="shared" si="7"/>
        <v>0</v>
      </c>
      <c r="Q47" s="253">
        <f>Q39+Q41+Q43+Q45</f>
        <v>260.39999999999998</v>
      </c>
      <c r="R47" s="657"/>
      <c r="S47" s="252">
        <f t="shared" si="8"/>
        <v>0</v>
      </c>
    </row>
    <row r="48" spans="1:19" ht="15.75">
      <c r="A48" s="67"/>
      <c r="B48" s="1664" t="s">
        <v>148</v>
      </c>
      <c r="C48" s="1665"/>
      <c r="D48" s="1665"/>
      <c r="E48" s="1665"/>
      <c r="F48" s="1665"/>
      <c r="G48" s="1666"/>
      <c r="H48" s="245" t="s">
        <v>149</v>
      </c>
      <c r="I48" s="253">
        <f>I40+I42+I44+I46</f>
        <v>0</v>
      </c>
      <c r="J48" s="254">
        <f>I48</f>
        <v>0</v>
      </c>
      <c r="K48" s="253">
        <f>K40+K42+K44+K46</f>
        <v>0</v>
      </c>
      <c r="L48" s="442">
        <f>K48</f>
        <v>0</v>
      </c>
      <c r="M48" s="251" t="str">
        <f t="shared" si="6"/>
        <v xml:space="preserve"> </v>
      </c>
      <c r="N48" s="253">
        <f>N40+N42+N44+N46</f>
        <v>0</v>
      </c>
      <c r="O48" s="442">
        <f>N48</f>
        <v>0</v>
      </c>
      <c r="P48" s="441" t="str">
        <f t="shared" si="7"/>
        <v xml:space="preserve"> </v>
      </c>
      <c r="Q48" s="253">
        <f>Q40+Q42+Q44+Q46</f>
        <v>0</v>
      </c>
      <c r="R48" s="442">
        <f>Q48</f>
        <v>0</v>
      </c>
      <c r="S48" s="252" t="str">
        <f t="shared" si="8"/>
        <v xml:space="preserve"> </v>
      </c>
    </row>
    <row r="49" spans="1:19" ht="30.75" customHeight="1">
      <c r="A49" s="67"/>
      <c r="B49" s="1664" t="s">
        <v>150</v>
      </c>
      <c r="C49" s="1665"/>
      <c r="D49" s="1665"/>
      <c r="E49" s="1665"/>
      <c r="F49" s="1665"/>
      <c r="G49" s="1666"/>
      <c r="H49" s="245" t="s">
        <v>151</v>
      </c>
      <c r="I49" s="253">
        <f>I47-I48</f>
        <v>342.1</v>
      </c>
      <c r="J49" s="254">
        <f>IF($G$10="","Cell G10 CANNOT be blank",I49*$G$10)</f>
        <v>342.1</v>
      </c>
      <c r="K49" s="253">
        <f>K47-K48</f>
        <v>260.39999999999998</v>
      </c>
      <c r="L49" s="442">
        <f>IF($G$10="","Cell G10 CANNOT be blank",K49*$G$10)</f>
        <v>260.39999999999998</v>
      </c>
      <c r="M49" s="251">
        <f t="shared" si="6"/>
        <v>-0.23881905875475018</v>
      </c>
      <c r="N49" s="253">
        <f>N47-N48</f>
        <v>260.39999999999998</v>
      </c>
      <c r="O49" s="442">
        <f>IF($G$10="","Cell G10 CANNOT be blank",N49*$G$10)</f>
        <v>260.39999999999998</v>
      </c>
      <c r="P49" s="441">
        <f t="shared" si="7"/>
        <v>0</v>
      </c>
      <c r="Q49" s="253">
        <f>Q47-Q48</f>
        <v>260.39999999999998</v>
      </c>
      <c r="R49" s="442">
        <f>IF($G$10="","Cell G10 CANNOT be blank",Q49*$G$10)</f>
        <v>260.39999999999998</v>
      </c>
      <c r="S49" s="1008">
        <f t="shared" si="8"/>
        <v>0</v>
      </c>
    </row>
    <row r="50" spans="1:19" ht="15.75">
      <c r="A50" s="40"/>
      <c r="B50" s="33"/>
      <c r="C50" s="33"/>
      <c r="D50" s="33"/>
      <c r="E50" s="33"/>
      <c r="F50" s="33"/>
      <c r="G50" s="33"/>
      <c r="H50" s="561"/>
      <c r="I50" s="562"/>
      <c r="J50" s="563"/>
      <c r="K50" s="562"/>
      <c r="L50" s="563"/>
      <c r="M50" s="563"/>
      <c r="N50" s="562"/>
      <c r="O50" s="563"/>
      <c r="P50" s="563"/>
      <c r="Q50" s="562"/>
      <c r="R50" s="563"/>
      <c r="S50" s="564"/>
    </row>
    <row r="51" spans="1:19" ht="15.75">
      <c r="A51" s="41" t="s">
        <v>156</v>
      </c>
      <c r="B51" s="151"/>
      <c r="C51" s="151"/>
      <c r="D51" s="243"/>
      <c r="E51" s="243"/>
      <c r="F51" s="243"/>
      <c r="G51" s="243"/>
      <c r="H51" s="560"/>
      <c r="I51" s="438"/>
      <c r="J51" s="242"/>
      <c r="K51" s="242"/>
      <c r="L51" s="242"/>
      <c r="M51" s="242"/>
      <c r="N51" s="242"/>
      <c r="O51" s="242"/>
      <c r="P51" s="242"/>
      <c r="Q51" s="242"/>
      <c r="R51" s="242"/>
      <c r="S51" s="437"/>
    </row>
    <row r="52" spans="1:19" ht="15.75">
      <c r="A52" s="40"/>
      <c r="B52" s="246"/>
      <c r="C52" s="247" t="s">
        <v>130</v>
      </c>
      <c r="D52" s="244"/>
      <c r="E52" s="244"/>
      <c r="F52" s="244"/>
      <c r="G52" s="244"/>
      <c r="H52" s="245" t="s">
        <v>131</v>
      </c>
      <c r="I52" s="248">
        <v>557.16999999999996</v>
      </c>
      <c r="J52" s="656"/>
      <c r="K52" s="249">
        <v>535.67999999999995</v>
      </c>
      <c r="L52" s="657"/>
      <c r="M52" s="250">
        <f t="shared" ref="M52:M62" si="9">IF(I52&lt;1," ",IF(K52&lt;1," ",(K52-I52)/I52))</f>
        <v>-3.8569915824613693E-2</v>
      </c>
      <c r="N52" s="249">
        <v>535.67999999999995</v>
      </c>
      <c r="O52" s="658"/>
      <c r="P52" s="251">
        <f t="shared" ref="P52:P62" si="10">IF(K52&lt;1," ",IF(N52&lt;1," ",(N52-K52)/K52))</f>
        <v>0</v>
      </c>
      <c r="Q52" s="249">
        <v>535.67999999999995</v>
      </c>
      <c r="R52" s="657"/>
      <c r="S52" s="252">
        <f t="shared" ref="S52:S62" si="11">IF(N52&lt;1," ",IF(Q52&lt;1," ",(Q52-N52)/N52))</f>
        <v>0</v>
      </c>
    </row>
    <row r="53" spans="1:19" ht="15.75">
      <c r="A53" s="40"/>
      <c r="B53" s="246"/>
      <c r="C53" s="140" t="s">
        <v>132</v>
      </c>
      <c r="D53" s="244"/>
      <c r="E53" s="244"/>
      <c r="F53" s="244"/>
      <c r="G53" s="244"/>
      <c r="H53" s="245" t="s">
        <v>133</v>
      </c>
      <c r="I53" s="248"/>
      <c r="J53" s="656"/>
      <c r="K53" s="249"/>
      <c r="L53" s="657"/>
      <c r="M53" s="250" t="str">
        <f t="shared" si="9"/>
        <v xml:space="preserve"> </v>
      </c>
      <c r="N53" s="249"/>
      <c r="O53" s="658"/>
      <c r="P53" s="251" t="str">
        <f t="shared" si="10"/>
        <v xml:space="preserve"> </v>
      </c>
      <c r="Q53" s="249"/>
      <c r="R53" s="657"/>
      <c r="S53" s="252" t="str">
        <f t="shared" si="11"/>
        <v xml:space="preserve"> </v>
      </c>
    </row>
    <row r="54" spans="1:19" ht="15.75">
      <c r="A54" s="40"/>
      <c r="B54" s="246"/>
      <c r="C54" s="247" t="s">
        <v>134</v>
      </c>
      <c r="D54" s="244"/>
      <c r="E54" s="244"/>
      <c r="F54" s="244"/>
      <c r="G54" s="244"/>
      <c r="H54" s="245" t="s">
        <v>135</v>
      </c>
      <c r="I54" s="248"/>
      <c r="J54" s="656"/>
      <c r="K54" s="249"/>
      <c r="L54" s="657"/>
      <c r="M54" s="250" t="str">
        <f t="shared" si="9"/>
        <v xml:space="preserve"> </v>
      </c>
      <c r="N54" s="249"/>
      <c r="O54" s="658"/>
      <c r="P54" s="251" t="str">
        <f t="shared" si="10"/>
        <v xml:space="preserve"> </v>
      </c>
      <c r="Q54" s="249"/>
      <c r="R54" s="657"/>
      <c r="S54" s="252" t="str">
        <f t="shared" si="11"/>
        <v xml:space="preserve"> </v>
      </c>
    </row>
    <row r="55" spans="1:19" ht="15.75">
      <c r="A55" s="40"/>
      <c r="B55" s="246"/>
      <c r="C55" s="140" t="s">
        <v>136</v>
      </c>
      <c r="D55" s="244"/>
      <c r="E55" s="244"/>
      <c r="F55" s="244"/>
      <c r="G55" s="244"/>
      <c r="H55" s="245" t="s">
        <v>137</v>
      </c>
      <c r="I55" s="248"/>
      <c r="J55" s="656"/>
      <c r="K55" s="249"/>
      <c r="L55" s="657"/>
      <c r="M55" s="250" t="str">
        <f t="shared" si="9"/>
        <v xml:space="preserve"> </v>
      </c>
      <c r="N55" s="249"/>
      <c r="O55" s="658"/>
      <c r="P55" s="251" t="str">
        <f t="shared" si="10"/>
        <v xml:space="preserve"> </v>
      </c>
      <c r="Q55" s="249"/>
      <c r="R55" s="657"/>
      <c r="S55" s="252" t="str">
        <f t="shared" si="11"/>
        <v xml:space="preserve"> </v>
      </c>
    </row>
    <row r="56" spans="1:19" ht="15.75">
      <c r="A56" s="40"/>
      <c r="B56" s="246"/>
      <c r="C56" s="247" t="s">
        <v>138</v>
      </c>
      <c r="D56" s="244"/>
      <c r="E56" s="244"/>
      <c r="F56" s="244"/>
      <c r="G56" s="244"/>
      <c r="H56" s="245" t="s">
        <v>139</v>
      </c>
      <c r="I56" s="248"/>
      <c r="J56" s="656"/>
      <c r="K56" s="249"/>
      <c r="L56" s="657"/>
      <c r="M56" s="250" t="str">
        <f t="shared" si="9"/>
        <v xml:space="preserve"> </v>
      </c>
      <c r="N56" s="249"/>
      <c r="O56" s="658"/>
      <c r="P56" s="251" t="str">
        <f t="shared" si="10"/>
        <v xml:space="preserve"> </v>
      </c>
      <c r="Q56" s="249"/>
      <c r="R56" s="657"/>
      <c r="S56" s="252" t="str">
        <f t="shared" si="11"/>
        <v xml:space="preserve"> </v>
      </c>
    </row>
    <row r="57" spans="1:19" ht="15.75">
      <c r="A57" s="40"/>
      <c r="B57" s="246"/>
      <c r="C57" s="140" t="s">
        <v>140</v>
      </c>
      <c r="D57" s="244"/>
      <c r="E57" s="244"/>
      <c r="F57" s="244"/>
      <c r="G57" s="244"/>
      <c r="H57" s="245" t="s">
        <v>141</v>
      </c>
      <c r="I57" s="248"/>
      <c r="J57" s="656"/>
      <c r="K57" s="249"/>
      <c r="L57" s="657"/>
      <c r="M57" s="250" t="str">
        <f t="shared" si="9"/>
        <v xml:space="preserve"> </v>
      </c>
      <c r="N57" s="249"/>
      <c r="O57" s="658"/>
      <c r="P57" s="251" t="str">
        <f t="shared" si="10"/>
        <v xml:space="preserve"> </v>
      </c>
      <c r="Q57" s="249"/>
      <c r="R57" s="657"/>
      <c r="S57" s="252" t="str">
        <f t="shared" si="11"/>
        <v xml:space="preserve"> </v>
      </c>
    </row>
    <row r="58" spans="1:19" ht="15.75">
      <c r="A58" s="40"/>
      <c r="B58" s="246"/>
      <c r="C58" s="247" t="s">
        <v>142</v>
      </c>
      <c r="D58" s="244"/>
      <c r="E58" s="244"/>
      <c r="F58" s="244"/>
      <c r="G58" s="244"/>
      <c r="H58" s="245" t="s">
        <v>143</v>
      </c>
      <c r="I58" s="248"/>
      <c r="J58" s="656"/>
      <c r="K58" s="249"/>
      <c r="L58" s="657"/>
      <c r="M58" s="250" t="str">
        <f t="shared" si="9"/>
        <v xml:space="preserve"> </v>
      </c>
      <c r="N58" s="249"/>
      <c r="O58" s="658"/>
      <c r="P58" s="251" t="str">
        <f t="shared" si="10"/>
        <v xml:space="preserve"> </v>
      </c>
      <c r="Q58" s="249"/>
      <c r="R58" s="657"/>
      <c r="S58" s="252" t="str">
        <f t="shared" si="11"/>
        <v xml:space="preserve"> </v>
      </c>
    </row>
    <row r="59" spans="1:19" ht="15.75">
      <c r="A59" s="40"/>
      <c r="B59" s="246"/>
      <c r="C59" s="140" t="s">
        <v>144</v>
      </c>
      <c r="D59" s="244"/>
      <c r="E59" s="244"/>
      <c r="F59" s="244"/>
      <c r="G59" s="244"/>
      <c r="H59" s="245" t="s">
        <v>145</v>
      </c>
      <c r="I59" s="248"/>
      <c r="J59" s="656"/>
      <c r="K59" s="249"/>
      <c r="L59" s="657"/>
      <c r="M59" s="250" t="str">
        <f t="shared" si="9"/>
        <v xml:space="preserve"> </v>
      </c>
      <c r="N59" s="249"/>
      <c r="O59" s="658"/>
      <c r="P59" s="251" t="str">
        <f t="shared" si="10"/>
        <v xml:space="preserve"> </v>
      </c>
      <c r="Q59" s="249"/>
      <c r="R59" s="657"/>
      <c r="S59" s="252" t="str">
        <f t="shared" si="11"/>
        <v xml:space="preserve"> </v>
      </c>
    </row>
    <row r="60" spans="1:19" ht="31.5" customHeight="1">
      <c r="A60" s="67"/>
      <c r="B60" s="1664" t="s">
        <v>146</v>
      </c>
      <c r="C60" s="1665"/>
      <c r="D60" s="1665"/>
      <c r="E60" s="1665"/>
      <c r="F60" s="1665"/>
      <c r="G60" s="1666"/>
      <c r="H60" s="245" t="s">
        <v>147</v>
      </c>
      <c r="I60" s="253">
        <f>I52+I54+I56+I58</f>
        <v>557.16999999999996</v>
      </c>
      <c r="J60" s="656"/>
      <c r="K60" s="253">
        <f>K52+K54+K56+K58</f>
        <v>535.67999999999995</v>
      </c>
      <c r="L60" s="657"/>
      <c r="M60" s="251">
        <f t="shared" si="9"/>
        <v>-3.8569915824613693E-2</v>
      </c>
      <c r="N60" s="253">
        <f>N52+N54+N56+N58</f>
        <v>535.67999999999995</v>
      </c>
      <c r="O60" s="657"/>
      <c r="P60" s="441">
        <f t="shared" si="10"/>
        <v>0</v>
      </c>
      <c r="Q60" s="253">
        <f>Q52+Q54+Q56+Q58</f>
        <v>535.67999999999995</v>
      </c>
      <c r="R60" s="657"/>
      <c r="S60" s="252">
        <f t="shared" si="11"/>
        <v>0</v>
      </c>
    </row>
    <row r="61" spans="1:19" ht="15.75">
      <c r="A61" s="67"/>
      <c r="B61" s="1664" t="s">
        <v>148</v>
      </c>
      <c r="C61" s="1665"/>
      <c r="D61" s="1665"/>
      <c r="E61" s="1665"/>
      <c r="F61" s="1665"/>
      <c r="G61" s="1666"/>
      <c r="H61" s="245" t="s">
        <v>149</v>
      </c>
      <c r="I61" s="253">
        <f>I53+I55+I57+I59</f>
        <v>0</v>
      </c>
      <c r="J61" s="254">
        <f>I61</f>
        <v>0</v>
      </c>
      <c r="K61" s="253">
        <f>K53+K55+K57+K59</f>
        <v>0</v>
      </c>
      <c r="L61" s="442">
        <f>K61</f>
        <v>0</v>
      </c>
      <c r="M61" s="251" t="str">
        <f t="shared" si="9"/>
        <v xml:space="preserve"> </v>
      </c>
      <c r="N61" s="253">
        <f>N53+N55+N57+N59</f>
        <v>0</v>
      </c>
      <c r="O61" s="442">
        <f>N61</f>
        <v>0</v>
      </c>
      <c r="P61" s="441" t="str">
        <f t="shared" si="10"/>
        <v xml:space="preserve"> </v>
      </c>
      <c r="Q61" s="253">
        <f>Q53+Q55+Q57+Q59</f>
        <v>0</v>
      </c>
      <c r="R61" s="442">
        <f>Q61</f>
        <v>0</v>
      </c>
      <c r="S61" s="252" t="str">
        <f t="shared" si="11"/>
        <v xml:space="preserve"> </v>
      </c>
    </row>
    <row r="62" spans="1:19" ht="34.5" customHeight="1">
      <c r="A62" s="67"/>
      <c r="B62" s="1664" t="s">
        <v>150</v>
      </c>
      <c r="C62" s="1665"/>
      <c r="D62" s="1665"/>
      <c r="E62" s="1665"/>
      <c r="F62" s="1665"/>
      <c r="G62" s="1666"/>
      <c r="H62" s="245" t="s">
        <v>151</v>
      </c>
      <c r="I62" s="253">
        <f>I60-I61</f>
        <v>557.16999999999996</v>
      </c>
      <c r="J62" s="254">
        <f>IF($G$10="","Cell G10 CANNOT be blank",I62*$G$10)</f>
        <v>557.16999999999996</v>
      </c>
      <c r="K62" s="253">
        <f>K60-K61</f>
        <v>535.67999999999995</v>
      </c>
      <c r="L62" s="442">
        <f>IF($G$10="","Cell G10 CANNOT be blank",K62*$G$10)</f>
        <v>535.67999999999995</v>
      </c>
      <c r="M62" s="251">
        <f t="shared" si="9"/>
        <v>-3.8569915824613693E-2</v>
      </c>
      <c r="N62" s="253">
        <f>N60-N61</f>
        <v>535.67999999999995</v>
      </c>
      <c r="O62" s="442">
        <f>IF($G$10="","Cell G10 CANNOT be blank",N62*$G$10)</f>
        <v>535.67999999999995</v>
      </c>
      <c r="P62" s="441">
        <f t="shared" si="10"/>
        <v>0</v>
      </c>
      <c r="Q62" s="253">
        <f>Q60-Q61</f>
        <v>535.67999999999995</v>
      </c>
      <c r="R62" s="442">
        <f>IF($G$10="","Cell G10 CANNOT be blank",Q62*$G$10)</f>
        <v>535.67999999999995</v>
      </c>
      <c r="S62" s="1008">
        <f t="shared" si="11"/>
        <v>0</v>
      </c>
    </row>
    <row r="63" spans="1:19" ht="15.75">
      <c r="A63" s="40"/>
      <c r="B63" s="33"/>
      <c r="C63" s="33"/>
      <c r="D63" s="33"/>
      <c r="E63" s="33"/>
      <c r="F63" s="33"/>
      <c r="G63" s="33"/>
      <c r="H63" s="561"/>
      <c r="I63" s="562"/>
      <c r="J63" s="563"/>
      <c r="K63" s="562"/>
      <c r="L63" s="563"/>
      <c r="M63" s="563"/>
      <c r="N63" s="562"/>
      <c r="O63" s="563"/>
      <c r="P63" s="563"/>
      <c r="Q63" s="562"/>
      <c r="R63" s="563"/>
      <c r="S63" s="564"/>
    </row>
    <row r="64" spans="1:19" ht="15.75">
      <c r="A64" s="41" t="s">
        <v>157</v>
      </c>
      <c r="B64" s="151"/>
      <c r="C64" s="151"/>
      <c r="D64" s="243"/>
      <c r="E64" s="243"/>
      <c r="F64" s="243"/>
      <c r="G64" s="243"/>
      <c r="H64" s="560"/>
      <c r="I64" s="438"/>
      <c r="J64" s="242"/>
      <c r="K64" s="242"/>
      <c r="L64" s="242"/>
      <c r="M64" s="242"/>
      <c r="N64" s="242"/>
      <c r="O64" s="242"/>
      <c r="P64" s="242"/>
      <c r="Q64" s="242"/>
      <c r="R64" s="242"/>
      <c r="S64" s="437"/>
    </row>
    <row r="65" spans="1:19" ht="15.75">
      <c r="A65" s="40"/>
      <c r="B65" s="246"/>
      <c r="C65" s="1667" t="s">
        <v>130</v>
      </c>
      <c r="D65" s="1667"/>
      <c r="E65" s="1667"/>
      <c r="F65" s="1667"/>
      <c r="G65" s="1668"/>
      <c r="H65" s="245" t="s">
        <v>131</v>
      </c>
      <c r="I65" s="253">
        <f t="shared" ref="I65:I72" si="12">I12+I26+I39+I52</f>
        <v>899.27</v>
      </c>
      <c r="J65" s="656"/>
      <c r="K65" s="255">
        <f t="shared" ref="K65:K72" si="13">K12+K26+K39+K52</f>
        <v>796.07999999999993</v>
      </c>
      <c r="L65" s="657"/>
      <c r="M65" s="250">
        <f t="shared" ref="M65:M75" si="14">IF(I65&lt;1," ",IF(K65&lt;1," ",(K65-I65)/I65))</f>
        <v>-0.11474862944388232</v>
      </c>
      <c r="N65" s="255">
        <f t="shared" ref="N65:N72" si="15">N12+N26+N39+N52</f>
        <v>796.07999999999993</v>
      </c>
      <c r="O65" s="658"/>
      <c r="P65" s="251">
        <f t="shared" ref="P65:P75" si="16">IF(K65&lt;1," ",IF(N65&lt;1," ",(N65-K65)/K65))</f>
        <v>0</v>
      </c>
      <c r="Q65" s="255">
        <f t="shared" ref="Q65:Q72" si="17">Q12+Q26+Q39+Q52</f>
        <v>796.07999999999993</v>
      </c>
      <c r="R65" s="657"/>
      <c r="S65" s="252">
        <f t="shared" ref="S65:S75" si="18">IF(N65&lt;1," ",IF(Q65&lt;1," ",(Q65-N65)/N65))</f>
        <v>0</v>
      </c>
    </row>
    <row r="66" spans="1:19" ht="15.75">
      <c r="A66" s="40"/>
      <c r="B66" s="246"/>
      <c r="C66" s="1675" t="s">
        <v>132</v>
      </c>
      <c r="D66" s="1675"/>
      <c r="E66" s="1675"/>
      <c r="F66" s="1675"/>
      <c r="G66" s="1676"/>
      <c r="H66" s="245" t="s">
        <v>133</v>
      </c>
      <c r="I66" s="253">
        <f t="shared" si="12"/>
        <v>0</v>
      </c>
      <c r="J66" s="656"/>
      <c r="K66" s="255">
        <f t="shared" si="13"/>
        <v>0</v>
      </c>
      <c r="L66" s="657"/>
      <c r="M66" s="250" t="str">
        <f t="shared" si="14"/>
        <v xml:space="preserve"> </v>
      </c>
      <c r="N66" s="255">
        <f t="shared" si="15"/>
        <v>0</v>
      </c>
      <c r="O66" s="658"/>
      <c r="P66" s="251" t="str">
        <f t="shared" si="16"/>
        <v xml:space="preserve"> </v>
      </c>
      <c r="Q66" s="255">
        <f t="shared" si="17"/>
        <v>0</v>
      </c>
      <c r="R66" s="657"/>
      <c r="S66" s="252" t="str">
        <f t="shared" si="18"/>
        <v xml:space="preserve"> </v>
      </c>
    </row>
    <row r="67" spans="1:19" ht="15.75">
      <c r="A67" s="40"/>
      <c r="B67" s="246"/>
      <c r="C67" s="1667" t="s">
        <v>134</v>
      </c>
      <c r="D67" s="1667"/>
      <c r="E67" s="1667"/>
      <c r="F67" s="1667"/>
      <c r="G67" s="1668"/>
      <c r="H67" s="245" t="s">
        <v>135</v>
      </c>
      <c r="I67" s="253">
        <f t="shared" si="12"/>
        <v>0</v>
      </c>
      <c r="J67" s="656"/>
      <c r="K67" s="255">
        <f t="shared" si="13"/>
        <v>0</v>
      </c>
      <c r="L67" s="657"/>
      <c r="M67" s="250" t="str">
        <f t="shared" si="14"/>
        <v xml:space="preserve"> </v>
      </c>
      <c r="N67" s="255">
        <f t="shared" si="15"/>
        <v>0</v>
      </c>
      <c r="O67" s="658"/>
      <c r="P67" s="251" t="str">
        <f t="shared" si="16"/>
        <v xml:space="preserve"> </v>
      </c>
      <c r="Q67" s="255">
        <f t="shared" si="17"/>
        <v>0</v>
      </c>
      <c r="R67" s="657"/>
      <c r="S67" s="252" t="str">
        <f t="shared" si="18"/>
        <v xml:space="preserve"> </v>
      </c>
    </row>
    <row r="68" spans="1:19" ht="15.75">
      <c r="A68" s="40"/>
      <c r="B68" s="246"/>
      <c r="C68" s="1675" t="s">
        <v>136</v>
      </c>
      <c r="D68" s="1675"/>
      <c r="E68" s="1675"/>
      <c r="F68" s="1675"/>
      <c r="G68" s="1676"/>
      <c r="H68" s="245" t="s">
        <v>137</v>
      </c>
      <c r="I68" s="253">
        <f t="shared" si="12"/>
        <v>0</v>
      </c>
      <c r="J68" s="656"/>
      <c r="K68" s="255">
        <f t="shared" si="13"/>
        <v>0</v>
      </c>
      <c r="L68" s="657"/>
      <c r="M68" s="250" t="str">
        <f t="shared" si="14"/>
        <v xml:space="preserve"> </v>
      </c>
      <c r="N68" s="255">
        <f t="shared" si="15"/>
        <v>0</v>
      </c>
      <c r="O68" s="658"/>
      <c r="P68" s="251" t="str">
        <f t="shared" si="16"/>
        <v xml:space="preserve"> </v>
      </c>
      <c r="Q68" s="255">
        <f t="shared" si="17"/>
        <v>0</v>
      </c>
      <c r="R68" s="657"/>
      <c r="S68" s="252" t="str">
        <f t="shared" si="18"/>
        <v xml:space="preserve"> </v>
      </c>
    </row>
    <row r="69" spans="1:19" ht="15.75">
      <c r="A69" s="40"/>
      <c r="B69" s="246"/>
      <c r="C69" s="1667" t="s">
        <v>138</v>
      </c>
      <c r="D69" s="1667"/>
      <c r="E69" s="1667"/>
      <c r="F69" s="1667"/>
      <c r="G69" s="1668"/>
      <c r="H69" s="245" t="s">
        <v>139</v>
      </c>
      <c r="I69" s="253">
        <f t="shared" si="12"/>
        <v>0</v>
      </c>
      <c r="J69" s="656"/>
      <c r="K69" s="255">
        <f t="shared" si="13"/>
        <v>0</v>
      </c>
      <c r="L69" s="657"/>
      <c r="M69" s="250" t="str">
        <f t="shared" si="14"/>
        <v xml:space="preserve"> </v>
      </c>
      <c r="N69" s="255">
        <f t="shared" si="15"/>
        <v>0</v>
      </c>
      <c r="O69" s="658"/>
      <c r="P69" s="251" t="str">
        <f t="shared" si="16"/>
        <v xml:space="preserve"> </v>
      </c>
      <c r="Q69" s="255">
        <f t="shared" si="17"/>
        <v>0</v>
      </c>
      <c r="R69" s="657"/>
      <c r="S69" s="252" t="str">
        <f t="shared" si="18"/>
        <v xml:space="preserve"> </v>
      </c>
    </row>
    <row r="70" spans="1:19" ht="15.75">
      <c r="A70" s="107"/>
      <c r="B70" s="246"/>
      <c r="C70" s="1675" t="s">
        <v>140</v>
      </c>
      <c r="D70" s="1675"/>
      <c r="E70" s="1675"/>
      <c r="F70" s="1675"/>
      <c r="G70" s="1676"/>
      <c r="H70" s="245" t="s">
        <v>141</v>
      </c>
      <c r="I70" s="253">
        <f t="shared" si="12"/>
        <v>0</v>
      </c>
      <c r="J70" s="656"/>
      <c r="K70" s="255">
        <f t="shared" si="13"/>
        <v>0</v>
      </c>
      <c r="L70" s="657"/>
      <c r="M70" s="250" t="str">
        <f t="shared" si="14"/>
        <v xml:space="preserve"> </v>
      </c>
      <c r="N70" s="255">
        <f t="shared" si="15"/>
        <v>0</v>
      </c>
      <c r="O70" s="658"/>
      <c r="P70" s="251" t="str">
        <f t="shared" si="16"/>
        <v xml:space="preserve"> </v>
      </c>
      <c r="Q70" s="255">
        <f t="shared" si="17"/>
        <v>0</v>
      </c>
      <c r="R70" s="657"/>
      <c r="S70" s="252" t="str">
        <f t="shared" si="18"/>
        <v xml:space="preserve"> </v>
      </c>
    </row>
    <row r="71" spans="1:19" ht="15.75">
      <c r="A71" s="107"/>
      <c r="B71" s="246"/>
      <c r="C71" s="1667" t="s">
        <v>142</v>
      </c>
      <c r="D71" s="1667"/>
      <c r="E71" s="1667"/>
      <c r="F71" s="1667"/>
      <c r="G71" s="1668"/>
      <c r="H71" s="245" t="s">
        <v>143</v>
      </c>
      <c r="I71" s="253">
        <f t="shared" si="12"/>
        <v>0</v>
      </c>
      <c r="J71" s="656"/>
      <c r="K71" s="255">
        <f t="shared" si="13"/>
        <v>0</v>
      </c>
      <c r="L71" s="657"/>
      <c r="M71" s="250" t="str">
        <f t="shared" si="14"/>
        <v xml:space="preserve"> </v>
      </c>
      <c r="N71" s="255">
        <f t="shared" si="15"/>
        <v>0</v>
      </c>
      <c r="O71" s="658"/>
      <c r="P71" s="251" t="str">
        <f t="shared" si="16"/>
        <v xml:space="preserve"> </v>
      </c>
      <c r="Q71" s="255">
        <f t="shared" si="17"/>
        <v>0</v>
      </c>
      <c r="R71" s="657"/>
      <c r="S71" s="252" t="str">
        <f t="shared" si="18"/>
        <v xml:space="preserve"> </v>
      </c>
    </row>
    <row r="72" spans="1:19" ht="15.75">
      <c r="A72" s="107"/>
      <c r="B72" s="246"/>
      <c r="C72" s="1675" t="s">
        <v>144</v>
      </c>
      <c r="D72" s="1675"/>
      <c r="E72" s="1675"/>
      <c r="F72" s="1675"/>
      <c r="G72" s="1676"/>
      <c r="H72" s="245" t="s">
        <v>145</v>
      </c>
      <c r="I72" s="253">
        <f t="shared" si="12"/>
        <v>0</v>
      </c>
      <c r="J72" s="656"/>
      <c r="K72" s="255">
        <f t="shared" si="13"/>
        <v>0</v>
      </c>
      <c r="L72" s="657"/>
      <c r="M72" s="250" t="str">
        <f t="shared" si="14"/>
        <v xml:space="preserve"> </v>
      </c>
      <c r="N72" s="255">
        <f t="shared" si="15"/>
        <v>0</v>
      </c>
      <c r="O72" s="658"/>
      <c r="P72" s="251" t="str">
        <f t="shared" si="16"/>
        <v xml:space="preserve"> </v>
      </c>
      <c r="Q72" s="255">
        <f t="shared" si="17"/>
        <v>0</v>
      </c>
      <c r="R72" s="657"/>
      <c r="S72" s="252" t="str">
        <f t="shared" si="18"/>
        <v xml:space="preserve"> </v>
      </c>
    </row>
    <row r="73" spans="1:19" ht="32.25" customHeight="1">
      <c r="A73" s="107"/>
      <c r="B73" s="1664" t="s">
        <v>146</v>
      </c>
      <c r="C73" s="1665"/>
      <c r="D73" s="1665"/>
      <c r="E73" s="1665"/>
      <c r="F73" s="1665"/>
      <c r="G73" s="1666"/>
      <c r="H73" s="245" t="s">
        <v>147</v>
      </c>
      <c r="I73" s="253">
        <f>I65+I67+I69+I71</f>
        <v>899.27</v>
      </c>
      <c r="J73" s="656"/>
      <c r="K73" s="253">
        <f>K65+K67+K69+K71</f>
        <v>796.07999999999993</v>
      </c>
      <c r="L73" s="657"/>
      <c r="M73" s="251">
        <f t="shared" si="14"/>
        <v>-0.11474862944388232</v>
      </c>
      <c r="N73" s="253">
        <f>N65+N67+N69+N71</f>
        <v>796.07999999999993</v>
      </c>
      <c r="O73" s="657"/>
      <c r="P73" s="441">
        <f t="shared" si="16"/>
        <v>0</v>
      </c>
      <c r="Q73" s="253">
        <f>Q65+Q67+Q69+Q71</f>
        <v>796.07999999999993</v>
      </c>
      <c r="R73" s="657"/>
      <c r="S73" s="252">
        <f t="shared" si="18"/>
        <v>0</v>
      </c>
    </row>
    <row r="74" spans="1:19" ht="15.75">
      <c r="A74" s="107"/>
      <c r="B74" s="1664" t="s">
        <v>148</v>
      </c>
      <c r="C74" s="1665"/>
      <c r="D74" s="1665"/>
      <c r="E74" s="1665"/>
      <c r="F74" s="1665"/>
      <c r="G74" s="1666"/>
      <c r="H74" s="245" t="s">
        <v>149</v>
      </c>
      <c r="I74" s="253">
        <f>I66+I68+I70+I72</f>
        <v>0</v>
      </c>
      <c r="J74" s="254">
        <f>I74</f>
        <v>0</v>
      </c>
      <c r="K74" s="253">
        <f>K66+K68+K70+K72</f>
        <v>0</v>
      </c>
      <c r="L74" s="442">
        <f>K74</f>
        <v>0</v>
      </c>
      <c r="M74" s="251" t="str">
        <f t="shared" si="14"/>
        <v xml:space="preserve"> </v>
      </c>
      <c r="N74" s="253">
        <f>N66+N68+N70+N72</f>
        <v>0</v>
      </c>
      <c r="O74" s="442">
        <f>N74</f>
        <v>0</v>
      </c>
      <c r="P74" s="441" t="str">
        <f t="shared" si="16"/>
        <v xml:space="preserve"> </v>
      </c>
      <c r="Q74" s="253">
        <f>Q66+Q68+Q70+Q72</f>
        <v>0</v>
      </c>
      <c r="R74" s="442">
        <f>Q74</f>
        <v>0</v>
      </c>
      <c r="S74" s="252" t="str">
        <f t="shared" si="18"/>
        <v xml:space="preserve"> </v>
      </c>
    </row>
    <row r="75" spans="1:19" ht="34.5" customHeight="1">
      <c r="A75" s="439"/>
      <c r="B75" s="1664" t="s">
        <v>150</v>
      </c>
      <c r="C75" s="1665"/>
      <c r="D75" s="1665"/>
      <c r="E75" s="1665"/>
      <c r="F75" s="1665"/>
      <c r="G75" s="1666"/>
      <c r="H75" s="245" t="s">
        <v>151</v>
      </c>
      <c r="I75" s="253">
        <f>I73-I74</f>
        <v>899.27</v>
      </c>
      <c r="J75" s="254">
        <f>IF($G$10="","Cell G10 CANNOT be blank",I75*$G$10)</f>
        <v>899.27</v>
      </c>
      <c r="K75" s="253">
        <f>K73-K74</f>
        <v>796.07999999999993</v>
      </c>
      <c r="L75" s="442">
        <f>IF($G$10="","Cell G10 CANNOT be blank",K75*$G$10)</f>
        <v>796.07999999999993</v>
      </c>
      <c r="M75" s="251">
        <f t="shared" si="14"/>
        <v>-0.11474862944388232</v>
      </c>
      <c r="N75" s="253">
        <f>N73-N74</f>
        <v>796.07999999999993</v>
      </c>
      <c r="O75" s="442">
        <f>IF($G$10="","Cell G10 CANNOT be blank",N75*$G$10)</f>
        <v>796.07999999999993</v>
      </c>
      <c r="P75" s="441">
        <f t="shared" si="16"/>
        <v>0</v>
      </c>
      <c r="Q75" s="253">
        <f>Q73-Q74</f>
        <v>796.07999999999993</v>
      </c>
      <c r="R75" s="442">
        <f>IF($G$10="","Cell G10 CANNOT be blank",Q75*$G$10)</f>
        <v>796.07999999999993</v>
      </c>
      <c r="S75" s="1008">
        <f t="shared" si="18"/>
        <v>0</v>
      </c>
    </row>
    <row r="76" spans="1:19" ht="16.5" thickBot="1">
      <c r="A76" s="1009"/>
      <c r="B76" s="1685" t="s">
        <v>158</v>
      </c>
      <c r="C76" s="1686"/>
      <c r="D76" s="1686"/>
      <c r="E76" s="1686"/>
      <c r="F76" s="1686"/>
      <c r="G76" s="1687"/>
      <c r="H76" s="574"/>
      <c r="I76" s="1010"/>
      <c r="J76" s="1011">
        <f>J74+J75</f>
        <v>899.27</v>
      </c>
      <c r="K76" s="1010"/>
      <c r="L76" s="1012">
        <f>L74+L75</f>
        <v>796.07999999999993</v>
      </c>
      <c r="M76" s="1013"/>
      <c r="N76" s="1010"/>
      <c r="O76" s="1012">
        <f>O74+O75</f>
        <v>796.07999999999993</v>
      </c>
      <c r="P76" s="1013"/>
      <c r="Q76" s="1010"/>
      <c r="R76" s="1012">
        <f>R74+R75</f>
        <v>796.07999999999993</v>
      </c>
      <c r="S76" s="1014"/>
    </row>
    <row r="77" spans="1:19" ht="15.75">
      <c r="A77" s="37"/>
      <c r="B77" s="106"/>
      <c r="C77" s="33"/>
      <c r="D77" s="33"/>
      <c r="E77" s="33"/>
      <c r="F77" s="33"/>
      <c r="G77" s="33"/>
      <c r="H77" s="37"/>
      <c r="I77" s="91"/>
      <c r="J77" s="37"/>
      <c r="K77" s="38"/>
      <c r="L77" s="38"/>
      <c r="M77" s="38"/>
      <c r="N77" s="38"/>
      <c r="O77" s="38"/>
      <c r="P77" s="38"/>
      <c r="S77" s="38"/>
    </row>
    <row r="78" spans="1:19" ht="19.5" customHeight="1">
      <c r="A78" s="1651" t="s">
        <v>159</v>
      </c>
      <c r="B78" s="1651"/>
      <c r="C78" s="1651"/>
      <c r="D78" s="1651"/>
      <c r="E78" s="1651"/>
      <c r="F78" s="1651"/>
      <c r="G78" s="1651"/>
      <c r="H78" s="1651"/>
      <c r="I78" s="1651"/>
      <c r="J78" s="1651"/>
      <c r="K78" s="1651"/>
      <c r="L78" s="1651"/>
      <c r="M78" s="1651"/>
      <c r="N78" s="1651"/>
      <c r="O78" s="1651"/>
      <c r="P78" s="1651"/>
      <c r="Q78" s="1651"/>
      <c r="R78" s="1651"/>
    </row>
    <row r="88" spans="17:17">
      <c r="Q88" s="88"/>
    </row>
  </sheetData>
  <sheetProtection sheet="1" objects="1" scenarios="1"/>
  <mergeCells count="62">
    <mergeCell ref="C67:G67"/>
    <mergeCell ref="B74:G74"/>
    <mergeCell ref="B75:G75"/>
    <mergeCell ref="B76:G76"/>
    <mergeCell ref="C68:G68"/>
    <mergeCell ref="C69:G69"/>
    <mergeCell ref="C70:G70"/>
    <mergeCell ref="C71:G71"/>
    <mergeCell ref="C72:G72"/>
    <mergeCell ref="B73:G73"/>
    <mergeCell ref="B60:G60"/>
    <mergeCell ref="B61:G61"/>
    <mergeCell ref="B62:G62"/>
    <mergeCell ref="C65:G65"/>
    <mergeCell ref="C66:G66"/>
    <mergeCell ref="B49:G49"/>
    <mergeCell ref="B34:G34"/>
    <mergeCell ref="B35:G35"/>
    <mergeCell ref="B36:G36"/>
    <mergeCell ref="C39:G39"/>
    <mergeCell ref="C40:G40"/>
    <mergeCell ref="C41:G41"/>
    <mergeCell ref="C42:G42"/>
    <mergeCell ref="C43:G43"/>
    <mergeCell ref="C44:G44"/>
    <mergeCell ref="C33:G33"/>
    <mergeCell ref="B47:G47"/>
    <mergeCell ref="B48:G48"/>
    <mergeCell ref="C45:G45"/>
    <mergeCell ref="C46:G46"/>
    <mergeCell ref="C28:G28"/>
    <mergeCell ref="C29:G29"/>
    <mergeCell ref="C30:G30"/>
    <mergeCell ref="C31:G31"/>
    <mergeCell ref="C32:G32"/>
    <mergeCell ref="C18:G18"/>
    <mergeCell ref="C19:G19"/>
    <mergeCell ref="B21:G21"/>
    <mergeCell ref="C26:G26"/>
    <mergeCell ref="C27:G27"/>
    <mergeCell ref="I1:N1"/>
    <mergeCell ref="I2:N2"/>
    <mergeCell ref="I4:K4"/>
    <mergeCell ref="I7:J7"/>
    <mergeCell ref="K7:M7"/>
    <mergeCell ref="N7:P7"/>
    <mergeCell ref="A78:R78"/>
    <mergeCell ref="Q7:S7"/>
    <mergeCell ref="A6:H6"/>
    <mergeCell ref="B23:G23"/>
    <mergeCell ref="M8:M9"/>
    <mergeCell ref="S8:S9"/>
    <mergeCell ref="P8:P9"/>
    <mergeCell ref="B20:G20"/>
    <mergeCell ref="B22:G22"/>
    <mergeCell ref="C12:G12"/>
    <mergeCell ref="A7:G8"/>
    <mergeCell ref="C13:G13"/>
    <mergeCell ref="C14:G14"/>
    <mergeCell ref="C15:G15"/>
    <mergeCell ref="C16:G16"/>
    <mergeCell ref="C17:G17"/>
  </mergeCells>
  <conditionalFormatting sqref="J21">
    <cfRule type="containsText" dxfId="385" priority="19" stopIfTrue="1" operator="containsText" text="Cell G10 CANNOT be blank">
      <formula>NOT(ISERROR(SEARCH("Cell G10 CANNOT be blank",J21)))</formula>
    </cfRule>
  </conditionalFormatting>
  <conditionalFormatting sqref="I1:I2">
    <cfRule type="containsText" dxfId="384" priority="21" stopIfTrue="1" operator="containsText" text="Enter">
      <formula>NOT(ISERROR(SEARCH("Enter",I1)))</formula>
    </cfRule>
  </conditionalFormatting>
  <conditionalFormatting sqref="A7">
    <cfRule type="containsText" dxfId="383" priority="20" stopIfTrue="1" operator="containsText" text="Enter">
      <formula>NOT(ISERROR(SEARCH("Enter",A7)))</formula>
    </cfRule>
  </conditionalFormatting>
  <conditionalFormatting sqref="L21">
    <cfRule type="containsText" dxfId="382" priority="18" stopIfTrue="1" operator="containsText" text="Cell G10 CANNOT be blank">
      <formula>NOT(ISERROR(SEARCH("Cell G10 CANNOT be blank",L21)))</formula>
    </cfRule>
  </conditionalFormatting>
  <conditionalFormatting sqref="O21">
    <cfRule type="containsText" dxfId="381" priority="17" stopIfTrue="1" operator="containsText" text="Cell G10 CANNOT be blank">
      <formula>NOT(ISERROR(SEARCH("Cell G10 CANNOT be blank",O21)))</formula>
    </cfRule>
  </conditionalFormatting>
  <conditionalFormatting sqref="R21">
    <cfRule type="containsText" dxfId="380" priority="16" stopIfTrue="1" operator="containsText" text="Cell G10 CANNOT be blank">
      <formula>NOT(ISERROR(SEARCH("Cell G10 CANNOT be blank",R21)))</formula>
    </cfRule>
  </conditionalFormatting>
  <conditionalFormatting sqref="J22">
    <cfRule type="containsText" dxfId="379" priority="15" stopIfTrue="1" operator="containsText" text="Cell G10 CANNOT be blank">
      <formula>NOT(ISERROR(SEARCH("Cell G10 CANNOT be blank",J22)))</formula>
    </cfRule>
  </conditionalFormatting>
  <conditionalFormatting sqref="L22">
    <cfRule type="containsText" dxfId="378" priority="14" stopIfTrue="1" operator="containsText" text="Cell G10 CANNOT be blank">
      <formula>NOT(ISERROR(SEARCH("Cell G10 CANNOT be blank",L22)))</formula>
    </cfRule>
  </conditionalFormatting>
  <conditionalFormatting sqref="O22">
    <cfRule type="containsText" dxfId="377" priority="13" stopIfTrue="1" operator="containsText" text="Cell G10 CANNOT be blank">
      <formula>NOT(ISERROR(SEARCH("Cell G10 CANNOT be blank",O22)))</formula>
    </cfRule>
  </conditionalFormatting>
  <conditionalFormatting sqref="R75 O75 L75 J75">
    <cfRule type="containsText" dxfId="376" priority="2" stopIfTrue="1" operator="containsText" text="Cell G10 CANNOT be blank">
      <formula>NOT(ISERROR(SEARCH("Cell G10 CANNOT be blank",J75)))</formula>
    </cfRule>
  </conditionalFormatting>
  <conditionalFormatting sqref="R22">
    <cfRule type="containsText" dxfId="375" priority="12" stopIfTrue="1" operator="containsText" text="Cell G10 CANNOT be blank">
      <formula>NOT(ISERROR(SEARCH("Cell G10 CANNOT be blank",R22)))</formula>
    </cfRule>
  </conditionalFormatting>
  <conditionalFormatting sqref="R61 O61 L61 J61">
    <cfRule type="containsText" dxfId="374" priority="5" stopIfTrue="1" operator="containsText" text="Cell G10 CANNOT be blank">
      <formula>NOT(ISERROR(SEARCH("Cell G10 CANNOT be blank",J61)))</formula>
    </cfRule>
  </conditionalFormatting>
  <conditionalFormatting sqref="R62 O62 L62 J62">
    <cfRule type="containsText" dxfId="373" priority="4" stopIfTrue="1" operator="containsText" text="Cell G10 CANNOT be blank">
      <formula>NOT(ISERROR(SEARCH("Cell G10 CANNOT be blank",J62)))</formula>
    </cfRule>
  </conditionalFormatting>
  <conditionalFormatting sqref="R35 O35 L35 J35">
    <cfRule type="containsText" dxfId="372" priority="9" stopIfTrue="1" operator="containsText" text="Cell G10 CANNOT be blank">
      <formula>NOT(ISERROR(SEARCH("Cell G10 CANNOT be blank",J35)))</formula>
    </cfRule>
  </conditionalFormatting>
  <conditionalFormatting sqref="R36 O36 L36 J36">
    <cfRule type="containsText" dxfId="371" priority="8" stopIfTrue="1" operator="containsText" text="Cell G10 CANNOT be blank">
      <formula>NOT(ISERROR(SEARCH("Cell G10 CANNOT be blank",J36)))</formula>
    </cfRule>
  </conditionalFormatting>
  <conditionalFormatting sqref="R48 O48 L48 J48">
    <cfRule type="containsText" dxfId="370" priority="7" stopIfTrue="1" operator="containsText" text="Cell G10 CANNOT be blank">
      <formula>NOT(ISERROR(SEARCH("Cell G10 CANNOT be blank",J48)))</formula>
    </cfRule>
  </conditionalFormatting>
  <conditionalFormatting sqref="R49 O49 L49 J49">
    <cfRule type="containsText" dxfId="369" priority="6" stopIfTrue="1" operator="containsText" text="Cell G10 CANNOT be blank">
      <formula>NOT(ISERROR(SEARCH("Cell G10 CANNOT be blank",J49)))</formula>
    </cfRule>
  </conditionalFormatting>
  <conditionalFormatting sqref="R74 O74 L74 J74">
    <cfRule type="containsText" dxfId="368" priority="3" stopIfTrue="1" operator="containsText" text="Cell G10 CANNOT be blank">
      <formula>NOT(ISERROR(SEARCH("Cell G10 CANNOT be blank",J74)))</formula>
    </cfRule>
  </conditionalFormatting>
  <conditionalFormatting sqref="J76 L76 O76 R76">
    <cfRule type="containsText" dxfId="367" priority="1" stopIfTrue="1" operator="containsText" text="Cell G10 CANNOT be blank">
      <formula>NOT(ISERROR(SEARCH("Cell G10 CANNOT be blank",J76)))</formula>
    </cfRule>
  </conditionalFormatting>
  <pageMargins left="0.7" right="0.7" top="0.75" bottom="0.75" header="0.3" footer="0.3"/>
  <pageSetup scale="52" fitToHeight="0" orientation="landscape" r:id="rId1"/>
  <headerFooter>
    <oddHeader>&amp;RPage &amp;P of &amp;N</oddHeader>
  </headerFooter>
  <rowBreaks count="1" manualBreakCount="1">
    <brk id="4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theme="6" tint="-0.249977111117893"/>
    <pageSetUpPr fitToPage="1"/>
  </sheetPr>
  <dimension ref="A1:M88"/>
  <sheetViews>
    <sheetView showGridLines="0" showWhiteSpace="0" zoomScaleNormal="100" workbookViewId="0">
      <selection activeCell="J28" sqref="J28"/>
    </sheetView>
  </sheetViews>
  <sheetFormatPr defaultRowHeight="12.75"/>
  <cols>
    <col min="1" max="1" width="3.85546875" customWidth="1"/>
    <col min="2" max="2" width="11" customWidth="1"/>
    <col min="3" max="3" width="16.42578125" customWidth="1"/>
    <col min="4" max="4" width="29.7109375" customWidth="1"/>
    <col min="6" max="6" width="13.7109375" customWidth="1"/>
    <col min="7" max="8" width="19.42578125" customWidth="1"/>
    <col min="9" max="9" width="11.28515625" customWidth="1"/>
    <col min="10" max="10" width="18.85546875" customWidth="1"/>
    <col min="11" max="11" width="11.28515625" customWidth="1"/>
    <col min="12" max="12" width="83.5703125" style="1212" customWidth="1"/>
    <col min="13" max="32" width="9.140625" customWidth="1"/>
  </cols>
  <sheetData>
    <row r="1" spans="1:12" ht="15.75">
      <c r="A1" s="1636" t="str">
        <f>IF('BUDGET-CERTIFICATION'!$H$1="","CHARTER NAME: Enter Charter Name on BUDGET-CERTIFICATION Worksheet",(CONCATENATE("CHARTER NAME: ",'BUDGET-CERTIFICATION'!$H$1)))</f>
        <v>CHARTER NAME: Encore High School -</v>
      </c>
      <c r="B1" s="1636"/>
      <c r="C1" s="1636"/>
      <c r="D1" s="1636"/>
      <c r="E1" s="1636"/>
      <c r="F1" s="1636"/>
      <c r="G1" s="11"/>
      <c r="H1" s="11"/>
      <c r="I1" s="11"/>
      <c r="J1" s="1"/>
      <c r="K1" s="1"/>
    </row>
    <row r="2" spans="1:12" ht="15.75">
      <c r="A2" s="1636" t="str">
        <f>IF('BUDGET-CERTIFICATION'!$H$2="","CDS #: Enter Charter CDS # on BUDGET-CERTIFICATION Worksheet",(_xlfn.CONCAT("CDS #: ",'BUDGET-CERTIFICATION'!$H$2)))</f>
        <v>CDS #: 35-75044-01166707</v>
      </c>
      <c r="B2" s="1636"/>
      <c r="C2" s="1636"/>
      <c r="D2" s="1636"/>
      <c r="E2" s="1636"/>
      <c r="F2" s="1636"/>
      <c r="G2" s="81"/>
      <c r="H2" s="81"/>
      <c r="I2" s="81"/>
      <c r="J2" s="1"/>
      <c r="K2" s="1"/>
    </row>
    <row r="3" spans="1:12" ht="15.75">
      <c r="A3" s="1636" t="str">
        <f>IF('BUDGET-CERTIFICATION'!$H$5="","CHARTER #: Enter Charter # on BUDGET-CERTIFICATION Worksheet",(_xlfn.CONCAT("CHARTER #: ",'BUDGET-CERTIFICATION'!$H$5)))</f>
        <v>CHARTER #: 971</v>
      </c>
      <c r="B3" s="1636"/>
      <c r="C3" s="1636"/>
      <c r="D3" s="1636"/>
      <c r="E3" s="1636"/>
      <c r="F3" s="1636"/>
      <c r="G3" s="11"/>
      <c r="H3" s="11"/>
      <c r="I3" s="11"/>
      <c r="J3" s="1"/>
      <c r="K3" s="1"/>
    </row>
    <row r="4" spans="1:12" ht="15.75">
      <c r="A4" s="1693" t="str">
        <f>'Budget-ADA'!I4</f>
        <v>Fiscal Year 2021-22 Budget</v>
      </c>
      <c r="B4" s="1693"/>
      <c r="C4" s="1693"/>
      <c r="D4" s="1693"/>
      <c r="E4" s="1693"/>
      <c r="F4" s="1693"/>
      <c r="G4" s="1693"/>
      <c r="H4" s="1693"/>
      <c r="I4" s="1693"/>
      <c r="J4" s="1693"/>
      <c r="K4" s="1693"/>
    </row>
    <row r="5" spans="1:12" ht="16.5" thickBot="1">
      <c r="A5" s="1088" t="str">
        <f>Instructions!H1</f>
        <v>Rev. 5/28/2021</v>
      </c>
      <c r="B5" s="266"/>
      <c r="C5" s="266"/>
      <c r="D5" s="11"/>
      <c r="E5" s="11"/>
      <c r="F5" s="11"/>
      <c r="G5" s="11"/>
      <c r="H5" s="11"/>
      <c r="I5" s="11"/>
      <c r="J5" s="1"/>
      <c r="K5" s="11"/>
    </row>
    <row r="6" spans="1:12" ht="16.5" thickBot="1">
      <c r="A6" s="681" t="s">
        <v>160</v>
      </c>
      <c r="B6" s="682"/>
      <c r="C6" s="682"/>
      <c r="D6" s="682"/>
      <c r="E6" s="682"/>
      <c r="F6" s="683"/>
      <c r="G6" s="280" t="str">
        <f>'Budget-ADA'!K7</f>
        <v>2021-22</v>
      </c>
      <c r="H6" s="281" t="str">
        <f>'Budget-ADA'!N7</f>
        <v>2022-23</v>
      </c>
      <c r="I6" s="281" t="s">
        <v>161</v>
      </c>
      <c r="J6" s="281" t="str">
        <f>'Budget-ADA'!Q7</f>
        <v>2023-24</v>
      </c>
      <c r="K6" s="282" t="s">
        <v>161</v>
      </c>
    </row>
    <row r="7" spans="1:12" ht="15.75">
      <c r="A7" s="331"/>
      <c r="B7" s="1"/>
      <c r="C7" s="1"/>
      <c r="D7" s="1"/>
      <c r="E7" s="1"/>
      <c r="F7" s="1232"/>
      <c r="G7" s="1591"/>
      <c r="H7" s="167"/>
      <c r="I7" s="167"/>
      <c r="J7" s="167"/>
      <c r="K7" s="663"/>
    </row>
    <row r="8" spans="1:12" ht="15.75">
      <c r="A8" s="684" t="s">
        <v>162</v>
      </c>
      <c r="C8" s="154"/>
      <c r="D8" s="154"/>
      <c r="E8" s="154"/>
      <c r="F8" s="662"/>
      <c r="G8" s="664"/>
      <c r="H8" s="664"/>
      <c r="I8" s="652"/>
      <c r="J8" s="664"/>
      <c r="K8" s="653"/>
    </row>
    <row r="9" spans="1:12" ht="15.75">
      <c r="A9" s="67"/>
      <c r="B9" s="141" t="s">
        <v>163</v>
      </c>
      <c r="C9" s="140"/>
      <c r="D9" s="142"/>
      <c r="E9" s="140"/>
      <c r="F9" s="1541"/>
      <c r="G9" s="1542">
        <v>5.0700000000000002E-2</v>
      </c>
      <c r="H9" s="1542">
        <v>2.4799999999999999E-2</v>
      </c>
      <c r="I9" s="487">
        <f>SUM(H9-G9)</f>
        <v>-2.5900000000000003E-2</v>
      </c>
      <c r="J9" s="1543">
        <v>3.1099999999999999E-2</v>
      </c>
      <c r="K9" s="486">
        <f>SUM(J9-H9)</f>
        <v>6.3E-3</v>
      </c>
    </row>
    <row r="10" spans="1:12" ht="15.75" hidden="1">
      <c r="A10" s="283"/>
      <c r="B10" s="143" t="s">
        <v>164</v>
      </c>
      <c r="C10" s="144"/>
      <c r="D10" s="142"/>
      <c r="E10" s="144"/>
      <c r="F10" s="1541"/>
      <c r="G10" s="1544"/>
      <c r="H10" s="1544"/>
      <c r="I10" s="487">
        <f>SUM(H10-G10)</f>
        <v>0</v>
      </c>
      <c r="J10" s="1543"/>
      <c r="K10" s="486">
        <f>SUM(J10-H10)</f>
        <v>0</v>
      </c>
    </row>
    <row r="11" spans="1:12" ht="15.75">
      <c r="A11" s="283"/>
      <c r="B11" s="143" t="s">
        <v>165</v>
      </c>
      <c r="C11" s="144"/>
      <c r="D11" s="144"/>
      <c r="E11" s="144"/>
      <c r="F11" s="1541"/>
      <c r="G11" s="1545">
        <v>8609563</v>
      </c>
      <c r="H11" s="1546">
        <v>8812554</v>
      </c>
      <c r="I11" s="487">
        <f>SUM(H11-G11)/G11</f>
        <v>2.3577387144968914E-2</v>
      </c>
      <c r="J11" s="1545">
        <v>9086438</v>
      </c>
      <c r="K11" s="486">
        <f>SUM(J11-H11)/H11</f>
        <v>3.1078845020410657E-2</v>
      </c>
    </row>
    <row r="12" spans="1:12" ht="15.75">
      <c r="A12" s="283"/>
      <c r="B12" s="372" t="s">
        <v>166</v>
      </c>
      <c r="C12" s="144" t="s">
        <v>167</v>
      </c>
      <c r="D12" s="144"/>
      <c r="E12" s="144"/>
      <c r="F12" s="1547">
        <v>44368</v>
      </c>
      <c r="G12" s="1548"/>
      <c r="H12" s="1549"/>
      <c r="I12" s="1550"/>
      <c r="J12" s="1548"/>
      <c r="K12" s="1551"/>
    </row>
    <row r="13" spans="1:12" ht="15.75">
      <c r="A13" s="283"/>
      <c r="B13" s="143"/>
      <c r="C13" s="144" t="s">
        <v>168</v>
      </c>
      <c r="D13" s="144"/>
      <c r="E13" s="144"/>
      <c r="F13" s="1547">
        <v>44368</v>
      </c>
      <c r="G13" s="1548"/>
      <c r="H13" s="1549"/>
      <c r="I13" s="1550"/>
      <c r="J13" s="1548"/>
      <c r="K13" s="1551"/>
    </row>
    <row r="14" spans="1:12" ht="15.75">
      <c r="A14" s="283"/>
      <c r="B14" s="332"/>
      <c r="C14" s="332"/>
      <c r="D14" s="332"/>
      <c r="E14" s="332"/>
      <c r="F14" s="665"/>
      <c r="G14" s="666"/>
      <c r="H14" s="667"/>
      <c r="I14" s="493"/>
      <c r="J14" s="668"/>
      <c r="K14" s="669"/>
    </row>
    <row r="15" spans="1:12" ht="15.75">
      <c r="A15" s="684" t="s">
        <v>169</v>
      </c>
      <c r="B15" s="133"/>
      <c r="C15" s="670"/>
      <c r="D15" s="670"/>
      <c r="E15" s="670"/>
      <c r="F15" s="671"/>
      <c r="G15" s="672"/>
      <c r="H15" s="672"/>
      <c r="I15" s="673"/>
      <c r="J15" s="672"/>
      <c r="K15" s="674"/>
    </row>
    <row r="16" spans="1:12" ht="15.75">
      <c r="A16" s="283"/>
      <c r="B16" s="143" t="s">
        <v>170</v>
      </c>
      <c r="C16" s="144"/>
      <c r="D16" s="144"/>
      <c r="E16" s="144"/>
      <c r="F16" s="1541"/>
      <c r="G16" s="1545">
        <v>150</v>
      </c>
      <c r="H16" s="1545">
        <v>150</v>
      </c>
      <c r="I16" s="1552">
        <f>H16-G16</f>
        <v>0</v>
      </c>
      <c r="J16" s="1545">
        <v>150</v>
      </c>
      <c r="K16" s="1553">
        <f>SUM(J16-H16)</f>
        <v>0</v>
      </c>
      <c r="L16" s="1240"/>
    </row>
    <row r="17" spans="1:12" ht="15.75">
      <c r="A17" s="283"/>
      <c r="B17" s="143" t="s">
        <v>171</v>
      </c>
      <c r="C17" s="144"/>
      <c r="D17" s="144"/>
      <c r="E17" s="144"/>
      <c r="F17" s="1541"/>
      <c r="G17" s="1545">
        <v>49</v>
      </c>
      <c r="H17" s="1545">
        <v>49</v>
      </c>
      <c r="I17" s="1552">
        <f>H17-G17</f>
        <v>0</v>
      </c>
      <c r="J17" s="1545">
        <v>49</v>
      </c>
      <c r="K17" s="1553">
        <f>SUM(J17-H17)</f>
        <v>0</v>
      </c>
      <c r="L17" s="1240"/>
    </row>
    <row r="18" spans="1:12" ht="15.75">
      <c r="A18" s="283"/>
      <c r="B18" s="332"/>
      <c r="C18" s="332"/>
      <c r="D18" s="332"/>
      <c r="E18" s="332"/>
      <c r="F18" s="665"/>
      <c r="G18" s="666"/>
      <c r="H18" s="667"/>
      <c r="I18" s="493"/>
      <c r="J18" s="668"/>
      <c r="K18" s="669"/>
    </row>
    <row r="19" spans="1:12" ht="15.75">
      <c r="A19" s="685" t="s">
        <v>172</v>
      </c>
      <c r="C19" s="165"/>
      <c r="D19" s="165"/>
      <c r="E19" s="165"/>
      <c r="F19" s="662"/>
      <c r="G19" s="675"/>
      <c r="H19" s="675"/>
      <c r="I19" s="550"/>
      <c r="J19" s="676"/>
      <c r="K19" s="551"/>
    </row>
    <row r="20" spans="1:12" ht="15.75">
      <c r="A20" s="283"/>
      <c r="B20" s="143" t="s">
        <v>173</v>
      </c>
      <c r="C20" s="144"/>
      <c r="D20" s="144"/>
      <c r="E20" s="144"/>
      <c r="F20" s="1554"/>
      <c r="G20" s="1555">
        <f>'Budget-ADA'!K75</f>
        <v>796.07999999999993</v>
      </c>
      <c r="H20" s="1556">
        <f>'Budget-ADA'!N75</f>
        <v>796.07999999999993</v>
      </c>
      <c r="I20" s="1557">
        <f>H20-G20</f>
        <v>0</v>
      </c>
      <c r="J20" s="1556">
        <f>'Budget-ADA'!Q75</f>
        <v>796.07999999999993</v>
      </c>
      <c r="K20" s="1568">
        <f>J20-H20</f>
        <v>0</v>
      </c>
    </row>
    <row r="21" spans="1:12" ht="33" customHeight="1">
      <c r="A21" s="283"/>
      <c r="B21" s="651" t="s">
        <v>174</v>
      </c>
      <c r="C21" s="144"/>
      <c r="D21" s="144"/>
      <c r="E21" s="144"/>
      <c r="F21" s="1554"/>
      <c r="G21" s="1558">
        <f>IF(('Budget-ADA'!L75="Cell G10 CANNOT be blank"), "Missing Data Budget-ADA Tab, cell G10",'Budget-ADA'!L75)</f>
        <v>796.07999999999993</v>
      </c>
      <c r="H21" s="1558">
        <f>IF(('Budget-ADA'!O75="Cell G10 CANNOT be blank"), "Missing Data Budget-ADA Tab, cell G10",'Budget-ADA'!O75)</f>
        <v>796.07999999999993</v>
      </c>
      <c r="I21" s="1557">
        <f>H21-G21</f>
        <v>0</v>
      </c>
      <c r="J21" s="1558">
        <f>IF(('Budget-ADA'!R75="Cell G10 CANNOT be blank"), "Missing Data Budget-ADA Tab, cell G10",'Budget-ADA'!R75)</f>
        <v>796.07999999999993</v>
      </c>
      <c r="K21" s="1568">
        <f>J21-H21</f>
        <v>0</v>
      </c>
    </row>
    <row r="22" spans="1:12" ht="15.75">
      <c r="A22" s="283"/>
      <c r="B22" s="143" t="s">
        <v>175</v>
      </c>
      <c r="C22" s="144"/>
      <c r="D22" s="144"/>
      <c r="E22" s="144"/>
      <c r="F22" s="1554"/>
      <c r="G22" s="1559">
        <f>'Budget-ADA'!L74</f>
        <v>0</v>
      </c>
      <c r="H22" s="1556">
        <f>'Budget-ADA'!O74</f>
        <v>0</v>
      </c>
      <c r="I22" s="1557">
        <f>H22-G22</f>
        <v>0</v>
      </c>
      <c r="J22" s="1556">
        <f>'Budget-ADA'!R74</f>
        <v>0</v>
      </c>
      <c r="K22" s="1568">
        <f>J22-H22</f>
        <v>0</v>
      </c>
    </row>
    <row r="23" spans="1:12" ht="15.75">
      <c r="A23" s="67"/>
      <c r="B23" s="146" t="s">
        <v>176</v>
      </c>
      <c r="C23" s="140"/>
      <c r="D23" s="140"/>
      <c r="E23" s="140"/>
      <c r="F23" s="1554"/>
      <c r="G23" s="1560">
        <f>SUM(G21:G22)</f>
        <v>796.07999999999993</v>
      </c>
      <c r="H23" s="1560">
        <f>SUM(H21:H22)</f>
        <v>796.07999999999993</v>
      </c>
      <c r="I23" s="1557">
        <f>H23-G23</f>
        <v>0</v>
      </c>
      <c r="J23" s="1560">
        <f>SUM(J21:J22)</f>
        <v>796.07999999999993</v>
      </c>
      <c r="K23" s="1568">
        <f>J23-H23</f>
        <v>0</v>
      </c>
    </row>
    <row r="24" spans="1:12" ht="15.75">
      <c r="A24" s="284"/>
      <c r="B24" s="147" t="s">
        <v>177</v>
      </c>
      <c r="C24" s="148"/>
      <c r="D24" s="148"/>
      <c r="E24" s="149" t="s">
        <v>178</v>
      </c>
      <c r="F24" s="1561">
        <v>858</v>
      </c>
      <c r="G24" s="1562">
        <v>856</v>
      </c>
      <c r="H24" s="1562">
        <v>856</v>
      </c>
      <c r="I24" s="1557">
        <f>H24-G24</f>
        <v>0</v>
      </c>
      <c r="J24" s="1562">
        <v>856</v>
      </c>
      <c r="K24" s="1568">
        <f>J24-H24</f>
        <v>0</v>
      </c>
    </row>
    <row r="25" spans="1:12" ht="15.75">
      <c r="A25" s="284"/>
      <c r="B25" s="147" t="s">
        <v>179</v>
      </c>
      <c r="C25" s="148"/>
      <c r="D25" s="148"/>
      <c r="E25" s="151"/>
      <c r="F25" s="1563"/>
      <c r="G25" s="487">
        <f>(G24-F24)/F24</f>
        <v>-2.331002331002331E-3</v>
      </c>
      <c r="H25" s="487">
        <f>(H24-G24)/G24</f>
        <v>0</v>
      </c>
      <c r="I25" s="1550" t="s">
        <v>103</v>
      </c>
      <c r="J25" s="487">
        <f>(J24-H24)/H24</f>
        <v>0</v>
      </c>
      <c r="K25" s="1551" t="s">
        <v>103</v>
      </c>
    </row>
    <row r="26" spans="1:12" ht="15.75">
      <c r="A26" s="284"/>
      <c r="B26" s="147" t="s">
        <v>180</v>
      </c>
      <c r="C26" s="148"/>
      <c r="D26" s="148"/>
      <c r="E26" s="218" t="str">
        <f>'Budget-ADA'!$I$7</f>
        <v>2020-21</v>
      </c>
      <c r="F26" s="1564">
        <f>'Budget-ADA'!$J$76/F24</f>
        <v>1.0481002331002331</v>
      </c>
      <c r="G26" s="487">
        <f>G23/G24</f>
        <v>0.92999999999999994</v>
      </c>
      <c r="H26" s="487">
        <f>H23/H24</f>
        <v>0.92999999999999994</v>
      </c>
      <c r="I26" s="1550" t="s">
        <v>103</v>
      </c>
      <c r="J26" s="487">
        <f>J23/J24</f>
        <v>0.92999999999999994</v>
      </c>
      <c r="K26" s="1551" t="s">
        <v>103</v>
      </c>
    </row>
    <row r="27" spans="1:12" ht="15.75">
      <c r="A27" s="284"/>
      <c r="B27" s="147" t="s">
        <v>181</v>
      </c>
      <c r="C27" s="148"/>
      <c r="D27" s="148"/>
      <c r="E27" s="149" t="s">
        <v>182</v>
      </c>
      <c r="F27" s="1561">
        <v>500</v>
      </c>
      <c r="G27" s="1562">
        <v>499</v>
      </c>
      <c r="H27" s="1562">
        <v>499</v>
      </c>
      <c r="I27" s="1557">
        <f>H27-G27</f>
        <v>0</v>
      </c>
      <c r="J27" s="1562">
        <v>499</v>
      </c>
      <c r="K27" s="1568">
        <f>J27-H27</f>
        <v>0</v>
      </c>
    </row>
    <row r="28" spans="1:12" ht="16.5">
      <c r="A28" s="284"/>
      <c r="B28" s="147" t="s">
        <v>183</v>
      </c>
      <c r="C28" s="148"/>
      <c r="D28" s="148"/>
      <c r="E28" s="218" t="str">
        <f>E26</f>
        <v>2020-21</v>
      </c>
      <c r="F28" s="1442">
        <v>0.59040000000000004</v>
      </c>
      <c r="G28" s="1565">
        <v>0.58479999999999999</v>
      </c>
      <c r="H28" s="1565">
        <v>0.58289999999999997</v>
      </c>
      <c r="I28" s="1550"/>
      <c r="J28" s="1565">
        <v>0.58289999999999997</v>
      </c>
      <c r="K28" s="1551" t="s">
        <v>103</v>
      </c>
    </row>
    <row r="29" spans="1:12" ht="15.75">
      <c r="A29" s="283"/>
      <c r="B29" s="332"/>
      <c r="C29" s="332"/>
      <c r="D29" s="332"/>
      <c r="E29" s="332"/>
      <c r="F29" s="1232"/>
      <c r="G29" s="666"/>
      <c r="H29" s="667"/>
      <c r="I29" s="493"/>
      <c r="J29" s="668"/>
      <c r="K29" s="669"/>
    </row>
    <row r="30" spans="1:12" ht="15.75">
      <c r="A30" s="686" t="s">
        <v>184</v>
      </c>
      <c r="C30" s="154"/>
      <c r="D30" s="154"/>
      <c r="E30" s="154"/>
      <c r="F30" s="151"/>
      <c r="G30" s="1349"/>
      <c r="H30" s="1349"/>
      <c r="I30" s="550"/>
      <c r="J30" s="677"/>
      <c r="K30" s="551"/>
    </row>
    <row r="31" spans="1:12" ht="15.75">
      <c r="A31" s="67"/>
      <c r="B31" s="146" t="s">
        <v>185</v>
      </c>
      <c r="C31" s="140"/>
      <c r="D31" s="140"/>
      <c r="E31" s="140"/>
      <c r="F31" s="1554"/>
      <c r="G31" s="1566">
        <v>34.5</v>
      </c>
      <c r="H31" s="1566">
        <v>34.5</v>
      </c>
      <c r="I31" s="1557">
        <f>SUM(H31-G31)</f>
        <v>0</v>
      </c>
      <c r="J31" s="1567">
        <v>34.5</v>
      </c>
      <c r="K31" s="1568">
        <f>SUM(J31-H31)</f>
        <v>0</v>
      </c>
    </row>
    <row r="32" spans="1:12" ht="15.75">
      <c r="A32" s="67"/>
      <c r="B32" s="146" t="s">
        <v>186</v>
      </c>
      <c r="C32" s="140"/>
      <c r="D32" s="140"/>
      <c r="E32" s="140"/>
      <c r="F32" s="1569"/>
      <c r="G32" s="1566">
        <v>3</v>
      </c>
      <c r="H32" s="1566">
        <v>3</v>
      </c>
      <c r="I32" s="1557">
        <f>SUM(H32-G32)</f>
        <v>0</v>
      </c>
      <c r="J32" s="1567">
        <v>3</v>
      </c>
      <c r="K32" s="1568">
        <f>SUM(J32-H32)</f>
        <v>0</v>
      </c>
    </row>
    <row r="33" spans="1:12" ht="15.75">
      <c r="A33" s="67"/>
      <c r="B33" s="146" t="s">
        <v>187</v>
      </c>
      <c r="C33" s="140"/>
      <c r="D33" s="140"/>
      <c r="E33" s="140"/>
      <c r="F33" s="1569"/>
      <c r="G33" s="1570">
        <v>3</v>
      </c>
      <c r="H33" s="1570">
        <v>3</v>
      </c>
      <c r="I33" s="1557">
        <f>SUM(H33-G33)</f>
        <v>0</v>
      </c>
      <c r="J33" s="1567">
        <v>3</v>
      </c>
      <c r="K33" s="1568">
        <f>SUM(J33-H33)</f>
        <v>0</v>
      </c>
    </row>
    <row r="34" spans="1:12" ht="15.75">
      <c r="A34" s="284"/>
      <c r="B34" s="150" t="s">
        <v>188</v>
      </c>
      <c r="C34" s="140"/>
      <c r="D34" s="148"/>
      <c r="E34" s="148"/>
      <c r="F34" s="1569"/>
      <c r="G34" s="1557">
        <f>G24/G31</f>
        <v>24.811594202898551</v>
      </c>
      <c r="H34" s="1557">
        <f>H24/H31</f>
        <v>24.811594202898551</v>
      </c>
      <c r="I34" s="1557">
        <f>SUM(H34-G34)</f>
        <v>0</v>
      </c>
      <c r="J34" s="1557">
        <f>J24/J31</f>
        <v>24.811594202898551</v>
      </c>
      <c r="K34" s="1568">
        <f>SUM(J34-H34)</f>
        <v>0</v>
      </c>
    </row>
    <row r="35" spans="1:12" ht="15.75">
      <c r="A35" s="67"/>
      <c r="B35" s="146" t="s">
        <v>189</v>
      </c>
      <c r="C35" s="140"/>
      <c r="D35" s="140"/>
      <c r="E35" s="140"/>
      <c r="F35" s="1554"/>
      <c r="G35" s="1571"/>
      <c r="H35" s="1571">
        <v>0</v>
      </c>
      <c r="I35" s="1557">
        <f>SUM(H35-G35)</f>
        <v>0</v>
      </c>
      <c r="J35" s="1571">
        <v>0</v>
      </c>
      <c r="K35" s="1568">
        <f>SUM(J35-H35)</f>
        <v>0</v>
      </c>
    </row>
    <row r="36" spans="1:12" ht="15.75">
      <c r="A36" s="67"/>
      <c r="B36" s="141" t="s">
        <v>190</v>
      </c>
      <c r="C36" s="140"/>
      <c r="D36" s="140"/>
      <c r="E36" s="140"/>
      <c r="F36" s="1554"/>
      <c r="G36" s="1572">
        <v>70090.67</v>
      </c>
      <c r="H36" s="1572">
        <v>72193.39</v>
      </c>
      <c r="I36" s="631">
        <f t="shared" ref="I36:I41" si="0">IF(G36&lt;1," ",IF(H36&lt;1," ",(H36-G36)/G36))</f>
        <v>2.9999998573276603E-2</v>
      </c>
      <c r="J36" s="1572">
        <v>74359.19</v>
      </c>
      <c r="K36" s="486">
        <f t="shared" ref="K36:K41" si="1">IF(H36&lt;1," ",IF(J36&lt;1," ",(J36-H36)/H36))</f>
        <v>2.9999976452137832E-2</v>
      </c>
    </row>
    <row r="37" spans="1:12" ht="15.75">
      <c r="A37" s="67"/>
      <c r="B37" s="141" t="s">
        <v>191</v>
      </c>
      <c r="C37" s="140"/>
      <c r="D37" s="140"/>
      <c r="E37" s="140"/>
      <c r="F37" s="1554"/>
      <c r="G37" s="1572">
        <v>112516.33</v>
      </c>
      <c r="H37" s="1572">
        <v>115891.82</v>
      </c>
      <c r="I37" s="631">
        <f t="shared" si="0"/>
        <v>3.0000000888759926E-2</v>
      </c>
      <c r="J37" s="1572">
        <v>119368.58</v>
      </c>
      <c r="K37" s="486">
        <f t="shared" si="1"/>
        <v>3.0000046595178111E-2</v>
      </c>
    </row>
    <row r="38" spans="1:12" ht="15.75">
      <c r="A38" s="67"/>
      <c r="B38" s="141" t="s">
        <v>192</v>
      </c>
      <c r="C38" s="140"/>
      <c r="D38" s="140"/>
      <c r="E38" s="140"/>
      <c r="F38" s="1554"/>
      <c r="G38" s="1572">
        <v>114436.67</v>
      </c>
      <c r="H38" s="1572">
        <v>117869.77</v>
      </c>
      <c r="I38" s="631">
        <f t="shared" si="0"/>
        <v>2.9999999126154281E-2</v>
      </c>
      <c r="J38" s="1572">
        <v>121405.86</v>
      </c>
      <c r="K38" s="486">
        <f t="shared" si="1"/>
        <v>2.9999973699787456E-2</v>
      </c>
    </row>
    <row r="39" spans="1:12" ht="15.75">
      <c r="A39" s="67"/>
      <c r="B39" s="146" t="s">
        <v>193</v>
      </c>
      <c r="C39" s="140"/>
      <c r="D39" s="140"/>
      <c r="E39" s="140"/>
      <c r="F39" s="1554"/>
      <c r="G39" s="1617"/>
      <c r="H39" s="1572">
        <f>H38-G38</f>
        <v>3433.1000000000058</v>
      </c>
      <c r="I39" s="487" t="str">
        <f t="shared" si="0"/>
        <v xml:space="preserve"> </v>
      </c>
      <c r="J39" s="1572">
        <f>J38-H38</f>
        <v>3536.0899999999965</v>
      </c>
      <c r="K39" s="486">
        <f t="shared" si="1"/>
        <v>2.9999126154201892E-2</v>
      </c>
      <c r="L39" s="1240"/>
    </row>
    <row r="40" spans="1:12" ht="15.75">
      <c r="A40" s="67"/>
      <c r="B40" s="146" t="s">
        <v>194</v>
      </c>
      <c r="C40" s="140"/>
      <c r="D40" s="140"/>
      <c r="E40" s="140"/>
      <c r="F40" s="1554"/>
      <c r="G40" s="1572">
        <v>10382.299999999999</v>
      </c>
      <c r="H40" s="1572">
        <v>10693.77</v>
      </c>
      <c r="I40" s="487">
        <f t="shared" si="0"/>
        <v>3.0000096317771705E-2</v>
      </c>
      <c r="J40" s="1572">
        <v>11014.58</v>
      </c>
      <c r="K40" s="486">
        <f t="shared" si="1"/>
        <v>2.9999710111588286E-2</v>
      </c>
    </row>
    <row r="41" spans="1:12" ht="15.75">
      <c r="A41" s="67"/>
      <c r="B41" s="141" t="s">
        <v>195</v>
      </c>
      <c r="C41" s="140"/>
      <c r="D41" s="140"/>
      <c r="E41" s="140"/>
      <c r="F41" s="1554"/>
      <c r="G41" s="1572">
        <v>12946.88</v>
      </c>
      <c r="H41" s="1572">
        <v>13335.29</v>
      </c>
      <c r="I41" s="487">
        <f t="shared" si="0"/>
        <v>3.0000278059270011E-2</v>
      </c>
      <c r="J41" s="1572">
        <v>13735.34</v>
      </c>
      <c r="K41" s="486">
        <f t="shared" si="1"/>
        <v>2.9999347595740269E-2</v>
      </c>
    </row>
    <row r="42" spans="1:12" ht="15.75">
      <c r="A42" s="67"/>
      <c r="B42" s="141" t="s">
        <v>196</v>
      </c>
      <c r="C42" s="140"/>
      <c r="D42" s="140"/>
      <c r="E42" s="140"/>
      <c r="F42" s="1554"/>
      <c r="G42" s="1362">
        <v>0.16919999999999999</v>
      </c>
      <c r="H42" s="1362">
        <v>0.17430000000000001</v>
      </c>
      <c r="I42" s="487">
        <f>H42-G42</f>
        <v>5.1000000000000212E-3</v>
      </c>
      <c r="J42" s="1362">
        <v>0.17949999999999999</v>
      </c>
      <c r="K42" s="486">
        <f>J42-H42</f>
        <v>5.1999999999999824E-3</v>
      </c>
    </row>
    <row r="43" spans="1:12" ht="5.25" customHeight="1">
      <c r="A43" s="67"/>
      <c r="B43" s="1310"/>
      <c r="C43" s="152"/>
      <c r="D43" s="152"/>
      <c r="E43" s="152"/>
      <c r="F43" s="1311"/>
      <c r="G43" s="1312"/>
      <c r="H43" s="1312"/>
      <c r="I43" s="1313"/>
      <c r="J43" s="1312"/>
      <c r="K43" s="1582"/>
    </row>
    <row r="44" spans="1:12" ht="15.75">
      <c r="A44" s="67"/>
      <c r="B44" s="1688" t="s">
        <v>197</v>
      </c>
      <c r="C44" s="1688"/>
      <c r="D44" s="1688"/>
      <c r="E44" s="1688"/>
      <c r="F44" s="1688"/>
      <c r="G44" s="1688"/>
      <c r="H44" s="1688"/>
      <c r="I44" s="1688"/>
      <c r="J44" s="1688"/>
      <c r="K44" s="1689"/>
    </row>
    <row r="45" spans="1:12" ht="84.75" customHeight="1">
      <c r="A45" s="67"/>
      <c r="B45" s="1690"/>
      <c r="C45" s="1691"/>
      <c r="D45" s="1691"/>
      <c r="E45" s="1691"/>
      <c r="F45" s="1691"/>
      <c r="G45" s="1691"/>
      <c r="H45" s="1691"/>
      <c r="I45" s="1691"/>
      <c r="J45" s="1691"/>
      <c r="K45" s="1692"/>
    </row>
    <row r="46" spans="1:12" ht="15.75">
      <c r="A46" s="283"/>
      <c r="B46" s="1231"/>
      <c r="C46" s="1231"/>
      <c r="D46" s="1231"/>
      <c r="E46" s="1231"/>
      <c r="F46" s="1232"/>
      <c r="G46" s="1233"/>
      <c r="H46" s="1234"/>
      <c r="I46" s="1052"/>
      <c r="J46" s="1235"/>
      <c r="K46" s="312"/>
    </row>
    <row r="47" spans="1:12" ht="15.75">
      <c r="A47" s="686" t="s">
        <v>198</v>
      </c>
      <c r="C47" s="154"/>
      <c r="D47" s="154"/>
      <c r="E47" s="154"/>
      <c r="F47" s="151"/>
      <c r="G47" s="1349"/>
      <c r="H47" s="1349"/>
      <c r="I47" s="550"/>
      <c r="J47" s="677"/>
      <c r="K47" s="551"/>
    </row>
    <row r="48" spans="1:12" ht="15.75">
      <c r="A48" s="67"/>
      <c r="B48" s="146" t="s">
        <v>199</v>
      </c>
      <c r="C48" s="140"/>
      <c r="D48" s="140"/>
      <c r="E48" s="140"/>
      <c r="F48" s="1554"/>
      <c r="G48" s="1566">
        <v>28.78</v>
      </c>
      <c r="H48" s="1566">
        <v>29.5</v>
      </c>
      <c r="I48" s="1557">
        <f>SUM(H48-G48)</f>
        <v>0.71999999999999886</v>
      </c>
      <c r="J48" s="1567">
        <v>30.5</v>
      </c>
      <c r="K48" s="1568">
        <f>SUM(J48-H48)</f>
        <v>1</v>
      </c>
    </row>
    <row r="49" spans="1:13" ht="15.75">
      <c r="A49" s="67"/>
      <c r="B49" s="146" t="s">
        <v>200</v>
      </c>
      <c r="C49" s="140"/>
      <c r="D49" s="140"/>
      <c r="E49" s="140"/>
      <c r="F49" s="1554"/>
      <c r="G49" s="1566">
        <v>7</v>
      </c>
      <c r="H49" s="1566">
        <v>7</v>
      </c>
      <c r="I49" s="1557">
        <f>SUM(H49-G49)</f>
        <v>0</v>
      </c>
      <c r="J49" s="1567">
        <v>7</v>
      </c>
      <c r="K49" s="1568">
        <f>SUM(J49-H49)</f>
        <v>0</v>
      </c>
    </row>
    <row r="50" spans="1:13" ht="15.75">
      <c r="A50" s="67"/>
      <c r="B50" s="141" t="s">
        <v>201</v>
      </c>
      <c r="C50" s="140"/>
      <c r="D50" s="140"/>
      <c r="E50" s="140"/>
      <c r="F50" s="1554"/>
      <c r="G50" s="1572">
        <v>47112.23</v>
      </c>
      <c r="H50" s="1572">
        <v>48525.59</v>
      </c>
      <c r="I50" s="631">
        <f>IF(G50&lt;1," ",IF(H50&lt;1," ",(H50-G50)/G50))</f>
        <v>2.9999853541214101E-2</v>
      </c>
      <c r="J50" s="1572">
        <v>49981.36</v>
      </c>
      <c r="K50" s="486">
        <f>IF(H50&lt;1," ",IF(J50&lt;1," ",(J50-H50)/H50))</f>
        <v>3.0000047397672119E-2</v>
      </c>
    </row>
    <row r="51" spans="1:13" ht="15.75">
      <c r="A51" s="67"/>
      <c r="B51" s="141" t="s">
        <v>202</v>
      </c>
      <c r="C51" s="140"/>
      <c r="D51" s="140"/>
      <c r="E51" s="140"/>
      <c r="F51" s="1554"/>
      <c r="G51" s="1572">
        <v>91807.7</v>
      </c>
      <c r="H51" s="1572">
        <v>94561.93</v>
      </c>
      <c r="I51" s="631">
        <f>IF(G51&lt;1," ",IF(H51&lt;1," ",(H51-G51)/G51))</f>
        <v>2.9999989107667397E-2</v>
      </c>
      <c r="J51" s="1572">
        <v>97398.78</v>
      </c>
      <c r="K51" s="486">
        <f>IF(H51&lt;1," ",IF(J51&lt;1," ",(J51-H51)/H51))</f>
        <v>2.9999916456865949E-2</v>
      </c>
    </row>
    <row r="52" spans="1:13" ht="15.75">
      <c r="A52" s="67"/>
      <c r="B52" s="146" t="s">
        <v>203</v>
      </c>
      <c r="C52" s="140"/>
      <c r="D52" s="140"/>
      <c r="E52" s="140"/>
      <c r="F52" s="1554"/>
      <c r="G52" s="1572"/>
      <c r="H52" s="1572">
        <v>4167.5899999999965</v>
      </c>
      <c r="I52" s="487" t="str">
        <f>IF(G52&lt;1," ",IF(H52&lt;1," ",(H52-G52)/G52))</f>
        <v xml:space="preserve"> </v>
      </c>
      <c r="J52" s="1572">
        <v>4292.6200000000244</v>
      </c>
      <c r="K52" s="486">
        <f>IF(H52&lt;1," ",IF(J52&lt;1," ",(J52-H52)/H52))</f>
        <v>3.000055187771063E-2</v>
      </c>
      <c r="L52" s="1240"/>
    </row>
    <row r="53" spans="1:13" ht="15.75">
      <c r="A53" s="67"/>
      <c r="B53" s="146" t="s">
        <v>204</v>
      </c>
      <c r="C53" s="140"/>
      <c r="D53" s="140"/>
      <c r="E53" s="140"/>
      <c r="F53" s="1554"/>
      <c r="G53" s="1572">
        <v>7432.11</v>
      </c>
      <c r="H53" s="1572">
        <v>7655.0780000000004</v>
      </c>
      <c r="I53" s="487">
        <f>IF(G53&lt;1," ",IF(H53&lt;1," ",(H53-G53)/G53))</f>
        <v>3.0000632391070741E-2</v>
      </c>
      <c r="J53" s="1572">
        <v>7884.72</v>
      </c>
      <c r="K53" s="486">
        <f>IF(H53&lt;1," ",IF(J53&lt;1," ",(J53-H53)/H53))</f>
        <v>2.999864926262016E-2</v>
      </c>
    </row>
    <row r="54" spans="1:13" ht="15.75">
      <c r="A54" s="67"/>
      <c r="B54" s="141" t="s">
        <v>205</v>
      </c>
      <c r="C54" s="140"/>
      <c r="D54" s="140"/>
      <c r="E54" s="140"/>
      <c r="F54" s="1554"/>
      <c r="G54" s="1572">
        <v>12796.71</v>
      </c>
      <c r="H54" s="1572">
        <v>13180.61</v>
      </c>
      <c r="I54" s="487">
        <f>IF(G54&lt;1," ",IF(H54&lt;1," ",(H54-G54)/G54))</f>
        <v>2.9999898411388667E-2</v>
      </c>
      <c r="J54" s="1572">
        <v>13576.03</v>
      </c>
      <c r="K54" s="486">
        <f>IF(H54&lt;1," ",IF(J54&lt;1," ",(J54-H54)/H54))</f>
        <v>3.0000128977338687E-2</v>
      </c>
    </row>
    <row r="55" spans="1:13" ht="15.75">
      <c r="A55" s="67"/>
      <c r="B55" s="141" t="s">
        <v>206</v>
      </c>
      <c r="C55" s="140"/>
      <c r="D55" s="140"/>
      <c r="E55" s="140"/>
      <c r="F55" s="1554"/>
      <c r="G55" s="1362">
        <v>0.2291</v>
      </c>
      <c r="H55" s="1362">
        <v>0.26100000000000001</v>
      </c>
      <c r="I55" s="487">
        <f>H55-G55</f>
        <v>3.1900000000000012E-2</v>
      </c>
      <c r="J55" s="1362">
        <v>0.27100000000000002</v>
      </c>
      <c r="K55" s="486">
        <f>J55-H55</f>
        <v>1.0000000000000009E-2</v>
      </c>
    </row>
    <row r="56" spans="1:13" ht="5.25" customHeight="1">
      <c r="A56" s="67"/>
      <c r="B56" s="1310"/>
      <c r="C56" s="152"/>
      <c r="D56" s="152"/>
      <c r="E56" s="152"/>
      <c r="F56" s="1311"/>
      <c r="G56" s="1312"/>
      <c r="H56" s="1312"/>
      <c r="I56" s="1313"/>
      <c r="J56" s="1312"/>
      <c r="K56" s="1582"/>
    </row>
    <row r="57" spans="1:13" ht="15.75">
      <c r="A57" s="67"/>
      <c r="B57" s="1688" t="s">
        <v>197</v>
      </c>
      <c r="C57" s="1688"/>
      <c r="D57" s="1688"/>
      <c r="E57" s="1688"/>
      <c r="F57" s="1688"/>
      <c r="G57" s="1688"/>
      <c r="H57" s="1688"/>
      <c r="I57" s="1688"/>
      <c r="J57" s="1688"/>
      <c r="K57" s="1689"/>
    </row>
    <row r="58" spans="1:13" ht="82.5" customHeight="1">
      <c r="A58" s="67"/>
      <c r="B58" s="1690"/>
      <c r="C58" s="1691"/>
      <c r="D58" s="1691"/>
      <c r="E58" s="1691"/>
      <c r="F58" s="1691"/>
      <c r="G58" s="1691"/>
      <c r="H58" s="1691"/>
      <c r="I58" s="1691"/>
      <c r="J58" s="1691"/>
      <c r="K58" s="1692"/>
    </row>
    <row r="59" spans="1:13">
      <c r="A59" s="238"/>
      <c r="H59" s="1583"/>
      <c r="J59" s="1583"/>
      <c r="K59" s="470"/>
    </row>
    <row r="60" spans="1:13" ht="15.75">
      <c r="A60" s="686" t="s">
        <v>207</v>
      </c>
      <c r="K60" s="470"/>
      <c r="M60" s="1309"/>
    </row>
    <row r="61" spans="1:13" ht="15.75">
      <c r="A61" s="238"/>
      <c r="B61" s="1272" t="s">
        <v>208</v>
      </c>
      <c r="C61" s="1273"/>
      <c r="D61" s="145"/>
      <c r="E61" s="145"/>
      <c r="F61" s="1554"/>
      <c r="G61" s="1573">
        <v>6.2E-2</v>
      </c>
      <c r="H61" s="1362">
        <v>6.2E-2</v>
      </c>
      <c r="I61" s="487">
        <f>H61-G61</f>
        <v>0</v>
      </c>
      <c r="J61" s="1362">
        <v>6.2E-2</v>
      </c>
      <c r="K61" s="486">
        <f>J61-H61</f>
        <v>0</v>
      </c>
      <c r="L61" s="1240"/>
      <c r="M61" s="1309"/>
    </row>
    <row r="62" spans="1:13" ht="15.75">
      <c r="A62" s="238"/>
      <c r="B62" s="1272" t="s">
        <v>209</v>
      </c>
      <c r="C62" s="145"/>
      <c r="D62" s="145"/>
      <c r="E62" s="145"/>
      <c r="F62" s="1554"/>
      <c r="G62" s="1573">
        <v>1.4500000000000001E-2</v>
      </c>
      <c r="H62" s="1362">
        <v>1.4500000000000001E-2</v>
      </c>
      <c r="I62" s="487">
        <f>H62-G62</f>
        <v>0</v>
      </c>
      <c r="J62" s="1362">
        <v>1.4500000000000001E-2</v>
      </c>
      <c r="K62" s="486">
        <f>J62-H62</f>
        <v>0</v>
      </c>
      <c r="L62" s="1240"/>
      <c r="M62" s="1309"/>
    </row>
    <row r="63" spans="1:13" ht="15.75">
      <c r="A63" s="238"/>
      <c r="B63" s="1272" t="s">
        <v>210</v>
      </c>
      <c r="C63" s="145"/>
      <c r="D63" s="145"/>
      <c r="E63" s="145"/>
      <c r="F63" s="1554"/>
      <c r="G63" s="1433">
        <v>1.23E-2</v>
      </c>
      <c r="H63" s="1362">
        <v>2E-3</v>
      </c>
      <c r="I63" s="487">
        <f>H63-G63</f>
        <v>-1.03E-2</v>
      </c>
      <c r="J63" s="1362">
        <v>2E-3</v>
      </c>
      <c r="K63" s="486">
        <f>J63-H63</f>
        <v>0</v>
      </c>
      <c r="L63" s="1240"/>
      <c r="M63" s="1309"/>
    </row>
    <row r="64" spans="1:13" ht="15.75">
      <c r="A64" s="238"/>
      <c r="B64" s="1272" t="s">
        <v>211</v>
      </c>
      <c r="C64" s="145"/>
      <c r="D64" s="145"/>
      <c r="E64" s="145"/>
      <c r="F64" s="1554"/>
      <c r="G64" s="1599">
        <v>2.3002000000000002E-2</v>
      </c>
      <c r="H64" s="1599">
        <v>2.3002000000000002E-2</v>
      </c>
      <c r="I64" s="1574">
        <f>H64-G64</f>
        <v>0</v>
      </c>
      <c r="J64" s="1599">
        <v>2.3002000000000002E-2</v>
      </c>
      <c r="K64" s="1575">
        <f>J64-H64</f>
        <v>0</v>
      </c>
      <c r="L64" s="1240"/>
    </row>
    <row r="65" spans="1:11" ht="17.25" customHeight="1">
      <c r="A65" s="283"/>
      <c r="B65" s="332"/>
      <c r="C65" s="332"/>
      <c r="D65" s="332"/>
      <c r="E65" s="332"/>
      <c r="F65" s="665"/>
      <c r="G65" s="1233"/>
      <c r="H65" s="1234"/>
      <c r="I65" s="1052"/>
      <c r="J65" s="1235"/>
      <c r="K65" s="312"/>
    </row>
    <row r="66" spans="1:11" ht="15.75">
      <c r="A66" s="684" t="s">
        <v>212</v>
      </c>
      <c r="B66" s="165"/>
      <c r="C66" s="165"/>
      <c r="D66" s="165"/>
      <c r="E66" s="165"/>
      <c r="F66" s="662"/>
      <c r="G66" s="1233"/>
      <c r="H66" s="1234"/>
      <c r="I66" s="550"/>
      <c r="J66" s="1592"/>
      <c r="K66" s="551"/>
    </row>
    <row r="67" spans="1:11" ht="15.75">
      <c r="A67" s="67"/>
      <c r="B67" s="1593" t="s">
        <v>213</v>
      </c>
      <c r="C67" s="140"/>
      <c r="D67" s="140"/>
      <c r="E67" s="140"/>
      <c r="F67" s="1554"/>
      <c r="G67" s="1572">
        <v>1152802.93</v>
      </c>
      <c r="H67" s="1572">
        <v>1187387.0178999999</v>
      </c>
      <c r="I67" s="487">
        <f>IF(G67&lt;1," ",IF(H67&lt;1," ",(H67-G67)/G67))</f>
        <v>2.9999999999999936E-2</v>
      </c>
      <c r="J67" s="1572">
        <v>1223008.6284369999</v>
      </c>
      <c r="K67" s="486">
        <f>IF(H67&lt;1," ",IF(J67&lt;1," ",(J67-H67)/H67))</f>
        <v>3.0000000000000002E-2</v>
      </c>
    </row>
    <row r="68" spans="1:11" ht="15.75">
      <c r="A68" s="67"/>
      <c r="B68" s="146" t="s">
        <v>214</v>
      </c>
      <c r="C68" s="140"/>
      <c r="D68" s="140"/>
      <c r="E68" s="140"/>
      <c r="F68" s="1554"/>
      <c r="G68" s="1572">
        <v>156406.39999999999</v>
      </c>
      <c r="H68" s="1572">
        <v>161098.592</v>
      </c>
      <c r="I68" s="487">
        <f>IF(G68&lt;1," ",IF(H68&lt;1," ",(H68-G68)/G68))</f>
        <v>3.0000000000000065E-2</v>
      </c>
      <c r="J68" s="1572">
        <v>165931.54975999999</v>
      </c>
      <c r="K68" s="486">
        <f>IF(H68&lt;1," ",IF(J68&lt;1," ",(J68-H68)/H68))</f>
        <v>2.999999999999994E-2</v>
      </c>
    </row>
    <row r="69" spans="1:11" ht="15.75">
      <c r="A69" s="67"/>
      <c r="B69" s="146" t="s">
        <v>215</v>
      </c>
      <c r="C69" s="140"/>
      <c r="D69" s="140"/>
      <c r="E69" s="140"/>
      <c r="F69" s="1554"/>
      <c r="G69" s="1572" t="s">
        <v>216</v>
      </c>
      <c r="H69" s="1572" t="s">
        <v>216</v>
      </c>
      <c r="I69" s="487" t="e">
        <f>IF(G69&lt;1," ",IF(H69&lt;1," ",(H69-G69)/G69))</f>
        <v>#VALUE!</v>
      </c>
      <c r="J69" s="1572" t="s">
        <v>216</v>
      </c>
      <c r="K69" s="486" t="e">
        <f>IF(H69&lt;1," ",IF(J69&lt;1," ",(J69-H69)/H69))</f>
        <v>#VALUE!</v>
      </c>
    </row>
    <row r="70" spans="1:11" ht="15.75">
      <c r="A70" s="67"/>
      <c r="B70" s="146" t="s">
        <v>217</v>
      </c>
      <c r="C70" s="140"/>
      <c r="D70" s="140"/>
      <c r="E70" s="140"/>
      <c r="F70" s="1554"/>
      <c r="G70" s="1572"/>
      <c r="H70" s="1572"/>
      <c r="I70" s="487" t="str">
        <f>IF(G70&lt;1," ",IF(H70&lt;1," ",(H70-G70)/G70))</f>
        <v xml:space="preserve"> </v>
      </c>
      <c r="J70" s="1572"/>
      <c r="K70" s="486" t="str">
        <f>IF(H70&lt;1," ",IF(J70&lt;1," ",(J70-H70)/H70))</f>
        <v xml:space="preserve"> </v>
      </c>
    </row>
    <row r="71" spans="1:11" ht="5.25" customHeight="1">
      <c r="A71" s="67"/>
      <c r="B71" s="1310"/>
      <c r="C71" s="152"/>
      <c r="D71" s="152"/>
      <c r="E71" s="152"/>
      <c r="F71" s="1311"/>
      <c r="G71" s="1312"/>
      <c r="H71" s="1312"/>
      <c r="I71" s="1313"/>
      <c r="J71" s="1312"/>
      <c r="K71" s="1582"/>
    </row>
    <row r="72" spans="1:11" ht="15.75">
      <c r="A72" s="67"/>
      <c r="B72" s="1688" t="s">
        <v>218</v>
      </c>
      <c r="C72" s="1688"/>
      <c r="D72" s="1688"/>
      <c r="E72" s="1688"/>
      <c r="F72" s="1688"/>
      <c r="G72" s="1688"/>
      <c r="H72" s="1688"/>
      <c r="I72" s="1688"/>
      <c r="J72" s="1688"/>
      <c r="K72" s="1689"/>
    </row>
    <row r="73" spans="1:11" ht="82.5" customHeight="1">
      <c r="A73" s="67"/>
      <c r="B73" s="1690"/>
      <c r="C73" s="1691"/>
      <c r="D73" s="1691"/>
      <c r="E73" s="1691"/>
      <c r="F73" s="1691"/>
      <c r="G73" s="1691"/>
      <c r="H73" s="1691"/>
      <c r="I73" s="1691"/>
      <c r="J73" s="1691"/>
      <c r="K73" s="1692"/>
    </row>
    <row r="74" spans="1:11" ht="15.75">
      <c r="A74" s="1314"/>
      <c r="B74" s="1315"/>
      <c r="C74" s="1315"/>
      <c r="D74" s="1315"/>
      <c r="E74" s="1315"/>
      <c r="F74" s="665"/>
      <c r="G74" s="1316"/>
      <c r="H74" s="1317"/>
      <c r="I74" s="1318"/>
      <c r="J74" s="1319"/>
      <c r="K74" s="1320"/>
    </row>
    <row r="75" spans="1:11" ht="15.75">
      <c r="A75" s="305" t="s">
        <v>219</v>
      </c>
      <c r="C75" s="1"/>
      <c r="D75" s="1"/>
      <c r="E75" s="1"/>
      <c r="F75" s="151"/>
      <c r="G75" s="1594"/>
      <c r="H75" s="1594"/>
      <c r="I75" s="158"/>
      <c r="J75" s="1594"/>
      <c r="K75" s="1322"/>
    </row>
    <row r="76" spans="1:11" ht="15.75">
      <c r="A76" s="67"/>
      <c r="B76" s="690">
        <v>0.01</v>
      </c>
      <c r="C76" s="140" t="s">
        <v>220</v>
      </c>
      <c r="D76" s="140"/>
      <c r="E76" s="140"/>
      <c r="F76" s="1554"/>
      <c r="G76" s="975">
        <f>B76*('Budget-Summary MYP'!F13+'Budget-Summary MYP'!F14+'Budget-Summary MYP'!F15+'Budget-Summary MYP'!F16)</f>
        <v>86095.63</v>
      </c>
      <c r="H76" s="975">
        <f>B76*('Budget-Summary MYP'!H13+'Budget-Summary MYP'!H14+'Budget-Summary MYP'!H15+'Budget-Summary MYP'!H16)</f>
        <v>88125.540000000008</v>
      </c>
      <c r="I76" s="271">
        <f>IF(G76&lt;1," ",IF(H76&lt;1," ",(H76-G76)/G76))</f>
        <v>2.3577387144968955E-2</v>
      </c>
      <c r="J76" s="975">
        <f>B76*('Budget-Summary MYP'!J13+'Budget-Summary MYP'!J14+'Budget-Summary MYP'!J15+'Budget-Summary MYP'!J16)</f>
        <v>90864.38</v>
      </c>
      <c r="K76" s="307">
        <f>IF(H76&lt;1," ",IF(J76&lt;1," ",(J76-H76)/H76))</f>
        <v>3.1078845020410611E-2</v>
      </c>
    </row>
    <row r="77" spans="1:11" ht="15.75">
      <c r="A77" s="67"/>
      <c r="B77" s="153"/>
      <c r="C77" s="140" t="s">
        <v>221</v>
      </c>
      <c r="D77" s="140"/>
      <c r="E77" s="140"/>
      <c r="F77" s="1554"/>
      <c r="G77" s="1576">
        <v>226592</v>
      </c>
      <c r="H77" s="1576">
        <v>233389.76</v>
      </c>
      <c r="I77" s="271">
        <f>IF(G77&lt;1," ",IF(H77&lt;1," ",(H77-G77)/G77))</f>
        <v>3.0000000000000041E-2</v>
      </c>
      <c r="J77" s="1576">
        <v>240391.45280000003</v>
      </c>
      <c r="K77" s="307">
        <f>IF(H77&lt;1," ",IF(J77&lt;1," ",(J77-H77)/H77))</f>
        <v>3.0000000000000079E-2</v>
      </c>
    </row>
    <row r="78" spans="1:11" ht="15.75">
      <c r="A78" s="67"/>
      <c r="B78" s="146"/>
      <c r="C78" s="140" t="s">
        <v>222</v>
      </c>
      <c r="D78" s="140"/>
      <c r="E78" s="140"/>
      <c r="F78" s="1554"/>
      <c r="G78" s="1576"/>
      <c r="H78" s="1576"/>
      <c r="I78" s="1577" t="str">
        <f>IF(G78&lt;1," ",IF(H78&lt;1," ",(H78-G78)/G78))</f>
        <v xml:space="preserve"> </v>
      </c>
      <c r="J78" s="1576"/>
      <c r="K78" s="605" t="str">
        <f>IF(H78&lt;1," ",IF(J78&lt;1," ",(J78-H78)/H78))</f>
        <v xml:space="preserve"> </v>
      </c>
    </row>
    <row r="79" spans="1:11" ht="15.75">
      <c r="A79" s="283"/>
      <c r="B79" s="332"/>
      <c r="C79" s="332"/>
      <c r="D79" s="332"/>
      <c r="E79" s="332"/>
      <c r="F79" s="665"/>
      <c r="G79" s="666"/>
      <c r="H79" s="667"/>
      <c r="I79" s="493"/>
      <c r="J79" s="668"/>
      <c r="K79" s="669"/>
    </row>
    <row r="80" spans="1:11" ht="15.75">
      <c r="A80" s="684" t="s">
        <v>223</v>
      </c>
      <c r="C80" s="154"/>
      <c r="D80" s="154"/>
      <c r="E80" s="154"/>
      <c r="F80" s="151"/>
      <c r="G80" s="678"/>
      <c r="H80" s="678"/>
      <c r="I80" s="679"/>
      <c r="J80" s="678"/>
      <c r="K80" s="680"/>
    </row>
    <row r="81" spans="1:12" ht="15.75">
      <c r="A81" s="286"/>
      <c r="B81" s="1694" t="s">
        <v>224</v>
      </c>
      <c r="C81" s="1694"/>
      <c r="D81" s="1694"/>
      <c r="E81" s="1694"/>
      <c r="F81" s="1694"/>
      <c r="G81" s="1576">
        <v>120000</v>
      </c>
      <c r="H81" s="1576"/>
      <c r="I81" s="1577" t="str">
        <f t="shared" ref="I81:I88" si="2">IF(G81&lt;1," ",IF(H81&lt;1," ",(H81-G81)/G81))</f>
        <v xml:space="preserve"> </v>
      </c>
      <c r="J81" s="1576"/>
      <c r="K81" s="605" t="str">
        <f t="shared" ref="K81:K88" si="3">IF(H81&lt;1," ",IF(J81&lt;1," ",(J81-H81)/H81))</f>
        <v xml:space="preserve"> </v>
      </c>
      <c r="L81" s="1240"/>
    </row>
    <row r="82" spans="1:12" ht="15.75">
      <c r="A82" s="286"/>
      <c r="B82" s="1694" t="s">
        <v>225</v>
      </c>
      <c r="C82" s="1694"/>
      <c r="D82" s="1694"/>
      <c r="E82" s="1694"/>
      <c r="F82" s="1694"/>
      <c r="G82" s="1576">
        <v>651000</v>
      </c>
      <c r="H82" s="1576"/>
      <c r="I82" s="487" t="str">
        <f t="shared" si="2"/>
        <v xml:space="preserve"> </v>
      </c>
      <c r="J82" s="1576"/>
      <c r="K82" s="486" t="str">
        <f t="shared" si="3"/>
        <v xml:space="preserve"> </v>
      </c>
    </row>
    <row r="83" spans="1:12" ht="15.75">
      <c r="A83" s="286"/>
      <c r="B83" s="1694" t="s">
        <v>226</v>
      </c>
      <c r="C83" s="1694"/>
      <c r="D83" s="1694"/>
      <c r="E83" s="1694"/>
      <c r="F83" s="1694"/>
      <c r="G83" s="1576">
        <v>121000</v>
      </c>
      <c r="H83" s="1576"/>
      <c r="I83" s="487" t="str">
        <f t="shared" si="2"/>
        <v xml:space="preserve"> </v>
      </c>
      <c r="J83" s="1576"/>
      <c r="K83" s="486" t="str">
        <f t="shared" si="3"/>
        <v xml:space="preserve"> </v>
      </c>
    </row>
    <row r="84" spans="1:12" ht="15.75">
      <c r="A84" s="286"/>
      <c r="B84" s="1694"/>
      <c r="C84" s="1694"/>
      <c r="D84" s="1694"/>
      <c r="E84" s="1694"/>
      <c r="F84" s="1694"/>
      <c r="G84" s="1576"/>
      <c r="H84" s="1576"/>
      <c r="I84" s="487" t="str">
        <f t="shared" si="2"/>
        <v xml:space="preserve"> </v>
      </c>
      <c r="J84" s="1576"/>
      <c r="K84" s="486" t="str">
        <f t="shared" si="3"/>
        <v xml:space="preserve"> </v>
      </c>
    </row>
    <row r="85" spans="1:12" ht="15.75">
      <c r="A85" s="286"/>
      <c r="B85" s="1694"/>
      <c r="C85" s="1694"/>
      <c r="D85" s="1694"/>
      <c r="E85" s="1694"/>
      <c r="F85" s="1694"/>
      <c r="G85" s="1576"/>
      <c r="H85" s="1576"/>
      <c r="I85" s="487" t="str">
        <f t="shared" si="2"/>
        <v xml:space="preserve"> </v>
      </c>
      <c r="J85" s="1576"/>
      <c r="K85" s="486" t="str">
        <f t="shared" si="3"/>
        <v xml:space="preserve"> </v>
      </c>
    </row>
    <row r="86" spans="1:12" ht="15.75">
      <c r="A86" s="286"/>
      <c r="B86" s="1694"/>
      <c r="C86" s="1694"/>
      <c r="D86" s="1694"/>
      <c r="E86" s="1694"/>
      <c r="F86" s="1694"/>
      <c r="G86" s="1576"/>
      <c r="H86" s="1576"/>
      <c r="I86" s="487" t="str">
        <f t="shared" si="2"/>
        <v xml:space="preserve"> </v>
      </c>
      <c r="J86" s="1576"/>
      <c r="K86" s="486" t="str">
        <f t="shared" si="3"/>
        <v xml:space="preserve"> </v>
      </c>
    </row>
    <row r="87" spans="1:12" ht="15.75">
      <c r="A87" s="286"/>
      <c r="B87" s="1694"/>
      <c r="C87" s="1694"/>
      <c r="D87" s="1694"/>
      <c r="E87" s="1694"/>
      <c r="F87" s="1694"/>
      <c r="G87" s="1578"/>
      <c r="H87" s="1578"/>
      <c r="I87" s="487" t="str">
        <f t="shared" si="2"/>
        <v xml:space="preserve"> </v>
      </c>
      <c r="J87" s="1578"/>
      <c r="K87" s="486" t="str">
        <f t="shared" si="3"/>
        <v xml:space="preserve"> </v>
      </c>
    </row>
    <row r="88" spans="1:12" ht="16.5" thickBot="1">
      <c r="A88" s="287"/>
      <c r="B88" s="1695"/>
      <c r="C88" s="1695"/>
      <c r="D88" s="1695"/>
      <c r="E88" s="1695"/>
      <c r="F88" s="1695"/>
      <c r="G88" s="1579"/>
      <c r="H88" s="1579"/>
      <c r="I88" s="1580" t="str">
        <f t="shared" si="2"/>
        <v xml:space="preserve"> </v>
      </c>
      <c r="J88" s="1579"/>
      <c r="K88" s="1581" t="str">
        <f t="shared" si="3"/>
        <v xml:space="preserve"> </v>
      </c>
    </row>
  </sheetData>
  <sheetProtection password="CC5F" sheet="1" objects="1" scenarios="1"/>
  <mergeCells count="18">
    <mergeCell ref="B87:F87"/>
    <mergeCell ref="B88:F88"/>
    <mergeCell ref="B81:F81"/>
    <mergeCell ref="B82:F82"/>
    <mergeCell ref="B83:F83"/>
    <mergeCell ref="B84:F84"/>
    <mergeCell ref="B85:F85"/>
    <mergeCell ref="B86:F86"/>
    <mergeCell ref="A1:F1"/>
    <mergeCell ref="A2:F2"/>
    <mergeCell ref="A3:F3"/>
    <mergeCell ref="B45:K45"/>
    <mergeCell ref="B44:K44"/>
    <mergeCell ref="B57:K57"/>
    <mergeCell ref="B58:K58"/>
    <mergeCell ref="B72:K72"/>
    <mergeCell ref="B73:K73"/>
    <mergeCell ref="A4:K4"/>
  </mergeCells>
  <conditionalFormatting sqref="G21:H21 J21">
    <cfRule type="cellIs" dxfId="366" priority="17" stopIfTrue="1" operator="equal">
      <formula>"Cell G11 can NOT be blank"</formula>
    </cfRule>
  </conditionalFormatting>
  <conditionalFormatting sqref="G21">
    <cfRule type="containsText" dxfId="365" priority="9" stopIfTrue="1" operator="containsText" text="Missing">
      <formula>NOT(ISERROR(SEARCH("Missing",G21)))</formula>
    </cfRule>
    <cfRule type="containsText" dxfId="364" priority="15" stopIfTrue="1" operator="containsText" text="Missing Data ADA Tab, cell G10">
      <formula>NOT(ISERROR(SEARCH("Missing Data ADA Tab, cell G10",G21)))</formula>
    </cfRule>
    <cfRule type="containsText" dxfId="363" priority="16" stopIfTrue="1" operator="containsText" text="Missing Data ADA Tab cell G10">
      <formula>NOT(ISERROR(SEARCH("Missing Data ADA Tab cell G10",G21)))</formula>
    </cfRule>
  </conditionalFormatting>
  <conditionalFormatting sqref="H21">
    <cfRule type="containsText" dxfId="362" priority="13" stopIfTrue="1" operator="containsText" text="Missing Data ADA Tab, cell G10">
      <formula>NOT(ISERROR(SEARCH("Missing Data ADA Tab, cell G10",H21)))</formula>
    </cfRule>
    <cfRule type="containsText" dxfId="361" priority="14" stopIfTrue="1" operator="containsText" text="Missing Data ADA Tab cell G10">
      <formula>NOT(ISERROR(SEARCH("Missing Data ADA Tab cell G10",H21)))</formula>
    </cfRule>
  </conditionalFormatting>
  <conditionalFormatting sqref="J21">
    <cfRule type="containsText" dxfId="360" priority="11" stopIfTrue="1" operator="containsText" text="Missing Data ADA Tab, cell G10">
      <formula>NOT(ISERROR(SEARCH("Missing Data ADA Tab, cell G10",J21)))</formula>
    </cfRule>
    <cfRule type="containsText" dxfId="359" priority="12" stopIfTrue="1" operator="containsText" text="Missing Data ADA Tab cell G10">
      <formula>NOT(ISERROR(SEARCH("Missing Data ADA Tab cell G10",J21)))</formula>
    </cfRule>
  </conditionalFormatting>
  <conditionalFormatting sqref="A1:A3">
    <cfRule type="containsText" dxfId="358" priority="10" stopIfTrue="1" operator="containsText" text="Enter">
      <formula>NOT(ISERROR(SEARCH("Enter",A1)))</formula>
    </cfRule>
  </conditionalFormatting>
  <conditionalFormatting sqref="H21">
    <cfRule type="containsText" dxfId="357" priority="6" stopIfTrue="1" operator="containsText" text="Missing">
      <formula>NOT(ISERROR(SEARCH("Missing",H21)))</formula>
    </cfRule>
    <cfRule type="containsText" dxfId="356" priority="7" stopIfTrue="1" operator="containsText" text="Missing Data ADA Tab, cell G10">
      <formula>NOT(ISERROR(SEARCH("Missing Data ADA Tab, cell G10",H21)))</formula>
    </cfRule>
    <cfRule type="containsText" dxfId="355" priority="8" stopIfTrue="1" operator="containsText" text="Missing Data ADA Tab cell G10">
      <formula>NOT(ISERROR(SEARCH("Missing Data ADA Tab cell G10",H21)))</formula>
    </cfRule>
  </conditionalFormatting>
  <conditionalFormatting sqref="J21">
    <cfRule type="containsText" dxfId="354" priority="4" stopIfTrue="1" operator="containsText" text="Missing Data ADA Tab, cell G10">
      <formula>NOT(ISERROR(SEARCH("Missing Data ADA Tab, cell G10",J21)))</formula>
    </cfRule>
    <cfRule type="containsText" dxfId="353" priority="5" stopIfTrue="1" operator="containsText" text="Missing Data ADA Tab cell G10">
      <formula>NOT(ISERROR(SEARCH("Missing Data ADA Tab cell G10",J21)))</formula>
    </cfRule>
  </conditionalFormatting>
  <conditionalFormatting sqref="J21">
    <cfRule type="containsText" dxfId="352" priority="1" stopIfTrue="1" operator="containsText" text="Missing">
      <formula>NOT(ISERROR(SEARCH("Missing",J21)))</formula>
    </cfRule>
    <cfRule type="containsText" dxfId="351" priority="2" stopIfTrue="1" operator="containsText" text="Missing Data ADA Tab, cell G10">
      <formula>NOT(ISERROR(SEARCH("Missing Data ADA Tab, cell G10",J21)))</formula>
    </cfRule>
    <cfRule type="containsText" dxfId="350" priority="3" stopIfTrue="1" operator="containsText" text="Missing Data ADA Tab cell G10">
      <formula>NOT(ISERROR(SEARCH("Missing Data ADA Tab cell G10",J21)))</formula>
    </cfRule>
  </conditionalFormatting>
  <pageMargins left="0.7" right="0.7" top="0.75" bottom="0.75" header="0.3" footer="0.3"/>
  <pageSetup scale="56" fitToHeight="0" orientation="portrait" r:id="rId1"/>
  <headerFooter>
    <oddFooter>Page &amp;P of &amp;N</oddFooter>
  </headerFooter>
  <rowBreaks count="1" manualBreakCount="1">
    <brk id="64" max="10" man="1"/>
  </rowBreaks>
  <customProperties>
    <customPr name="DrillPoint.FROID" r:id="rId2"/>
    <customPr name="DrillPoint.Mode" r:id="rId3"/>
    <customPr name="DrillPoint.Subsheet" r:id="rId4"/>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
    <tabColor theme="6" tint="-0.249977111117893"/>
    <pageSetUpPr autoPageBreaks="0"/>
  </sheetPr>
  <dimension ref="A1:L239"/>
  <sheetViews>
    <sheetView showGridLines="0" zoomScaleNormal="100" zoomScaleSheetLayoutView="100" workbookViewId="0">
      <pane xSplit="4" ySplit="10" topLeftCell="E35" activePane="bottomRight" state="frozen"/>
      <selection pane="topRight" activeCell="H25" sqref="H25"/>
      <selection pane="bottomLeft" activeCell="H25" sqref="H25"/>
      <selection pane="bottomRight" activeCell="F49" sqref="F49"/>
    </sheetView>
  </sheetViews>
  <sheetFormatPr defaultRowHeight="12.75"/>
  <cols>
    <col min="1" max="1" width="5.42578125" customWidth="1"/>
    <col min="2" max="2" width="3" customWidth="1"/>
    <col min="3" max="3" width="85.140625" customWidth="1"/>
    <col min="4" max="4" width="11" customWidth="1"/>
    <col min="5" max="6" width="14.5703125" customWidth="1"/>
    <col min="7" max="7" width="10.5703125" customWidth="1"/>
    <col min="8" max="8" width="14.5703125" customWidth="1"/>
    <col min="9" max="9" width="10.5703125" customWidth="1"/>
    <col min="10" max="10" width="14.5703125" customWidth="1"/>
    <col min="11" max="11" width="10.5703125" customWidth="1"/>
    <col min="12" max="12" width="75.42578125" style="1212" customWidth="1"/>
    <col min="13" max="35" width="9.140625" customWidth="1"/>
  </cols>
  <sheetData>
    <row r="1" spans="1:12" ht="15.75">
      <c r="A1" s="1636" t="str">
        <f>IF('BUDGET-CERTIFICATION'!$H$1="","CHARTER NAME: Enter Charter Name on BUDGET-CERTIFICATION Worksheet",(CONCATENATE("CHARTER NAME: ",'BUDGET-CERTIFICATION'!$H$1)))</f>
        <v>CHARTER NAME: Encore High School -</v>
      </c>
      <c r="B1" s="1636"/>
      <c r="C1" s="1636"/>
      <c r="D1" s="1636"/>
      <c r="E1" s="11"/>
      <c r="F1" s="11"/>
      <c r="G1" s="157"/>
      <c r="H1" s="11"/>
      <c r="I1" s="156"/>
      <c r="J1" s="1"/>
      <c r="K1" s="158"/>
    </row>
    <row r="2" spans="1:12" ht="15.75">
      <c r="A2" s="1636" t="str">
        <f>IF('BUDGET-CERTIFICATION'!$H$2="","CDS #: Enter Charter CDS # on BUDGET-CERTIFICATION Worksheet",(_xlfn.CONCAT("CDS #: ",'BUDGET-CERTIFICATION'!$H$2)))</f>
        <v>CDS #: 35-75044-01166707</v>
      </c>
      <c r="B2" s="1636"/>
      <c r="C2" s="1636"/>
      <c r="D2" s="1636"/>
      <c r="E2" s="11"/>
      <c r="F2" s="81"/>
      <c r="G2" s="157"/>
      <c r="H2" s="81"/>
      <c r="I2" s="157"/>
      <c r="J2" s="1"/>
      <c r="K2" s="158"/>
    </row>
    <row r="3" spans="1:12" ht="15.75">
      <c r="A3" s="1636" t="str">
        <f>IF('BUDGET-CERTIFICATION'!$H$5="","CHARTER #: Enter Charter # on BUDGET-CERTIFICATION Worksheet",(_xlfn.CONCAT("CHARTER #: ",'BUDGET-CERTIFICATION'!$H$5)))</f>
        <v>CHARTER #: 971</v>
      </c>
      <c r="B3" s="1636"/>
      <c r="C3" s="1636"/>
      <c r="D3" s="1636"/>
      <c r="E3" s="11"/>
      <c r="F3" s="11"/>
      <c r="G3" s="156"/>
      <c r="H3" s="11"/>
      <c r="I3" s="156"/>
      <c r="J3" s="1"/>
      <c r="K3" s="158"/>
    </row>
    <row r="4" spans="1:12" ht="15.75">
      <c r="A4" s="2"/>
      <c r="B4" s="52"/>
      <c r="C4" s="52"/>
      <c r="D4" s="159" t="str">
        <f>'Budget-ADA'!I4</f>
        <v>Fiscal Year 2021-22 Budget</v>
      </c>
      <c r="E4" s="52"/>
      <c r="F4" s="52"/>
      <c r="G4" s="52"/>
      <c r="H4" s="52"/>
      <c r="I4" s="52"/>
      <c r="J4" s="52"/>
      <c r="K4" s="52"/>
    </row>
    <row r="5" spans="1:12" ht="15.75">
      <c r="A5" s="11"/>
      <c r="B5" s="11"/>
      <c r="C5" s="52"/>
      <c r="D5" s="159" t="s">
        <v>227</v>
      </c>
      <c r="E5" s="52"/>
      <c r="F5" s="52"/>
      <c r="G5" s="160"/>
      <c r="H5" s="52"/>
      <c r="I5" s="160"/>
      <c r="J5" s="1"/>
      <c r="K5" s="161"/>
    </row>
    <row r="6" spans="1:12" ht="16.5" thickBot="1">
      <c r="A6" s="1089" t="str">
        <f>Instructions!H1</f>
        <v>Rev. 5/28/2021</v>
      </c>
      <c r="B6" s="11"/>
      <c r="C6" s="11"/>
      <c r="D6" s="11"/>
      <c r="E6" s="11"/>
      <c r="F6" s="11"/>
      <c r="G6" s="156"/>
      <c r="H6" s="11"/>
      <c r="I6" s="156"/>
      <c r="J6" s="1"/>
      <c r="K6" s="158"/>
    </row>
    <row r="7" spans="1:12" ht="15.75">
      <c r="A7" s="241"/>
      <c r="B7" s="236"/>
      <c r="C7" s="236"/>
      <c r="D7" s="298"/>
      <c r="E7" s="299"/>
      <c r="F7" s="299"/>
      <c r="G7" s="300"/>
      <c r="H7" s="299" t="s">
        <v>103</v>
      </c>
      <c r="I7" s="300"/>
      <c r="J7" s="299" t="s">
        <v>103</v>
      </c>
      <c r="K7" s="301"/>
    </row>
    <row r="8" spans="1:12" ht="15.75">
      <c r="A8" s="1696" t="s">
        <v>228</v>
      </c>
      <c r="B8" s="1697"/>
      <c r="C8" s="1697"/>
      <c r="D8" s="53"/>
      <c r="E8" s="13" t="s">
        <v>229</v>
      </c>
      <c r="F8" s="13" t="s">
        <v>230</v>
      </c>
      <c r="G8" s="162" t="s">
        <v>231</v>
      </c>
      <c r="H8" s="13" t="s">
        <v>232</v>
      </c>
      <c r="I8" s="162" t="s">
        <v>231</v>
      </c>
      <c r="J8" s="13" t="s">
        <v>232</v>
      </c>
      <c r="K8" s="302" t="s">
        <v>231</v>
      </c>
    </row>
    <row r="9" spans="1:12" ht="15.75">
      <c r="A9" s="67"/>
      <c r="B9" s="1"/>
      <c r="C9" s="1"/>
      <c r="D9" s="53"/>
      <c r="E9" s="13" t="s">
        <v>233</v>
      </c>
      <c r="F9" s="13" t="s">
        <v>234</v>
      </c>
      <c r="G9" s="162" t="s">
        <v>161</v>
      </c>
      <c r="H9" s="13" t="s">
        <v>234</v>
      </c>
      <c r="I9" s="162" t="s">
        <v>161</v>
      </c>
      <c r="J9" s="13" t="s">
        <v>234</v>
      </c>
      <c r="K9" s="302" t="s">
        <v>161</v>
      </c>
    </row>
    <row r="10" spans="1:12" ht="16.5" thickBot="1">
      <c r="A10" s="303"/>
      <c r="B10" s="163"/>
      <c r="C10" s="163"/>
      <c r="D10" s="54"/>
      <c r="E10" s="14" t="str">
        <f>'Budget-ADA'!I7</f>
        <v>2020-21</v>
      </c>
      <c r="F10" s="207" t="str">
        <f>'Budget-Assumptions'!G6</f>
        <v>2021-22</v>
      </c>
      <c r="G10" s="164"/>
      <c r="H10" s="14" t="str">
        <f>'Budget-Assumptions'!H6</f>
        <v>2022-23</v>
      </c>
      <c r="I10" s="164"/>
      <c r="J10" s="14" t="str">
        <f>'Budget-Assumptions'!J6</f>
        <v>2023-24</v>
      </c>
      <c r="K10" s="304"/>
    </row>
    <row r="11" spans="1:12" ht="16.5" thickTop="1">
      <c r="A11" s="305" t="s">
        <v>235</v>
      </c>
      <c r="B11" s="1"/>
      <c r="C11" s="1"/>
      <c r="D11" s="336"/>
      <c r="E11" s="12"/>
      <c r="F11" s="1714"/>
      <c r="G11" s="1714"/>
      <c r="H11" s="1714"/>
      <c r="I11" s="1714"/>
      <c r="J11" s="1714"/>
      <c r="K11" s="1715"/>
    </row>
    <row r="12" spans="1:12" ht="15.75">
      <c r="A12" s="305"/>
      <c r="B12" s="277" t="s">
        <v>236</v>
      </c>
      <c r="C12" s="146"/>
      <c r="D12" s="140"/>
      <c r="E12" s="337"/>
      <c r="F12" s="1716"/>
      <c r="G12" s="1717"/>
      <c r="H12" s="1717"/>
      <c r="I12" s="1717"/>
      <c r="J12" s="1717"/>
      <c r="K12" s="1718"/>
    </row>
    <row r="13" spans="1:12" ht="15.75">
      <c r="A13" s="305"/>
      <c r="B13" s="146"/>
      <c r="C13" s="279" t="s">
        <v>237</v>
      </c>
      <c r="D13" s="345">
        <v>8011</v>
      </c>
      <c r="E13" s="691">
        <v>6902334</v>
      </c>
      <c r="F13" s="696">
        <f>'Budget-Assumptions'!G11-'Budget-Unrestricted MYP'!F14-'Budget-Unrestricted MYP'!F16</f>
        <v>6570869</v>
      </c>
      <c r="G13" s="269">
        <f>IF(E13&lt;1," ",IF(F13&lt;1," ",(F13-E13)/E13))</f>
        <v>-4.8022161778899716E-2</v>
      </c>
      <c r="H13" s="695">
        <f>'Budget-Assumptions'!H11-'Budget-Unrestricted MYP'!H14-'Budget-Unrestricted MYP'!H16</f>
        <v>8812554</v>
      </c>
      <c r="I13" s="269">
        <f>IF(F13&lt;1," ",IF(H13&lt;1," ",(H13-F13)/F13))</f>
        <v>0.34115502835317518</v>
      </c>
      <c r="J13" s="695">
        <f>'Budget-Assumptions'!J11-'Budget-Unrestricted MYP'!J14-'Budget-Unrestricted MYP'!J16</f>
        <v>9086438</v>
      </c>
      <c r="K13" s="306">
        <f>IF(H13&lt;1," ",IF(J13&lt;1," ",(J13-H13)/H13))</f>
        <v>3.1078845020410657E-2</v>
      </c>
      <c r="L13" s="1240" t="s">
        <v>238</v>
      </c>
    </row>
    <row r="14" spans="1:12" ht="15.75">
      <c r="A14" s="305"/>
      <c r="B14" s="146"/>
      <c r="C14" s="279" t="s">
        <v>239</v>
      </c>
      <c r="D14" s="345">
        <v>8012</v>
      </c>
      <c r="E14" s="691">
        <v>1969435</v>
      </c>
      <c r="F14" s="692">
        <v>1743325</v>
      </c>
      <c r="G14" s="269">
        <f>IF(E14&lt;1," ",IF(F14&lt;1," ",(F14-E14)/E14))</f>
        <v>-0.11480957736609738</v>
      </c>
      <c r="H14" s="692"/>
      <c r="I14" s="269" t="str">
        <f>IF(F14&lt;1," ",IF(H14&lt;1," ",(H14-F14)/F14))</f>
        <v xml:space="preserve"> </v>
      </c>
      <c r="J14" s="692"/>
      <c r="K14" s="306" t="str">
        <f>IF(H14&lt;1," ",IF(J14&lt;1," ",(J14-H14)/H14))</f>
        <v xml:space="preserve"> </v>
      </c>
    </row>
    <row r="15" spans="1:12" ht="15.75">
      <c r="A15" s="67"/>
      <c r="B15" s="146"/>
      <c r="C15" s="279" t="s">
        <v>240</v>
      </c>
      <c r="D15" s="345">
        <v>8019</v>
      </c>
      <c r="E15" s="691">
        <v>-46472</v>
      </c>
      <c r="F15" s="270"/>
      <c r="G15" s="270"/>
      <c r="H15" s="270"/>
      <c r="I15" s="270"/>
      <c r="J15" s="270"/>
      <c r="K15" s="270"/>
    </row>
    <row r="16" spans="1:12" ht="15.75">
      <c r="A16" s="67"/>
      <c r="B16" s="146"/>
      <c r="C16" s="279" t="s">
        <v>241</v>
      </c>
      <c r="D16" s="345">
        <v>8096</v>
      </c>
      <c r="E16" s="691">
        <v>333656</v>
      </c>
      <c r="F16" s="692">
        <v>295369</v>
      </c>
      <c r="G16" s="269">
        <f>IF(E16&lt;1," ",IF(F16&lt;1," ",(F16-E16)/E16))</f>
        <v>-0.11474992207543099</v>
      </c>
      <c r="H16" s="692"/>
      <c r="I16" s="271" t="str">
        <f>IF(F16&lt;1," ",IF(H16&lt;1," ",(H16-F16)/F16))</f>
        <v xml:space="preserve"> </v>
      </c>
      <c r="J16" s="692"/>
      <c r="K16" s="307" t="str">
        <f>IF(H16&lt;1," ",IF(J16&lt;1," ",(J16-H16)/H16))</f>
        <v xml:space="preserve"> </v>
      </c>
    </row>
    <row r="17" spans="1:11" ht="15.75">
      <c r="A17" s="67"/>
      <c r="B17" s="277" t="s">
        <v>242</v>
      </c>
      <c r="C17" s="277"/>
      <c r="D17" s="345" t="s">
        <v>243</v>
      </c>
      <c r="E17" s="693">
        <f>E84</f>
        <v>0</v>
      </c>
      <c r="F17" s="694">
        <f>F84</f>
        <v>0</v>
      </c>
      <c r="G17" s="269" t="str">
        <f>IF(E17&lt;1," ",IF(F17&lt;1," ",(F17-E17)/E17))</f>
        <v xml:space="preserve"> </v>
      </c>
      <c r="H17" s="693">
        <f>H84</f>
        <v>0</v>
      </c>
      <c r="I17" s="271" t="str">
        <f>IF(F17&lt;1," ",IF(H17&lt;1," ",(H17-F17)/F17))</f>
        <v xml:space="preserve"> </v>
      </c>
      <c r="J17" s="693">
        <f>J84</f>
        <v>0</v>
      </c>
      <c r="K17" s="307" t="str">
        <f>IF(H17&lt;1," ",IF(J17&lt;1," ",(J17-H17)/H17))</f>
        <v xml:space="preserve"> </v>
      </c>
    </row>
    <row r="18" spans="1:11" ht="15.75">
      <c r="A18" s="67"/>
      <c r="B18" s="146" t="s">
        <v>244</v>
      </c>
      <c r="C18" s="140"/>
      <c r="D18" s="140"/>
      <c r="E18" s="338"/>
      <c r="F18" s="339"/>
      <c r="G18" s="340"/>
      <c r="H18" s="338"/>
      <c r="I18" s="340"/>
      <c r="J18" s="338"/>
      <c r="K18" s="341"/>
    </row>
    <row r="19" spans="1:11" ht="15.75">
      <c r="A19" s="67"/>
      <c r="B19" s="146"/>
      <c r="C19" s="279" t="s">
        <v>245</v>
      </c>
      <c r="D19" s="345">
        <v>8560</v>
      </c>
      <c r="E19" s="697">
        <v>134890.5</v>
      </c>
      <c r="F19" s="694">
        <f>F87</f>
        <v>124721.05751999999</v>
      </c>
      <c r="G19" s="269">
        <f>IF(E19&lt;1," ",IF(F19&lt;1," ",(F19-E19)/E19))</f>
        <v>-7.5390353508957356E-2</v>
      </c>
      <c r="H19" s="753">
        <f>H87</f>
        <v>124721.05751999999</v>
      </c>
      <c r="I19" s="271">
        <f>IF(F19&lt;1," ",IF(H19&lt;1," ",(H19-F19)/F19))</f>
        <v>0</v>
      </c>
      <c r="J19" s="693">
        <f>J87</f>
        <v>124721.05751999999</v>
      </c>
      <c r="K19" s="307">
        <f>IF(H19&lt;1," ",IF(J19&lt;1," ",(J19-H19)/H19))</f>
        <v>0</v>
      </c>
    </row>
    <row r="20" spans="1:11" ht="15.75">
      <c r="A20" s="67"/>
      <c r="B20" s="465"/>
      <c r="C20" s="466" t="s">
        <v>246</v>
      </c>
      <c r="D20" s="467">
        <v>8560</v>
      </c>
      <c r="E20" s="274"/>
      <c r="F20" s="272"/>
      <c r="G20" s="273"/>
      <c r="H20" s="274"/>
      <c r="I20" s="273"/>
      <c r="J20" s="270"/>
      <c r="K20" s="308"/>
    </row>
    <row r="21" spans="1:11" ht="15.75">
      <c r="A21" s="67"/>
      <c r="B21" s="146"/>
      <c r="C21" s="279" t="s">
        <v>247</v>
      </c>
      <c r="D21" s="345" t="s">
        <v>248</v>
      </c>
      <c r="E21" s="693">
        <f>E108</f>
        <v>0</v>
      </c>
      <c r="F21" s="694">
        <f>F108</f>
        <v>32543</v>
      </c>
      <c r="G21" s="269" t="str">
        <f>IF(E21&lt;1," ",IF(F21&lt;1," ",(F21-E21)/E21))</f>
        <v xml:space="preserve"> </v>
      </c>
      <c r="H21" s="693">
        <f>H108</f>
        <v>33519.29</v>
      </c>
      <c r="I21" s="271">
        <f>IF(F21&lt;1," ",IF(H21&lt;1," ",(H21-F21)/F21))</f>
        <v>3.0000000000000027E-2</v>
      </c>
      <c r="J21" s="693">
        <f>J108</f>
        <v>34524.870000000003</v>
      </c>
      <c r="K21" s="307">
        <f>IF(H21&lt;1," ",IF(J21&lt;1," ",(J21-H21)/H21))</f>
        <v>3.0000038783637772E-2</v>
      </c>
    </row>
    <row r="22" spans="1:11" ht="15.75">
      <c r="A22" s="67"/>
      <c r="B22" s="146" t="s">
        <v>249</v>
      </c>
      <c r="C22" s="140"/>
      <c r="D22" s="140"/>
      <c r="E22" s="338"/>
      <c r="F22" s="339"/>
      <c r="G22" s="340"/>
      <c r="H22" s="338"/>
      <c r="I22" s="340"/>
      <c r="J22" s="338"/>
      <c r="K22" s="341"/>
    </row>
    <row r="23" spans="1:11" ht="15.75">
      <c r="A23" s="67"/>
      <c r="B23" s="146"/>
      <c r="C23" s="279" t="s">
        <v>250</v>
      </c>
      <c r="D23" s="345">
        <v>8660</v>
      </c>
      <c r="E23" s="697">
        <v>172708</v>
      </c>
      <c r="F23" s="692"/>
      <c r="G23" s="269" t="str">
        <f>IF(E23&lt;1," ",IF(F23&lt;1," ",(F23-E23)/E23))</f>
        <v xml:space="preserve"> </v>
      </c>
      <c r="H23" s="697"/>
      <c r="I23" s="271" t="str">
        <f>IF(F23&lt;1," ",IF(H23&lt;1," ",(H23-F23)/F23))</f>
        <v xml:space="preserve"> </v>
      </c>
      <c r="J23" s="697"/>
      <c r="K23" s="307" t="str">
        <f>IF(H23&lt;1," ",IF(J23&lt;1," ",(J23-H23)/H23))</f>
        <v xml:space="preserve"> </v>
      </c>
    </row>
    <row r="24" spans="1:11" ht="15.75">
      <c r="A24" s="67"/>
      <c r="B24" s="465"/>
      <c r="C24" s="466" t="s">
        <v>251</v>
      </c>
      <c r="D24" s="467">
        <v>8792</v>
      </c>
      <c r="E24" s="698"/>
      <c r="F24" s="698"/>
      <c r="G24" s="273"/>
      <c r="H24" s="698"/>
      <c r="I24" s="273"/>
      <c r="J24" s="698"/>
      <c r="K24" s="308"/>
    </row>
    <row r="25" spans="1:11" ht="16.5" thickBot="1">
      <c r="A25" s="67"/>
      <c r="B25" s="896"/>
      <c r="C25" s="929" t="s">
        <v>252</v>
      </c>
      <c r="D25" s="930" t="s">
        <v>253</v>
      </c>
      <c r="E25" s="700">
        <f>E117</f>
        <v>170441.34</v>
      </c>
      <c r="F25" s="699">
        <f>F117</f>
        <v>2000000</v>
      </c>
      <c r="G25" s="296">
        <f>IF(E25&lt;1," ",IF(F25&lt;1," ",(F25-E25)/E25))</f>
        <v>10.73424240856121</v>
      </c>
      <c r="H25" s="700">
        <f>H117</f>
        <v>160000</v>
      </c>
      <c r="I25" s="297">
        <f>IF(F25&lt;1," ",IF(H25&lt;1," ",(H25-F25)/F25))</f>
        <v>-0.92</v>
      </c>
      <c r="J25" s="700">
        <f>J117</f>
        <v>164800</v>
      </c>
      <c r="K25" s="923">
        <f>IF(H25&lt;1," ",IF(J25&lt;1," ",(J25-H25)/H25))</f>
        <v>0.03</v>
      </c>
    </row>
    <row r="26" spans="1:11" ht="17.25" thickTop="1" thickBot="1">
      <c r="A26" s="67"/>
      <c r="B26" s="1730" t="s">
        <v>254</v>
      </c>
      <c r="C26" s="1731"/>
      <c r="D26" s="1732"/>
      <c r="E26" s="897">
        <f>SUM(E13:E25)</f>
        <v>9636992.8399999999</v>
      </c>
      <c r="F26" s="897">
        <f>SUM(F13:F25)</f>
        <v>10766827.05752</v>
      </c>
      <c r="G26" s="898">
        <f>IF(E26&lt;1," ",IF(F26&lt;1," ",(F26-E26)/E26))</f>
        <v>0.11723929199474226</v>
      </c>
      <c r="H26" s="897">
        <f>SUM(H13:H25)</f>
        <v>9130794.3475199994</v>
      </c>
      <c r="I26" s="898">
        <f>IF(F26&lt;1," ",IF(H26&lt;1," ",(H26-F26)/F26))</f>
        <v>-0.1519512388617153</v>
      </c>
      <c r="J26" s="897">
        <f>SUM(J13:J25)</f>
        <v>9410483.9275199994</v>
      </c>
      <c r="K26" s="899">
        <f>IF(H26&lt;1," ",IF(J26&lt;1," ",(J26-H26)/H26))</f>
        <v>3.0631461990595167E-2</v>
      </c>
    </row>
    <row r="27" spans="1:11" ht="16.5" thickTop="1">
      <c r="A27" s="67"/>
      <c r="B27" s="1"/>
      <c r="C27" s="1"/>
      <c r="D27" s="1"/>
      <c r="E27" s="268"/>
      <c r="F27" s="1723"/>
      <c r="G27" s="1723"/>
      <c r="H27" s="1723"/>
      <c r="I27" s="1723"/>
      <c r="J27" s="1723"/>
      <c r="K27" s="1724"/>
    </row>
    <row r="28" spans="1:11" ht="15.75">
      <c r="A28" s="1739" t="s">
        <v>255</v>
      </c>
      <c r="B28" s="1740"/>
      <c r="C28" s="1740"/>
      <c r="D28" s="154"/>
      <c r="E28" s="268"/>
      <c r="F28" s="1723"/>
      <c r="G28" s="1723"/>
      <c r="H28" s="1723"/>
      <c r="I28" s="1723"/>
      <c r="J28" s="1723"/>
      <c r="K28" s="1724"/>
    </row>
    <row r="29" spans="1:11" ht="15.75">
      <c r="A29" s="67"/>
      <c r="B29" s="277" t="s">
        <v>256</v>
      </c>
      <c r="C29" s="277"/>
      <c r="D29" s="278" t="s">
        <v>257</v>
      </c>
      <c r="E29" s="691">
        <v>1863894.63</v>
      </c>
      <c r="F29" s="701">
        <v>2141205.7039999999</v>
      </c>
      <c r="G29" s="271">
        <f t="shared" ref="G29:G37" si="0">IF(E29&lt;1," ",IF(F29&lt;1," ",(F29-E29)/E29))</f>
        <v>0.14878044581307692</v>
      </c>
      <c r="H29" s="702">
        <v>2167540.0025318749</v>
      </c>
      <c r="I29" s="271">
        <f t="shared" ref="I29:I37" si="1">IF(F29&lt;1," ",IF(H29&lt;1," ",(H29-F29)/F29))</f>
        <v>1.2298817662721402E-2</v>
      </c>
      <c r="J29" s="702">
        <v>2215338.0787041383</v>
      </c>
      <c r="K29" s="307">
        <f t="shared" ref="K29:K37" si="2">IF(H29&lt;1," ",IF(J29&lt;1," ",(J29-H29)/H29))</f>
        <v>2.205176195891705E-2</v>
      </c>
    </row>
    <row r="30" spans="1:11" ht="15.75">
      <c r="A30" s="67"/>
      <c r="B30" s="277" t="s">
        <v>258</v>
      </c>
      <c r="C30" s="277"/>
      <c r="D30" s="278" t="s">
        <v>259</v>
      </c>
      <c r="E30" s="691">
        <v>1406863.56</v>
      </c>
      <c r="F30" s="701">
        <v>1361635.92</v>
      </c>
      <c r="G30" s="271">
        <f t="shared" si="0"/>
        <v>-3.2147850925927833E-2</v>
      </c>
      <c r="H30" s="702">
        <v>1385469.5998335194</v>
      </c>
      <c r="I30" s="271">
        <f t="shared" si="1"/>
        <v>1.7503709679985165E-2</v>
      </c>
      <c r="J30" s="702">
        <v>1427033.687828525</v>
      </c>
      <c r="K30" s="307">
        <f t="shared" si="2"/>
        <v>2.9999999999999968E-2</v>
      </c>
    </row>
    <row r="31" spans="1:11" ht="15.75">
      <c r="A31" s="67"/>
      <c r="B31" s="277" t="s">
        <v>260</v>
      </c>
      <c r="C31" s="277"/>
      <c r="D31" s="278" t="s">
        <v>261</v>
      </c>
      <c r="E31" s="691">
        <v>1322011</v>
      </c>
      <c r="F31" s="701">
        <v>1389040.6</v>
      </c>
      <c r="G31" s="271">
        <f t="shared" si="0"/>
        <v>5.0702755120797097E-2</v>
      </c>
      <c r="H31" s="702">
        <v>1480092.6628946571</v>
      </c>
      <c r="I31" s="271">
        <f t="shared" si="1"/>
        <v>6.5550325091042708E-2</v>
      </c>
      <c r="J31" s="702">
        <v>1548549.2451365993</v>
      </c>
      <c r="K31" s="307">
        <f t="shared" si="2"/>
        <v>4.6251551648164912E-2</v>
      </c>
    </row>
    <row r="32" spans="1:11" ht="15.75">
      <c r="A32" s="67"/>
      <c r="B32" s="277" t="s">
        <v>262</v>
      </c>
      <c r="C32" s="277"/>
      <c r="D32" s="278" t="s">
        <v>263</v>
      </c>
      <c r="E32" s="691">
        <v>578449.02</v>
      </c>
      <c r="F32" s="701">
        <v>545283.35</v>
      </c>
      <c r="G32" s="271">
        <f t="shared" si="0"/>
        <v>-5.7335510742156745E-2</v>
      </c>
      <c r="H32" s="702">
        <v>320357.03190886835</v>
      </c>
      <c r="I32" s="271">
        <f t="shared" si="1"/>
        <v>-0.412494381299432</v>
      </c>
      <c r="J32" s="702">
        <v>329967.74286613439</v>
      </c>
      <c r="K32" s="307">
        <f t="shared" si="2"/>
        <v>2.9999999999999971E-2</v>
      </c>
    </row>
    <row r="33" spans="1:12" ht="15.75">
      <c r="A33" s="67"/>
      <c r="B33" s="277" t="s">
        <v>264</v>
      </c>
      <c r="C33" s="277"/>
      <c r="D33" s="278" t="s">
        <v>265</v>
      </c>
      <c r="E33" s="691">
        <v>1746273.83</v>
      </c>
      <c r="F33" s="701">
        <v>3437167.79</v>
      </c>
      <c r="G33" s="271">
        <f t="shared" si="0"/>
        <v>0.96828683506068458</v>
      </c>
      <c r="H33" s="702">
        <v>3027019.5478158132</v>
      </c>
      <c r="I33" s="271">
        <f t="shared" si="1"/>
        <v>-0.11932738441732774</v>
      </c>
      <c r="J33" s="702">
        <v>3011508.8769166688</v>
      </c>
      <c r="K33" s="307">
        <f t="shared" si="2"/>
        <v>-5.1240735826553569E-3</v>
      </c>
    </row>
    <row r="34" spans="1:12" ht="15.75">
      <c r="A34" s="67"/>
      <c r="B34" s="277" t="s">
        <v>266</v>
      </c>
      <c r="C34" s="277"/>
      <c r="D34" s="278" t="s">
        <v>267</v>
      </c>
      <c r="E34" s="691">
        <v>168526</v>
      </c>
      <c r="F34" s="701">
        <v>204240.28571428571</v>
      </c>
      <c r="G34" s="271">
        <f t="shared" si="0"/>
        <v>0.21192151783277186</v>
      </c>
      <c r="H34" s="702">
        <v>210367.49428571429</v>
      </c>
      <c r="I34" s="271">
        <f t="shared" si="1"/>
        <v>3.0000000000000037E-2</v>
      </c>
      <c r="J34" s="702">
        <v>216678.51911428574</v>
      </c>
      <c r="K34" s="307">
        <f t="shared" si="2"/>
        <v>3.0000000000000093E-2</v>
      </c>
    </row>
    <row r="35" spans="1:12" ht="15.75">
      <c r="A35" s="67"/>
      <c r="B35" s="277" t="s">
        <v>268</v>
      </c>
      <c r="C35" s="277"/>
      <c r="D35" s="278" t="s">
        <v>269</v>
      </c>
      <c r="E35" s="691">
        <v>0</v>
      </c>
      <c r="F35" s="701">
        <v>0</v>
      </c>
      <c r="G35" s="271" t="str">
        <f t="shared" si="0"/>
        <v xml:space="preserve"> </v>
      </c>
      <c r="H35" s="702">
        <v>53711.667500000003</v>
      </c>
      <c r="I35" s="271" t="str">
        <f t="shared" si="1"/>
        <v xml:space="preserve"> </v>
      </c>
      <c r="J35" s="702">
        <v>55323.017525000003</v>
      </c>
      <c r="K35" s="307">
        <f t="shared" si="2"/>
        <v>2.9999999999999992E-2</v>
      </c>
    </row>
    <row r="36" spans="1:12" ht="16.5" thickBot="1">
      <c r="A36" s="67"/>
      <c r="B36" s="919" t="s">
        <v>270</v>
      </c>
      <c r="C36" s="919"/>
      <c r="D36" s="626" t="s">
        <v>271</v>
      </c>
      <c r="E36" s="920">
        <v>49603.07</v>
      </c>
      <c r="F36" s="921">
        <v>52147</v>
      </c>
      <c r="G36" s="297">
        <f t="shared" si="0"/>
        <v>5.1285736951362092E-2</v>
      </c>
      <c r="H36" s="922"/>
      <c r="I36" s="297" t="str">
        <f t="shared" si="1"/>
        <v xml:space="preserve"> </v>
      </c>
      <c r="J36" s="922"/>
      <c r="K36" s="923" t="str">
        <f t="shared" si="2"/>
        <v xml:space="preserve"> </v>
      </c>
    </row>
    <row r="37" spans="1:12" ht="17.25" thickTop="1" thickBot="1">
      <c r="A37" s="67"/>
      <c r="B37" s="1730" t="s">
        <v>272</v>
      </c>
      <c r="C37" s="1731"/>
      <c r="D37" s="1732"/>
      <c r="E37" s="897">
        <f>SUM(E29:E36)</f>
        <v>7135621.1099999994</v>
      </c>
      <c r="F37" s="897">
        <f>SUM(F29:F36)</f>
        <v>9130720.6497142855</v>
      </c>
      <c r="G37" s="898">
        <f t="shared" si="0"/>
        <v>0.27959717997334732</v>
      </c>
      <c r="H37" s="897">
        <f>SUM(H29:H36)</f>
        <v>8644558.0067704469</v>
      </c>
      <c r="I37" s="898">
        <f t="shared" si="1"/>
        <v>-5.3244717650961254E-2</v>
      </c>
      <c r="J37" s="897">
        <f>SUM(J29:J36)</f>
        <v>8804399.1680913512</v>
      </c>
      <c r="K37" s="899">
        <f t="shared" si="2"/>
        <v>1.8490379866236785E-2</v>
      </c>
    </row>
    <row r="38" spans="1:12" ht="17.25" thickTop="1" thickBot="1">
      <c r="A38" s="67"/>
      <c r="B38" s="1"/>
      <c r="C38" s="924"/>
      <c r="D38" s="553"/>
      <c r="E38" s="276"/>
      <c r="F38" s="1748"/>
      <c r="G38" s="1748"/>
      <c r="H38" s="1748"/>
      <c r="I38" s="1748"/>
      <c r="J38" s="1748"/>
      <c r="K38" s="1749"/>
    </row>
    <row r="39" spans="1:12" ht="17.25" thickTop="1" thickBot="1">
      <c r="A39" s="1727" t="s">
        <v>273</v>
      </c>
      <c r="B39" s="1728"/>
      <c r="C39" s="1728"/>
      <c r="D39" s="1729"/>
      <c r="E39" s="914">
        <f>SUM(E26-E37)</f>
        <v>2501371.7300000004</v>
      </c>
      <c r="F39" s="914">
        <f>(F26-F37)</f>
        <v>1636106.4078057148</v>
      </c>
      <c r="G39" s="915">
        <f>IF(E39&lt;1," ",IF(F39&lt;1," ",(F39-E39)/E39))</f>
        <v>-0.34591632735622446</v>
      </c>
      <c r="H39" s="914">
        <f>SUM(H26-H37)</f>
        <v>486236.34074955247</v>
      </c>
      <c r="I39" s="915">
        <f>IF(F39&lt;1," ",IF(H39&lt;1," ",(H39-F39)/F39))</f>
        <v>-0.70280885251120395</v>
      </c>
      <c r="J39" s="914">
        <f>SUM(J26-J37)</f>
        <v>606084.75942864828</v>
      </c>
      <c r="K39" s="916">
        <f>IF(H39&lt;1," ",IF(J39&lt;1," ",(J39-H39)/H39))</f>
        <v>0.24648182094811083</v>
      </c>
    </row>
    <row r="40" spans="1:12" ht="16.5" thickTop="1">
      <c r="A40" s="67"/>
      <c r="B40" s="1"/>
      <c r="C40" s="342"/>
      <c r="D40" s="343"/>
      <c r="E40" s="83"/>
      <c r="F40" s="1719"/>
      <c r="G40" s="1719"/>
      <c r="H40" s="1719"/>
      <c r="I40" s="1719"/>
      <c r="J40" s="1719"/>
      <c r="K40" s="1720"/>
    </row>
    <row r="41" spans="1:12" ht="15.75">
      <c r="A41" s="305" t="s">
        <v>274</v>
      </c>
      <c r="B41" s="1"/>
      <c r="C41" s="154"/>
      <c r="D41" s="344"/>
      <c r="E41" s="82"/>
      <c r="F41" s="1721"/>
      <c r="G41" s="1721"/>
      <c r="H41" s="1721"/>
      <c r="I41" s="1721"/>
      <c r="J41" s="1721"/>
      <c r="K41" s="1722"/>
    </row>
    <row r="42" spans="1:12" ht="15.75">
      <c r="A42" s="67"/>
      <c r="B42" s="146" t="s">
        <v>275</v>
      </c>
      <c r="C42" s="140"/>
      <c r="D42" s="309">
        <v>8900</v>
      </c>
      <c r="E42" s="703">
        <v>-370188</v>
      </c>
      <c r="F42" s="704"/>
      <c r="G42" s="30" t="str">
        <f>IF(E42&lt;1," ",IF(F42&lt;1," ",(F42-E42)/E42))</f>
        <v xml:space="preserve"> </v>
      </c>
      <c r="H42" s="704"/>
      <c r="I42" s="30" t="str">
        <f>IF(F42&lt;1," ",IF(H42&lt;1," ",(H42-F42)/F42))</f>
        <v xml:space="preserve"> </v>
      </c>
      <c r="J42" s="704"/>
      <c r="K42" s="310" t="str">
        <f>IF(H42&lt;1," ",IF(J42&lt;1," ",(J42-H42)/H42))</f>
        <v xml:space="preserve"> </v>
      </c>
      <c r="L42" s="1240"/>
    </row>
    <row r="43" spans="1:12" ht="16.5" thickBot="1">
      <c r="A43" s="67"/>
      <c r="B43" s="896" t="s">
        <v>276</v>
      </c>
      <c r="C43" s="152"/>
      <c r="D43" s="925">
        <v>7600</v>
      </c>
      <c r="E43" s="705"/>
      <c r="F43" s="706"/>
      <c r="G43" s="95" t="str">
        <f>IF(E43&lt;1," ",IF(F43&lt;1," ",(F43-E43)/E43))</f>
        <v xml:space="preserve"> </v>
      </c>
      <c r="H43" s="706"/>
      <c r="I43" s="95" t="str">
        <f>IF(F43&lt;1," ",IF(H43&lt;1," ",(H43-F43)/F43))</f>
        <v xml:space="preserve"> </v>
      </c>
      <c r="J43" s="706"/>
      <c r="K43" s="311" t="str">
        <f>IF(H43&lt;1," ",IF(J43&lt;1," ",(J43-H43)/H43))</f>
        <v xml:space="preserve"> </v>
      </c>
    </row>
    <row r="44" spans="1:12" ht="17.25" thickTop="1" thickBot="1">
      <c r="A44" s="67"/>
      <c r="B44" s="1730" t="s">
        <v>277</v>
      </c>
      <c r="C44" s="1731"/>
      <c r="D44" s="1732"/>
      <c r="E44" s="897">
        <f>E42-E43</f>
        <v>-370188</v>
      </c>
      <c r="F44" s="897">
        <f>F42-F43</f>
        <v>0</v>
      </c>
      <c r="G44" s="898" t="str">
        <f>IF(E44&lt;1," ",IF(F44&lt;1," ",(F44-E44)/E44))</f>
        <v xml:space="preserve"> </v>
      </c>
      <c r="H44" s="897">
        <f>H42-H43</f>
        <v>0</v>
      </c>
      <c r="I44" s="898" t="str">
        <f>IF(F44&lt;1," ",IF(H44&lt;1," ",(H44-F44)/F44))</f>
        <v xml:space="preserve"> </v>
      </c>
      <c r="J44" s="897">
        <f>J42-J43</f>
        <v>0</v>
      </c>
      <c r="K44" s="899" t="str">
        <f>IF(H44&lt;1," ",IF(J44&lt;1," ",(J44-H44)/H44))</f>
        <v xml:space="preserve"> </v>
      </c>
    </row>
    <row r="45" spans="1:12" ht="17.25" thickTop="1" thickBot="1">
      <c r="A45" s="67"/>
      <c r="B45" s="1"/>
      <c r="C45" s="1"/>
      <c r="D45" s="553"/>
      <c r="E45" s="268"/>
      <c r="F45" s="268"/>
      <c r="G45" s="51"/>
      <c r="H45" s="268"/>
      <c r="I45" s="51"/>
      <c r="J45" s="268"/>
      <c r="K45" s="312"/>
    </row>
    <row r="46" spans="1:12" ht="17.25" thickTop="1" thickBot="1">
      <c r="A46" s="912" t="s">
        <v>278</v>
      </c>
      <c r="B46" s="913"/>
      <c r="C46" s="917"/>
      <c r="D46" s="918"/>
      <c r="E46" s="914">
        <f>E39+E44</f>
        <v>2131183.7300000004</v>
      </c>
      <c r="F46" s="914">
        <f>F39+F44</f>
        <v>1636106.4078057148</v>
      </c>
      <c r="G46" s="915">
        <f>IF(E46&lt;1," ",IF(F46&lt;1," ",(F46-E46)/E46))</f>
        <v>-0.23230156800900764</v>
      </c>
      <c r="H46" s="914">
        <f>H39+H44</f>
        <v>486236.34074955247</v>
      </c>
      <c r="I46" s="915">
        <f>IF(F46&lt;1," ",IF(H46&lt;1," ",(H46-F46)/F46))</f>
        <v>-0.70280885251120395</v>
      </c>
      <c r="J46" s="914">
        <f>J39+J44</f>
        <v>606084.75942864828</v>
      </c>
      <c r="K46" s="916">
        <f>IF(H46&lt;1," ",IF(J46&lt;1," ",(J46-H46)/H46))</f>
        <v>0.24648182094811083</v>
      </c>
    </row>
    <row r="47" spans="1:12" ht="16.5" thickTop="1">
      <c r="A47" s="305"/>
      <c r="B47" s="1"/>
      <c r="C47" s="342"/>
      <c r="D47" s="343"/>
      <c r="E47" s="268"/>
      <c r="F47" s="1723"/>
      <c r="G47" s="1723"/>
      <c r="H47" s="1723"/>
      <c r="I47" s="1723"/>
      <c r="J47" s="1723"/>
      <c r="K47" s="1724"/>
    </row>
    <row r="48" spans="1:12" ht="15.75">
      <c r="A48" s="305" t="s">
        <v>279</v>
      </c>
      <c r="B48" s="1"/>
      <c r="C48" s="154"/>
      <c r="D48" s="344"/>
      <c r="E48" s="268"/>
      <c r="F48" s="1723"/>
      <c r="G48" s="1723"/>
      <c r="H48" s="1723"/>
      <c r="I48" s="1723"/>
      <c r="J48" s="1723"/>
      <c r="K48" s="1724"/>
    </row>
    <row r="49" spans="1:11" ht="15.75">
      <c r="A49" s="67"/>
      <c r="B49" s="292" t="s">
        <v>280</v>
      </c>
      <c r="C49" s="293"/>
      <c r="D49" s="294">
        <v>9791</v>
      </c>
      <c r="E49" s="757">
        <v>190562.52</v>
      </c>
      <c r="F49" s="710">
        <f>E55</f>
        <v>2328491.2500000005</v>
      </c>
      <c r="G49" s="275">
        <f>IF(E49&lt;1," ",IF(F49&lt;1," ",(F49-E49)/E49))</f>
        <v>11.219041026535546</v>
      </c>
      <c r="H49" s="711">
        <f>F55</f>
        <v>3964597.6578057152</v>
      </c>
      <c r="I49" s="275">
        <f>IF(F49&lt;1," ",IF(H49&lt;1," ",(H49-F49)/F49))</f>
        <v>0.70264657760930582</v>
      </c>
      <c r="J49" s="711">
        <f>H55</f>
        <v>4450833.9985552672</v>
      </c>
      <c r="K49" s="313">
        <f>IF(H49&lt;1," ",IF(J49&lt;1," ",(J49-H49)/H49))</f>
        <v>0.12264456136985893</v>
      </c>
    </row>
    <row r="50" spans="1:11" ht="15.75">
      <c r="A50" s="67"/>
      <c r="B50" s="314" t="s">
        <v>281</v>
      </c>
      <c r="C50" s="315"/>
      <c r="D50" s="316">
        <v>9792</v>
      </c>
      <c r="E50" s="886"/>
      <c r="F50" s="886"/>
      <c r="G50" s="494" t="str">
        <f>IF(E50&lt;1," ",IF(F50&lt;1," ",(F50-E50)/E50))</f>
        <v xml:space="preserve"> </v>
      </c>
      <c r="H50" s="886"/>
      <c r="I50" s="318"/>
      <c r="J50" s="886"/>
      <c r="K50" s="319"/>
    </row>
    <row r="51" spans="1:11" ht="15.75">
      <c r="A51" s="67"/>
      <c r="B51" s="1733" t="s">
        <v>282</v>
      </c>
      <c r="C51" s="1734"/>
      <c r="D51" s="1735"/>
      <c r="E51" s="886"/>
      <c r="F51" s="886"/>
      <c r="G51" s="494"/>
      <c r="H51" s="886"/>
      <c r="I51" s="318"/>
      <c r="J51" s="886"/>
      <c r="K51" s="319"/>
    </row>
    <row r="52" spans="1:11" ht="15.75">
      <c r="A52" s="67"/>
      <c r="B52" s="314" t="s">
        <v>283</v>
      </c>
      <c r="C52" s="315"/>
      <c r="D52" s="316">
        <v>9793</v>
      </c>
      <c r="E52" s="886"/>
      <c r="F52" s="886"/>
      <c r="G52" s="494" t="str">
        <f>IF(E52&lt;1," ",IF(F52&lt;1," ",(F52-E52)/E52))</f>
        <v xml:space="preserve"> </v>
      </c>
      <c r="H52" s="886"/>
      <c r="I52" s="318"/>
      <c r="J52" s="886"/>
      <c r="K52" s="319"/>
    </row>
    <row r="53" spans="1:11" ht="15.75">
      <c r="A53" s="67"/>
      <c r="B53" s="314" t="s">
        <v>284</v>
      </c>
      <c r="C53" s="315"/>
      <c r="D53" s="316">
        <v>9795</v>
      </c>
      <c r="E53" s="995">
        <v>6745</v>
      </c>
      <c r="F53" s="887"/>
      <c r="G53" s="320"/>
      <c r="H53" s="887"/>
      <c r="I53" s="321"/>
      <c r="J53" s="887"/>
      <c r="K53" s="322"/>
    </row>
    <row r="54" spans="1:11" ht="16.5" thickBot="1">
      <c r="A54" s="67"/>
      <c r="B54" s="1736" t="s">
        <v>285</v>
      </c>
      <c r="C54" s="1737"/>
      <c r="D54" s="1738"/>
      <c r="E54" s="709">
        <f>E49+E53</f>
        <v>197307.51999999999</v>
      </c>
      <c r="F54" s="887"/>
      <c r="G54" s="320"/>
      <c r="H54" s="887"/>
      <c r="I54" s="321"/>
      <c r="J54" s="887"/>
      <c r="K54" s="322"/>
    </row>
    <row r="55" spans="1:11" ht="17.25" thickTop="1" thickBot="1">
      <c r="A55" s="67"/>
      <c r="B55" s="909" t="s">
        <v>286</v>
      </c>
      <c r="C55" s="910"/>
      <c r="D55" s="911">
        <v>9790</v>
      </c>
      <c r="E55" s="897">
        <f>E54+E46</f>
        <v>2328491.2500000005</v>
      </c>
      <c r="F55" s="897">
        <f>F49+F46</f>
        <v>3964597.6578057152</v>
      </c>
      <c r="G55" s="898">
        <f>IF(E55&lt;1," ",IF(F55&lt;1," ",(F55-E55)/E55))</f>
        <v>0.70264657760930582</v>
      </c>
      <c r="H55" s="897">
        <f>H49+H46</f>
        <v>4450833.9985552672</v>
      </c>
      <c r="I55" s="898">
        <f>IF(F55&lt;1," ",IF(H55&lt;1," ",(H55-F55)/F55))</f>
        <v>0.12264456136985893</v>
      </c>
      <c r="J55" s="897">
        <f>J49+J46</f>
        <v>5056918.7579839155</v>
      </c>
      <c r="K55" s="899">
        <f>IF(H55&lt;1," ",IF(J55&lt;1," ",(J55-H55)/H55))</f>
        <v>0.13617330136899788</v>
      </c>
    </row>
    <row r="56" spans="1:11" ht="16.5" thickTop="1">
      <c r="A56" s="67"/>
      <c r="B56" s="1"/>
      <c r="C56" s="1"/>
      <c r="D56" s="167"/>
      <c r="E56" s="168"/>
      <c r="F56" s="295"/>
      <c r="G56" s="51"/>
      <c r="H56" s="168"/>
      <c r="I56" s="51"/>
      <c r="J56" s="168"/>
      <c r="K56" s="312"/>
    </row>
    <row r="57" spans="1:11" ht="15.75">
      <c r="A57" s="323" t="s">
        <v>287</v>
      </c>
      <c r="C57" s="98"/>
      <c r="D57" s="554" t="s">
        <v>103</v>
      </c>
      <c r="E57" s="455"/>
      <c r="F57" s="1744"/>
      <c r="G57" s="1744"/>
      <c r="H57" s="1744"/>
      <c r="I57" s="1744"/>
      <c r="J57" s="1744"/>
      <c r="K57" s="1745"/>
    </row>
    <row r="58" spans="1:11" ht="15.75">
      <c r="A58" s="67"/>
      <c r="B58" s="347" t="s">
        <v>288</v>
      </c>
      <c r="C58" s="352" t="s">
        <v>289</v>
      </c>
      <c r="D58" s="353"/>
      <c r="E58" s="355"/>
      <c r="F58" s="1746"/>
      <c r="G58" s="1746"/>
      <c r="H58" s="1746"/>
      <c r="I58" s="1746"/>
      <c r="J58" s="1746"/>
      <c r="K58" s="1747"/>
    </row>
    <row r="59" spans="1:11" ht="15.75">
      <c r="A59" s="67"/>
      <c r="B59" s="1620"/>
      <c r="C59" s="348" t="s">
        <v>290</v>
      </c>
      <c r="D59" s="288">
        <v>9711</v>
      </c>
      <c r="E59" s="893"/>
      <c r="F59" s="755"/>
      <c r="G59" s="30" t="str">
        <f>IF(E59&lt;1," ",IF(F59&lt;1," ",(F59-E59)/E59))</f>
        <v xml:space="preserve"> </v>
      </c>
      <c r="H59" s="755"/>
      <c r="I59" s="30" t="str">
        <f>IF(F59&lt;1," ",IF(H59&lt;1," ",(H59-F59)/F59))</f>
        <v xml:space="preserve"> </v>
      </c>
      <c r="J59" s="755"/>
      <c r="K59" s="310" t="str">
        <f>IF(H59&lt;1," ",IF(J59&lt;1," ",(J59-H59)/H59))</f>
        <v xml:space="preserve"> </v>
      </c>
    </row>
    <row r="60" spans="1:11" ht="15.75">
      <c r="A60" s="67"/>
      <c r="B60" s="347"/>
      <c r="C60" s="348" t="s">
        <v>291</v>
      </c>
      <c r="D60" s="288">
        <v>9712</v>
      </c>
      <c r="E60" s="893"/>
      <c r="F60" s="755"/>
      <c r="G60" s="30" t="str">
        <f>IF(E60&lt;1," ",IF(F60&lt;1," ",(F60-E60)/E60))</f>
        <v xml:space="preserve"> </v>
      </c>
      <c r="H60" s="755"/>
      <c r="I60" s="30" t="str">
        <f>IF(F60&lt;1," ",IF(H60&lt;1," ",(H60-F60)/F60))</f>
        <v xml:space="preserve"> </v>
      </c>
      <c r="J60" s="755"/>
      <c r="K60" s="310" t="str">
        <f>IF(H60&lt;1," ",IF(J60&lt;1," ",(J60-H60)/H60))</f>
        <v xml:space="preserve"> </v>
      </c>
    </row>
    <row r="61" spans="1:11" ht="15.75">
      <c r="A61" s="67"/>
      <c r="B61" s="347"/>
      <c r="C61" s="348" t="s">
        <v>292</v>
      </c>
      <c r="D61" s="288">
        <v>9713</v>
      </c>
      <c r="E61" s="893"/>
      <c r="F61" s="755"/>
      <c r="G61" s="30" t="str">
        <f>IF(E61&lt;1," ",IF(F61&lt;1," ",(F61-E61)/E61))</f>
        <v xml:space="preserve"> </v>
      </c>
      <c r="H61" s="755"/>
      <c r="I61" s="30" t="str">
        <f>IF(F61&lt;1," ",IF(H61&lt;1," ",(H61-F61)/F61))</f>
        <v xml:space="preserve"> </v>
      </c>
      <c r="J61" s="755"/>
      <c r="K61" s="310" t="str">
        <f>IF(H61&lt;1," ",IF(J61&lt;1," ",(J61-H61)/H61))</f>
        <v xml:space="preserve"> </v>
      </c>
    </row>
    <row r="62" spans="1:11" ht="15.75">
      <c r="A62" s="67"/>
      <c r="B62" s="347"/>
      <c r="C62" s="348" t="s">
        <v>293</v>
      </c>
      <c r="D62" s="288">
        <v>9719</v>
      </c>
      <c r="E62" s="894"/>
      <c r="F62" s="895"/>
      <c r="G62" s="50" t="str">
        <f>IF(E62&lt;1," ",IF(F62&lt;1," ",(F62-E62)/E62))</f>
        <v xml:space="preserve"> </v>
      </c>
      <c r="H62" s="895"/>
      <c r="I62" s="50" t="str">
        <f>IF(F62&lt;1," ",IF(H62&lt;1," ",(H62-F62)/F62))</f>
        <v xml:space="preserve"> </v>
      </c>
      <c r="J62" s="895"/>
      <c r="K62" s="324" t="str">
        <f>IF(H62&lt;1," ",IF(J62&lt;1," ",(J62-H62)/H62))</f>
        <v xml:space="preserve"> </v>
      </c>
    </row>
    <row r="63" spans="1:11" ht="15.75">
      <c r="A63" s="325"/>
      <c r="B63" s="475" t="s">
        <v>294</v>
      </c>
      <c r="C63" s="476" t="s">
        <v>295</v>
      </c>
      <c r="D63" s="477">
        <v>9740</v>
      </c>
      <c r="E63" s="458"/>
      <c r="F63" s="327"/>
      <c r="G63" s="494"/>
      <c r="H63" s="328"/>
      <c r="I63" s="494"/>
      <c r="J63" s="328"/>
      <c r="K63" s="506"/>
    </row>
    <row r="64" spans="1:11" ht="15.75">
      <c r="A64" s="67"/>
      <c r="B64" s="347" t="s">
        <v>296</v>
      </c>
      <c r="C64" s="352" t="s">
        <v>297</v>
      </c>
      <c r="D64" s="985"/>
      <c r="E64" s="459"/>
      <c r="F64" s="329"/>
      <c r="G64" s="29"/>
      <c r="H64" s="29"/>
      <c r="I64" s="29"/>
      <c r="J64" s="29"/>
      <c r="K64" s="330"/>
    </row>
    <row r="65" spans="1:11" ht="15.75">
      <c r="A65" s="67"/>
      <c r="B65" s="347"/>
      <c r="C65" s="348" t="s">
        <v>298</v>
      </c>
      <c r="D65" s="288">
        <v>9750</v>
      </c>
      <c r="E65" s="893"/>
      <c r="F65" s="755"/>
      <c r="G65" s="30"/>
      <c r="H65" s="755"/>
      <c r="I65" s="30"/>
      <c r="J65" s="755"/>
      <c r="K65" s="310"/>
    </row>
    <row r="66" spans="1:11" ht="15.75">
      <c r="A66" s="67"/>
      <c r="B66" s="347"/>
      <c r="C66" s="348" t="s">
        <v>299</v>
      </c>
      <c r="D66" s="289">
        <v>9760</v>
      </c>
      <c r="E66" s="893"/>
      <c r="F66" s="755"/>
      <c r="G66" s="30" t="str">
        <f>IF(E66&lt;1," ",IF(F66&lt;1," ",(F66-E66)/E66))</f>
        <v xml:space="preserve"> </v>
      </c>
      <c r="H66" s="755"/>
      <c r="I66" s="30" t="str">
        <f>IF(F66&lt;1," ",IF(H66&lt;1," ",(H66-F66)/F66))</f>
        <v xml:space="preserve"> </v>
      </c>
      <c r="J66" s="755"/>
      <c r="K66" s="310" t="str">
        <f>IF(H66&lt;1," ",IF(J66&lt;1," ",(J66-H66)/H66))</f>
        <v xml:space="preserve"> </v>
      </c>
    </row>
    <row r="67" spans="1:11" ht="15.75">
      <c r="A67" s="67"/>
      <c r="B67" s="347" t="s">
        <v>300</v>
      </c>
      <c r="C67" s="349" t="s">
        <v>301</v>
      </c>
      <c r="D67" s="288">
        <v>9780</v>
      </c>
      <c r="E67" s="893"/>
      <c r="F67" s="755"/>
      <c r="G67" s="30" t="str">
        <f>IF(E67&lt;1," ",IF(F67&lt;1," ",(F67-E67)/E67))</f>
        <v xml:space="preserve"> </v>
      </c>
      <c r="H67" s="755"/>
      <c r="I67" s="30" t="str">
        <f>IF(F67&lt;1," ",IF(H67&lt;1," ",(H67-F67)/F67))</f>
        <v xml:space="preserve"> </v>
      </c>
      <c r="J67" s="755"/>
      <c r="K67" s="310" t="str">
        <f>IF(H67&lt;1," ",IF(J67&lt;1," ",(J67-H67)/H67))</f>
        <v xml:space="preserve"> </v>
      </c>
    </row>
    <row r="68" spans="1:11" ht="15.75">
      <c r="A68" s="67"/>
      <c r="B68" s="347" t="s">
        <v>302</v>
      </c>
      <c r="C68" s="1725" t="s">
        <v>303</v>
      </c>
      <c r="D68" s="1726"/>
      <c r="E68" s="459"/>
      <c r="F68" s="329"/>
      <c r="G68" s="29"/>
      <c r="H68" s="29"/>
      <c r="I68" s="29"/>
      <c r="J68" s="29"/>
      <c r="K68" s="330"/>
    </row>
    <row r="69" spans="1:11" ht="15.75">
      <c r="A69" s="67"/>
      <c r="B69" s="347"/>
      <c r="C69" s="348" t="s">
        <v>304</v>
      </c>
      <c r="D69" s="289">
        <v>9789</v>
      </c>
      <c r="E69" s="893"/>
      <c r="F69" s="755"/>
      <c r="G69" s="30" t="str">
        <f>IF(E69&lt;1," ",IF(F69&lt;1," ",(F69-E69)/E69))</f>
        <v xml:space="preserve"> </v>
      </c>
      <c r="H69" s="755"/>
      <c r="I69" s="30" t="str">
        <f>IF(F69&lt;1," ",IF(H69&lt;1," ",(H69-F69)/F69))</f>
        <v xml:space="preserve"> </v>
      </c>
      <c r="J69" s="755"/>
      <c r="K69" s="310" t="str">
        <f>IF(H69&lt;1," ",IF(J69&lt;1," ",(J69-H69)/H69))</f>
        <v xml:space="preserve"> </v>
      </c>
    </row>
    <row r="70" spans="1:11" ht="16.5" thickBot="1">
      <c r="A70" s="67"/>
      <c r="B70" s="896"/>
      <c r="C70" s="902" t="s">
        <v>305</v>
      </c>
      <c r="D70" s="626">
        <v>9790</v>
      </c>
      <c r="E70" s="903">
        <f>E55-E65-E66-E67-E69-E59-E60-E61-E62-E63</f>
        <v>2328491.2500000005</v>
      </c>
      <c r="F70" s="904">
        <f>F55-F65-F66-F67-F69-F59-F60-F61-F62-F63</f>
        <v>3964597.6578057152</v>
      </c>
      <c r="G70" s="95">
        <f>IF(E70&lt;1," ",IF(F70&lt;1," ",(F70-E70)/E70))</f>
        <v>0.70264657760930582</v>
      </c>
      <c r="H70" s="904">
        <f>H55-H65-H66-H67-H69-H59-H60-H61-H62-H63</f>
        <v>4450833.9985552672</v>
      </c>
      <c r="I70" s="95">
        <f>IF(F70&lt;1," ",IF(H70&lt;1," ",(H70-F70)/F70))</f>
        <v>0.12264456136985893</v>
      </c>
      <c r="J70" s="904">
        <f>J55-J65-J66-J67-J69-J59-J60-J61-J62-J63</f>
        <v>5056918.7579839155</v>
      </c>
      <c r="K70" s="311">
        <f>IF(H70&lt;1," ",IF(J70&lt;1," ",(J70-H70)/H70))</f>
        <v>0.13617330136899788</v>
      </c>
    </row>
    <row r="71" spans="1:11" ht="17.25" thickTop="1" thickBot="1">
      <c r="A71" s="67"/>
      <c r="B71" s="1702"/>
      <c r="C71" s="1703"/>
      <c r="D71" s="1703"/>
      <c r="E71" s="999"/>
      <c r="F71" s="999"/>
      <c r="G71" s="999"/>
      <c r="H71" s="999"/>
      <c r="I71" s="999"/>
      <c r="J71" s="999"/>
      <c r="K71" s="1000"/>
    </row>
    <row r="72" spans="1:11" ht="16.5" thickTop="1">
      <c r="A72" s="331"/>
      <c r="B72" s="224"/>
      <c r="C72" s="224"/>
      <c r="D72" s="224"/>
      <c r="E72" s="224"/>
      <c r="F72" s="1698"/>
      <c r="G72" s="1698"/>
      <c r="H72" s="1698"/>
      <c r="I72" s="1698"/>
      <c r="J72" s="1698"/>
      <c r="K72" s="1699"/>
    </row>
    <row r="73" spans="1:11" ht="15.75">
      <c r="A73" s="331" t="s">
        <v>306</v>
      </c>
      <c r="B73" s="224"/>
      <c r="C73" s="224"/>
      <c r="D73" s="224"/>
      <c r="E73" s="224"/>
      <c r="F73" s="1698"/>
      <c r="G73" s="1698"/>
      <c r="H73" s="1698"/>
      <c r="I73" s="1698"/>
      <c r="J73" s="1698"/>
      <c r="K73" s="1699"/>
    </row>
    <row r="74" spans="1:11" ht="16.5">
      <c r="A74" s="283"/>
      <c r="B74" s="165"/>
      <c r="C74" s="1742" t="s">
        <v>307</v>
      </c>
      <c r="D74" s="1742"/>
      <c r="E74" s="1742"/>
      <c r="F74" s="1742"/>
      <c r="G74" s="1742"/>
      <c r="H74" s="1742"/>
      <c r="I74" s="1742"/>
      <c r="J74" s="1742"/>
      <c r="K74" s="1743"/>
    </row>
    <row r="75" spans="1:11" ht="15.75">
      <c r="A75" s="283"/>
      <c r="B75" s="290">
        <v>1</v>
      </c>
      <c r="C75" s="1712" t="s">
        <v>308</v>
      </c>
      <c r="D75" s="1712"/>
      <c r="E75" s="712"/>
      <c r="F75" s="713"/>
      <c r="G75" s="30" t="str">
        <f t="shared" ref="G75:G84" si="3">IF(E75&lt;1," ",IF(F75&lt;1," ",(F75-E75)/E75))</f>
        <v xml:space="preserve"> </v>
      </c>
      <c r="H75" s="717"/>
      <c r="I75" s="30" t="str">
        <f t="shared" ref="I75:I84" si="4">IF(F75&lt;1," ",IF(H75&lt;1," ",(H75-F75)/F75))</f>
        <v xml:space="preserve"> </v>
      </c>
      <c r="J75" s="720"/>
      <c r="K75" s="310" t="str">
        <f t="shared" ref="K75:K84" si="5">IF(H75&lt;1," ",IF(J75&lt;1," ",(J75-H75)/H75))</f>
        <v xml:space="preserve"> </v>
      </c>
    </row>
    <row r="76" spans="1:11" ht="15.75">
      <c r="A76" s="283"/>
      <c r="B76" s="290">
        <v>2</v>
      </c>
      <c r="C76" s="1710"/>
      <c r="D76" s="1710"/>
      <c r="E76" s="707"/>
      <c r="F76" s="713"/>
      <c r="G76" s="30" t="str">
        <f t="shared" si="3"/>
        <v xml:space="preserve"> </v>
      </c>
      <c r="H76" s="717"/>
      <c r="I76" s="30" t="str">
        <f t="shared" si="4"/>
        <v xml:space="preserve"> </v>
      </c>
      <c r="J76" s="720"/>
      <c r="K76" s="310" t="str">
        <f t="shared" si="5"/>
        <v xml:space="preserve"> </v>
      </c>
    </row>
    <row r="77" spans="1:11" ht="15.75">
      <c r="A77" s="283"/>
      <c r="B77" s="290">
        <v>3</v>
      </c>
      <c r="C77" s="1710"/>
      <c r="D77" s="1710"/>
      <c r="E77" s="707"/>
      <c r="F77" s="713"/>
      <c r="G77" s="30" t="str">
        <f t="shared" si="3"/>
        <v xml:space="preserve"> </v>
      </c>
      <c r="H77" s="717"/>
      <c r="I77" s="30" t="str">
        <f t="shared" si="4"/>
        <v xml:space="preserve"> </v>
      </c>
      <c r="J77" s="720"/>
      <c r="K77" s="310" t="str">
        <f t="shared" si="5"/>
        <v xml:space="preserve"> </v>
      </c>
    </row>
    <row r="78" spans="1:11" ht="15.75">
      <c r="A78" s="283"/>
      <c r="B78" s="290">
        <v>4</v>
      </c>
      <c r="C78" s="1710"/>
      <c r="D78" s="1710"/>
      <c r="E78" s="707"/>
      <c r="F78" s="713"/>
      <c r="G78" s="30" t="str">
        <f t="shared" si="3"/>
        <v xml:space="preserve"> </v>
      </c>
      <c r="H78" s="717"/>
      <c r="I78" s="30" t="str">
        <f t="shared" si="4"/>
        <v xml:space="preserve"> </v>
      </c>
      <c r="J78" s="720"/>
      <c r="K78" s="310" t="str">
        <f t="shared" si="5"/>
        <v xml:space="preserve"> </v>
      </c>
    </row>
    <row r="79" spans="1:11" ht="15.75">
      <c r="A79" s="283"/>
      <c r="B79" s="290">
        <v>5</v>
      </c>
      <c r="C79" s="1710"/>
      <c r="D79" s="1710"/>
      <c r="E79" s="707"/>
      <c r="F79" s="713"/>
      <c r="G79" s="30" t="str">
        <f t="shared" si="3"/>
        <v xml:space="preserve"> </v>
      </c>
      <c r="H79" s="717"/>
      <c r="I79" s="30" t="str">
        <f t="shared" si="4"/>
        <v xml:space="preserve"> </v>
      </c>
      <c r="J79" s="720"/>
      <c r="K79" s="310" t="str">
        <f t="shared" si="5"/>
        <v xml:space="preserve"> </v>
      </c>
    </row>
    <row r="80" spans="1:11" ht="15.75">
      <c r="A80" s="67"/>
      <c r="B80" s="291">
        <v>6</v>
      </c>
      <c r="C80" s="1713"/>
      <c r="D80" s="1713"/>
      <c r="E80" s="707"/>
      <c r="F80" s="713"/>
      <c r="G80" s="30" t="str">
        <f t="shared" si="3"/>
        <v xml:space="preserve"> </v>
      </c>
      <c r="H80" s="717"/>
      <c r="I80" s="30" t="str">
        <f t="shared" si="4"/>
        <v xml:space="preserve"> </v>
      </c>
      <c r="J80" s="720"/>
      <c r="K80" s="310" t="str">
        <f t="shared" si="5"/>
        <v xml:space="preserve"> </v>
      </c>
    </row>
    <row r="81" spans="1:12" ht="15.75">
      <c r="A81" s="67"/>
      <c r="B81" s="291">
        <v>7</v>
      </c>
      <c r="C81" s="1713"/>
      <c r="D81" s="1713"/>
      <c r="E81" s="707"/>
      <c r="F81" s="713"/>
      <c r="G81" s="30" t="str">
        <f t="shared" si="3"/>
        <v xml:space="preserve"> </v>
      </c>
      <c r="H81" s="717"/>
      <c r="I81" s="30" t="str">
        <f t="shared" si="4"/>
        <v xml:space="preserve"> </v>
      </c>
      <c r="J81" s="720"/>
      <c r="K81" s="310" t="str">
        <f t="shared" si="5"/>
        <v xml:space="preserve"> </v>
      </c>
    </row>
    <row r="82" spans="1:12" ht="15.75">
      <c r="A82" s="67"/>
      <c r="B82" s="291">
        <v>8</v>
      </c>
      <c r="C82" s="1713"/>
      <c r="D82" s="1713"/>
      <c r="E82" s="714"/>
      <c r="F82" s="715"/>
      <c r="G82" s="30" t="str">
        <f t="shared" si="3"/>
        <v xml:space="preserve"> </v>
      </c>
      <c r="H82" s="718"/>
      <c r="I82" s="30" t="str">
        <f t="shared" si="4"/>
        <v xml:space="preserve"> </v>
      </c>
      <c r="J82" s="721"/>
      <c r="K82" s="310" t="str">
        <f t="shared" si="5"/>
        <v xml:space="preserve"> </v>
      </c>
    </row>
    <row r="83" spans="1:12" ht="16.5" thickBot="1">
      <c r="A83" s="67"/>
      <c r="B83" s="291">
        <v>9</v>
      </c>
      <c r="C83" s="1710"/>
      <c r="D83" s="1710"/>
      <c r="E83" s="708"/>
      <c r="F83" s="716"/>
      <c r="G83" s="95" t="str">
        <f t="shared" si="3"/>
        <v xml:space="preserve"> </v>
      </c>
      <c r="H83" s="719"/>
      <c r="I83" s="95" t="str">
        <f t="shared" si="4"/>
        <v xml:space="preserve"> </v>
      </c>
      <c r="J83" s="722"/>
      <c r="K83" s="311" t="str">
        <f t="shared" si="5"/>
        <v xml:space="preserve"> </v>
      </c>
    </row>
    <row r="84" spans="1:12" ht="17.25" thickTop="1" thickBot="1">
      <c r="A84" s="67"/>
      <c r="B84" s="291" t="s">
        <v>103</v>
      </c>
      <c r="C84" s="1741" t="s">
        <v>309</v>
      </c>
      <c r="D84" s="1741"/>
      <c r="E84" s="901">
        <f>SUM(E75:E83)</f>
        <v>0</v>
      </c>
      <c r="F84" s="897">
        <f>SUM(F75:F83)</f>
        <v>0</v>
      </c>
      <c r="G84" s="898" t="str">
        <f t="shared" si="3"/>
        <v xml:space="preserve"> </v>
      </c>
      <c r="H84" s="897">
        <f>SUM(H75:H83)</f>
        <v>0</v>
      </c>
      <c r="I84" s="898" t="str">
        <f t="shared" si="4"/>
        <v xml:space="preserve"> </v>
      </c>
      <c r="J84" s="897">
        <f>SUM(J75:J83)</f>
        <v>0</v>
      </c>
      <c r="K84" s="899" t="str">
        <f t="shared" si="5"/>
        <v xml:space="preserve"> </v>
      </c>
    </row>
    <row r="85" spans="1:12" ht="15" customHeight="1" thickTop="1">
      <c r="A85" s="67"/>
      <c r="B85" s="152"/>
      <c r="C85" s="152"/>
      <c r="D85" s="152"/>
      <c r="E85" s="152"/>
      <c r="F85" s="1708"/>
      <c r="G85" s="1708"/>
      <c r="H85" s="1708"/>
      <c r="I85" s="1708"/>
      <c r="J85" s="1708"/>
      <c r="K85" s="1709"/>
    </row>
    <row r="86" spans="1:12" ht="15.75">
      <c r="A86" s="67"/>
      <c r="B86" s="146" t="s">
        <v>310</v>
      </c>
      <c r="C86" s="152"/>
      <c r="D86" s="152"/>
      <c r="E86" s="937"/>
      <c r="F86" s="953">
        <f>'Budget-Assumptions'!G16</f>
        <v>150</v>
      </c>
      <c r="G86" s="468" t="str">
        <f>IF(E86&lt;1," ",IF(F86&lt;1," ",(F86-E86)/E86))</f>
        <v xml:space="preserve"> </v>
      </c>
      <c r="H86" s="953">
        <f>'Budget-Assumptions'!H16</f>
        <v>150</v>
      </c>
      <c r="I86" s="468"/>
      <c r="J86" s="953">
        <f>'Budget-Assumptions'!J16</f>
        <v>150</v>
      </c>
      <c r="K86" s="687"/>
      <c r="L86" s="1240"/>
    </row>
    <row r="87" spans="1:12" ht="15.75">
      <c r="A87" s="67"/>
      <c r="B87" s="350" t="s">
        <v>311</v>
      </c>
      <c r="C87" s="166"/>
      <c r="D87" s="166"/>
      <c r="E87" s="938"/>
      <c r="F87" s="953">
        <f>(1.04446*'Budget-ADA'!L76)*F86</f>
        <v>124721.05751999999</v>
      </c>
      <c r="G87" s="271">
        <f>IF(E19&lt;1," ",IF(F87&lt;1," ",(F87-E19)/E19))</f>
        <v>-7.5390353508957356E-2</v>
      </c>
      <c r="H87" s="953">
        <f>(1.04446*'Budget-ADA'!O76)*H86</f>
        <v>124721.05751999999</v>
      </c>
      <c r="I87" s="271">
        <f>IF(F87&lt;1," ",IF(H87&lt;1," ",(H87-F87)/F87))</f>
        <v>0</v>
      </c>
      <c r="J87" s="953">
        <f>(1.04446*'Budget-ADA'!R76)*J86</f>
        <v>124721.05751999999</v>
      </c>
      <c r="K87" s="307">
        <f>IF(H87&lt;1," ",IF(J87&lt;1," ",(J87-H87)/H87))</f>
        <v>0</v>
      </c>
    </row>
    <row r="88" spans="1:12" ht="10.5" customHeight="1">
      <c r="A88" s="283"/>
      <c r="B88" s="332"/>
      <c r="C88" s="332"/>
      <c r="D88" s="332"/>
      <c r="E88" s="24"/>
      <c r="F88" s="1704"/>
      <c r="G88" s="1704"/>
      <c r="H88" s="1704"/>
      <c r="I88" s="1704"/>
      <c r="J88" s="1704"/>
      <c r="K88" s="1705"/>
    </row>
    <row r="89" spans="1:12" ht="15.75">
      <c r="A89" s="283"/>
      <c r="B89" s="165"/>
      <c r="C89" s="165" t="s">
        <v>312</v>
      </c>
      <c r="D89" s="165"/>
      <c r="E89" s="165"/>
      <c r="F89" s="1706"/>
      <c r="G89" s="1706"/>
      <c r="H89" s="1706"/>
      <c r="I89" s="1706"/>
      <c r="J89" s="1706"/>
      <c r="K89" s="1707"/>
    </row>
    <row r="90" spans="1:12" ht="15.75">
      <c r="A90" s="283"/>
      <c r="B90" s="290">
        <v>1</v>
      </c>
      <c r="C90" s="1710" t="s">
        <v>313</v>
      </c>
      <c r="D90" s="1711"/>
      <c r="E90" s="1256"/>
      <c r="F90" s="1257">
        <v>32543</v>
      </c>
      <c r="G90" s="95" t="str">
        <f t="shared" ref="G90:G108" si="6">IF(E90&lt;1," ",IF(F90&lt;1," ",(F90-E90)/E90))</f>
        <v xml:space="preserve"> </v>
      </c>
      <c r="H90" s="1254">
        <v>33519.29</v>
      </c>
      <c r="I90" s="95">
        <f t="shared" ref="I90:I108" si="7">IF(F90&lt;1," ",IF(H90&lt;1," ",(H90-F90)/F90))</f>
        <v>3.0000000000000027E-2</v>
      </c>
      <c r="J90" s="1255">
        <v>34524.870000000003</v>
      </c>
      <c r="K90" s="311">
        <f t="shared" ref="K90:K108" si="8">IF(H90&lt;1," ",IF(J90&lt;1," ",(J90-H90)/H90))</f>
        <v>3.0000038783637772E-2</v>
      </c>
    </row>
    <row r="91" spans="1:12" ht="15.75">
      <c r="A91" s="283"/>
      <c r="B91" s="290">
        <v>2</v>
      </c>
      <c r="C91" s="1710" t="s">
        <v>314</v>
      </c>
      <c r="D91" s="1711"/>
      <c r="E91" s="724"/>
      <c r="F91" s="725"/>
      <c r="G91" s="95" t="str">
        <f t="shared" si="6"/>
        <v xml:space="preserve"> </v>
      </c>
      <c r="H91" s="718"/>
      <c r="I91" s="95" t="str">
        <f t="shared" si="7"/>
        <v xml:space="preserve"> </v>
      </c>
      <c r="J91" s="721"/>
      <c r="K91" s="311" t="str">
        <f t="shared" si="8"/>
        <v xml:space="preserve"> </v>
      </c>
    </row>
    <row r="92" spans="1:12" ht="15.75">
      <c r="A92" s="283"/>
      <c r="B92" s="290">
        <v>3</v>
      </c>
      <c r="C92" s="1710"/>
      <c r="D92" s="1711"/>
      <c r="E92" s="707"/>
      <c r="F92" s="715"/>
      <c r="G92" s="95" t="str">
        <f t="shared" si="6"/>
        <v xml:space="preserve"> </v>
      </c>
      <c r="H92" s="718"/>
      <c r="I92" s="95" t="str">
        <f t="shared" si="7"/>
        <v xml:space="preserve"> </v>
      </c>
      <c r="J92" s="721"/>
      <c r="K92" s="311" t="str">
        <f t="shared" si="8"/>
        <v xml:space="preserve"> </v>
      </c>
    </row>
    <row r="93" spans="1:12" ht="15.75">
      <c r="A93" s="283"/>
      <c r="B93" s="290">
        <v>4</v>
      </c>
      <c r="C93" s="1710"/>
      <c r="D93" s="1711"/>
      <c r="E93" s="707"/>
      <c r="F93" s="723"/>
      <c r="G93" s="95" t="str">
        <f t="shared" si="6"/>
        <v xml:space="preserve"> </v>
      </c>
      <c r="H93" s="717"/>
      <c r="I93" s="95" t="str">
        <f t="shared" si="7"/>
        <v xml:space="preserve"> </v>
      </c>
      <c r="J93" s="720"/>
      <c r="K93" s="311" t="str">
        <f t="shared" si="8"/>
        <v xml:space="preserve"> </v>
      </c>
    </row>
    <row r="94" spans="1:12" ht="15.75">
      <c r="A94" s="67"/>
      <c r="B94" s="290">
        <v>5</v>
      </c>
      <c r="C94" s="1710"/>
      <c r="D94" s="1711"/>
      <c r="E94" s="707"/>
      <c r="F94" s="726"/>
      <c r="G94" s="95" t="str">
        <f t="shared" si="6"/>
        <v xml:space="preserve"> </v>
      </c>
      <c r="H94" s="735"/>
      <c r="I94" s="95" t="str">
        <f t="shared" si="7"/>
        <v xml:space="preserve"> </v>
      </c>
      <c r="J94" s="741"/>
      <c r="K94" s="311" t="str">
        <f t="shared" si="8"/>
        <v xml:space="preserve"> </v>
      </c>
    </row>
    <row r="95" spans="1:12" ht="15.75">
      <c r="A95" s="284"/>
      <c r="B95" s="291">
        <v>6</v>
      </c>
      <c r="C95" s="1713"/>
      <c r="D95" s="1750"/>
      <c r="E95" s="707"/>
      <c r="F95" s="727"/>
      <c r="G95" s="30" t="str">
        <f t="shared" si="6"/>
        <v xml:space="preserve"> </v>
      </c>
      <c r="H95" s="736"/>
      <c r="I95" s="30" t="str">
        <f t="shared" si="7"/>
        <v xml:space="preserve"> </v>
      </c>
      <c r="J95" s="742"/>
      <c r="K95" s="310" t="str">
        <f t="shared" si="8"/>
        <v xml:space="preserve"> </v>
      </c>
    </row>
    <row r="96" spans="1:12" ht="15.75">
      <c r="A96" s="284"/>
      <c r="B96" s="291">
        <v>7</v>
      </c>
      <c r="C96" s="1713"/>
      <c r="D96" s="1750"/>
      <c r="E96" s="707"/>
      <c r="F96" s="715"/>
      <c r="G96" s="30" t="str">
        <f t="shared" si="6"/>
        <v xml:space="preserve"> </v>
      </c>
      <c r="H96" s="718"/>
      <c r="I96" s="30" t="str">
        <f t="shared" si="7"/>
        <v xml:space="preserve"> </v>
      </c>
      <c r="J96" s="721"/>
      <c r="K96" s="310" t="str">
        <f t="shared" si="8"/>
        <v xml:space="preserve"> </v>
      </c>
    </row>
    <row r="97" spans="1:11" ht="15.75">
      <c r="A97" s="284"/>
      <c r="B97" s="291">
        <v>8</v>
      </c>
      <c r="C97" s="1713"/>
      <c r="D97" s="1750"/>
      <c r="E97" s="714"/>
      <c r="F97" s="715"/>
      <c r="G97" s="30" t="str">
        <f t="shared" si="6"/>
        <v xml:space="preserve"> </v>
      </c>
      <c r="H97" s="718"/>
      <c r="I97" s="30" t="str">
        <f t="shared" si="7"/>
        <v xml:space="preserve"> </v>
      </c>
      <c r="J97" s="721"/>
      <c r="K97" s="310" t="str">
        <f t="shared" si="8"/>
        <v xml:space="preserve"> </v>
      </c>
    </row>
    <row r="98" spans="1:11" ht="15.75">
      <c r="A98" s="284"/>
      <c r="B98" s="291">
        <v>9</v>
      </c>
      <c r="C98" s="1710"/>
      <c r="D98" s="1711"/>
      <c r="E98" s="708"/>
      <c r="F98" s="715"/>
      <c r="G98" s="30" t="str">
        <f t="shared" si="6"/>
        <v xml:space="preserve"> </v>
      </c>
      <c r="H98" s="718"/>
      <c r="I98" s="30" t="str">
        <f t="shared" si="7"/>
        <v xml:space="preserve"> </v>
      </c>
      <c r="J98" s="721"/>
      <c r="K98" s="310" t="str">
        <f t="shared" si="8"/>
        <v xml:space="preserve"> </v>
      </c>
    </row>
    <row r="99" spans="1:11" ht="15.75">
      <c r="A99" s="284"/>
      <c r="B99" s="146">
        <v>10</v>
      </c>
      <c r="C99" s="1713"/>
      <c r="D99" s="1750"/>
      <c r="E99" s="712"/>
      <c r="F99" s="715"/>
      <c r="G99" s="30" t="str">
        <f t="shared" si="6"/>
        <v xml:space="preserve"> </v>
      </c>
      <c r="H99" s="718"/>
      <c r="I99" s="30" t="str">
        <f t="shared" si="7"/>
        <v xml:space="preserve"> </v>
      </c>
      <c r="J99" s="721"/>
      <c r="K99" s="310" t="str">
        <f t="shared" si="8"/>
        <v xml:space="preserve"> </v>
      </c>
    </row>
    <row r="100" spans="1:11" ht="15.75">
      <c r="A100" s="67"/>
      <c r="B100" s="146">
        <v>11</v>
      </c>
      <c r="C100" s="1713"/>
      <c r="D100" s="1750"/>
      <c r="E100" s="707"/>
      <c r="F100" s="728"/>
      <c r="G100" s="30" t="str">
        <f t="shared" si="6"/>
        <v xml:space="preserve"> </v>
      </c>
      <c r="H100" s="728"/>
      <c r="I100" s="30" t="str">
        <f t="shared" si="7"/>
        <v xml:space="preserve"> </v>
      </c>
      <c r="J100" s="728"/>
      <c r="K100" s="310" t="str">
        <f t="shared" si="8"/>
        <v xml:space="preserve"> </v>
      </c>
    </row>
    <row r="101" spans="1:11" ht="15.75">
      <c r="A101" s="67"/>
      <c r="B101" s="146">
        <v>12</v>
      </c>
      <c r="C101" s="1713"/>
      <c r="D101" s="1750"/>
      <c r="E101" s="707"/>
      <c r="F101" s="729"/>
      <c r="G101" s="30" t="str">
        <f t="shared" si="6"/>
        <v xml:space="preserve"> </v>
      </c>
      <c r="H101" s="729"/>
      <c r="I101" s="30" t="str">
        <f t="shared" si="7"/>
        <v xml:space="preserve"> </v>
      </c>
      <c r="J101" s="729"/>
      <c r="K101" s="310" t="str">
        <f t="shared" si="8"/>
        <v xml:space="preserve"> </v>
      </c>
    </row>
    <row r="102" spans="1:11" ht="15.75">
      <c r="A102" s="67"/>
      <c r="B102" s="146">
        <v>13</v>
      </c>
      <c r="C102" s="1713"/>
      <c r="D102" s="1750"/>
      <c r="E102" s="707"/>
      <c r="F102" s="730"/>
      <c r="G102" s="30" t="str">
        <f t="shared" si="6"/>
        <v xml:space="preserve"> </v>
      </c>
      <c r="H102" s="737"/>
      <c r="I102" s="30" t="str">
        <f t="shared" si="7"/>
        <v xml:space="preserve"> </v>
      </c>
      <c r="J102" s="743"/>
      <c r="K102" s="310" t="str">
        <f t="shared" si="8"/>
        <v xml:space="preserve"> </v>
      </c>
    </row>
    <row r="103" spans="1:11" ht="15.75">
      <c r="A103" s="67"/>
      <c r="B103" s="146">
        <v>14</v>
      </c>
      <c r="C103" s="1713"/>
      <c r="D103" s="1750"/>
      <c r="E103" s="707"/>
      <c r="F103" s="731"/>
      <c r="G103" s="30" t="str">
        <f t="shared" si="6"/>
        <v xml:space="preserve"> </v>
      </c>
      <c r="H103" s="738"/>
      <c r="I103" s="30" t="str">
        <f t="shared" si="7"/>
        <v xml:space="preserve"> </v>
      </c>
      <c r="J103" s="744"/>
      <c r="K103" s="310" t="str">
        <f t="shared" si="8"/>
        <v xml:space="preserve"> </v>
      </c>
    </row>
    <row r="104" spans="1:11" ht="15.75">
      <c r="A104" s="67"/>
      <c r="B104" s="146">
        <v>15</v>
      </c>
      <c r="C104" s="1713"/>
      <c r="D104" s="1750"/>
      <c r="E104" s="707"/>
      <c r="F104" s="730"/>
      <c r="G104" s="30" t="str">
        <f t="shared" si="6"/>
        <v xml:space="preserve"> </v>
      </c>
      <c r="H104" s="737"/>
      <c r="I104" s="30" t="str">
        <f t="shared" si="7"/>
        <v xml:space="preserve"> </v>
      </c>
      <c r="J104" s="743"/>
      <c r="K104" s="310" t="str">
        <f t="shared" si="8"/>
        <v xml:space="preserve"> </v>
      </c>
    </row>
    <row r="105" spans="1:11" ht="15.75">
      <c r="A105" s="67"/>
      <c r="B105" s="146">
        <v>16</v>
      </c>
      <c r="C105" s="1713"/>
      <c r="D105" s="1750"/>
      <c r="E105" s="707"/>
      <c r="F105" s="732"/>
      <c r="G105" s="30" t="str">
        <f t="shared" si="6"/>
        <v xml:space="preserve"> </v>
      </c>
      <c r="H105" s="739"/>
      <c r="I105" s="30" t="str">
        <f t="shared" si="7"/>
        <v xml:space="preserve"> </v>
      </c>
      <c r="J105" s="745"/>
      <c r="K105" s="310" t="str">
        <f t="shared" si="8"/>
        <v xml:space="preserve"> </v>
      </c>
    </row>
    <row r="106" spans="1:11" ht="15.75">
      <c r="A106" s="67"/>
      <c r="B106" s="146">
        <v>17</v>
      </c>
      <c r="C106" s="1713"/>
      <c r="D106" s="1750"/>
      <c r="E106" s="714"/>
      <c r="F106" s="733"/>
      <c r="G106" s="30" t="str">
        <f t="shared" si="6"/>
        <v xml:space="preserve"> </v>
      </c>
      <c r="H106" s="740"/>
      <c r="I106" s="30" t="str">
        <f t="shared" si="7"/>
        <v xml:space="preserve"> </v>
      </c>
      <c r="J106" s="746"/>
      <c r="K106" s="310" t="str">
        <f t="shared" si="8"/>
        <v xml:space="preserve"> </v>
      </c>
    </row>
    <row r="107" spans="1:11" ht="16.5" thickBot="1">
      <c r="A107" s="67"/>
      <c r="B107" s="896">
        <v>18</v>
      </c>
      <c r="C107" s="1755"/>
      <c r="D107" s="1756"/>
      <c r="E107" s="708"/>
      <c r="F107" s="734"/>
      <c r="G107" s="333" t="str">
        <f t="shared" si="6"/>
        <v xml:space="preserve"> </v>
      </c>
      <c r="H107" s="734"/>
      <c r="I107" s="333" t="str">
        <f t="shared" si="7"/>
        <v xml:space="preserve"> </v>
      </c>
      <c r="J107" s="734"/>
      <c r="K107" s="334" t="str">
        <f t="shared" si="8"/>
        <v xml:space="preserve"> </v>
      </c>
    </row>
    <row r="108" spans="1:11" ht="17.25" thickTop="1" thickBot="1">
      <c r="A108" s="67"/>
      <c r="B108" s="900"/>
      <c r="C108" s="1700" t="s">
        <v>315</v>
      </c>
      <c r="D108" s="1701"/>
      <c r="E108" s="897">
        <f>SUM(E90:E107)</f>
        <v>0</v>
      </c>
      <c r="F108" s="897">
        <f>SUM(F90:F107)</f>
        <v>32543</v>
      </c>
      <c r="G108" s="898" t="str">
        <f t="shared" si="6"/>
        <v xml:space="preserve"> </v>
      </c>
      <c r="H108" s="897">
        <f>SUM(H90:H107)</f>
        <v>33519.29</v>
      </c>
      <c r="I108" s="898">
        <f t="shared" si="7"/>
        <v>3.0000000000000027E-2</v>
      </c>
      <c r="J108" s="897">
        <f>SUM(J90:J107)</f>
        <v>34524.870000000003</v>
      </c>
      <c r="K108" s="899">
        <f t="shared" si="8"/>
        <v>3.0000038783637772E-2</v>
      </c>
    </row>
    <row r="109" spans="1:11" ht="13.5" customHeight="1" thickTop="1">
      <c r="A109" s="67"/>
      <c r="B109" s="1"/>
      <c r="C109" s="1"/>
      <c r="D109" s="1"/>
      <c r="E109" s="1"/>
      <c r="F109" s="1708"/>
      <c r="G109" s="1708"/>
      <c r="H109" s="1708"/>
      <c r="I109" s="1708"/>
      <c r="J109" s="1708"/>
      <c r="K109" s="1709"/>
    </row>
    <row r="110" spans="1:11" ht="15.75">
      <c r="A110" s="67"/>
      <c r="B110" s="165"/>
      <c r="C110" s="165" t="s">
        <v>316</v>
      </c>
      <c r="D110" s="165"/>
      <c r="E110" s="165"/>
      <c r="F110" s="1704"/>
      <c r="G110" s="1704"/>
      <c r="H110" s="1704"/>
      <c r="I110" s="1704"/>
      <c r="J110" s="1704"/>
      <c r="K110" s="1705"/>
    </row>
    <row r="111" spans="1:11" ht="15.75">
      <c r="A111" s="67"/>
      <c r="B111" s="290">
        <v>1</v>
      </c>
      <c r="C111" s="1751" t="s">
        <v>317</v>
      </c>
      <c r="D111" s="1752"/>
      <c r="E111" s="1258">
        <v>170441.34</v>
      </c>
      <c r="F111" s="731"/>
      <c r="G111" s="30" t="str">
        <f t="shared" ref="G111:G117" si="9">IF(E111&lt;1," ",IF(F111&lt;1," ",(F111-E111)/E111))</f>
        <v xml:space="preserve"> </v>
      </c>
      <c r="H111" s="1258">
        <v>160000</v>
      </c>
      <c r="I111" s="30" t="str">
        <f t="shared" ref="I111:I117" si="10">IF(F111&lt;1," ",IF(H111&lt;1," ",(H111-F111)/F111))</f>
        <v xml:space="preserve"> </v>
      </c>
      <c r="J111" s="1258">
        <v>164800</v>
      </c>
      <c r="K111" s="310">
        <f t="shared" ref="K111:K117" si="11">IF(H111&lt;1," ",IF(J111&lt;1," ",(J111-H111)/H111))</f>
        <v>0.03</v>
      </c>
    </row>
    <row r="112" spans="1:11" ht="15.75">
      <c r="A112" s="67"/>
      <c r="B112" s="290">
        <v>2</v>
      </c>
      <c r="C112" s="1751" t="s">
        <v>318</v>
      </c>
      <c r="D112" s="1752"/>
      <c r="E112" s="1259"/>
      <c r="F112" s="749">
        <v>2000000</v>
      </c>
      <c r="G112" s="79" t="str">
        <f t="shared" si="9"/>
        <v xml:space="preserve"> </v>
      </c>
      <c r="H112" s="1259"/>
      <c r="I112" s="79" t="str">
        <f t="shared" si="10"/>
        <v xml:space="preserve"> </v>
      </c>
      <c r="J112" s="1259"/>
      <c r="K112" s="335" t="str">
        <f t="shared" si="11"/>
        <v xml:space="preserve"> </v>
      </c>
    </row>
    <row r="113" spans="1:11" ht="15.75">
      <c r="A113" s="67"/>
      <c r="B113" s="290">
        <v>3</v>
      </c>
      <c r="C113" s="1751"/>
      <c r="D113" s="1752"/>
      <c r="E113" s="750"/>
      <c r="F113" s="734"/>
      <c r="G113" s="333" t="str">
        <f t="shared" si="9"/>
        <v xml:space="preserve"> </v>
      </c>
      <c r="H113" s="750"/>
      <c r="I113" s="333" t="str">
        <f t="shared" si="10"/>
        <v xml:space="preserve"> </v>
      </c>
      <c r="J113" s="750"/>
      <c r="K113" s="334" t="str">
        <f t="shared" si="11"/>
        <v xml:space="preserve"> </v>
      </c>
    </row>
    <row r="114" spans="1:11" ht="15.75">
      <c r="A114" s="67"/>
      <c r="B114" s="290">
        <v>4</v>
      </c>
      <c r="C114" s="1751"/>
      <c r="D114" s="1752"/>
      <c r="E114" s="750"/>
      <c r="F114" s="731"/>
      <c r="G114" s="30" t="str">
        <f t="shared" si="9"/>
        <v xml:space="preserve"> </v>
      </c>
      <c r="H114" s="750"/>
      <c r="I114" s="30" t="str">
        <f t="shared" si="10"/>
        <v xml:space="preserve"> </v>
      </c>
      <c r="J114" s="750"/>
      <c r="K114" s="310" t="str">
        <f t="shared" si="11"/>
        <v xml:space="preserve"> </v>
      </c>
    </row>
    <row r="115" spans="1:11" ht="15.75">
      <c r="A115" s="67"/>
      <c r="B115" s="290">
        <v>5</v>
      </c>
      <c r="C115" s="1751"/>
      <c r="D115" s="1752"/>
      <c r="E115" s="750"/>
      <c r="F115" s="731"/>
      <c r="G115" s="30" t="str">
        <f t="shared" si="9"/>
        <v xml:space="preserve"> </v>
      </c>
      <c r="H115" s="750"/>
      <c r="I115" s="30" t="str">
        <f t="shared" si="10"/>
        <v xml:space="preserve"> </v>
      </c>
      <c r="J115" s="750"/>
      <c r="K115" s="310" t="str">
        <f t="shared" si="11"/>
        <v xml:space="preserve"> </v>
      </c>
    </row>
    <row r="116" spans="1:11" ht="16.5" thickBot="1">
      <c r="A116" s="67"/>
      <c r="B116" s="291">
        <v>6</v>
      </c>
      <c r="C116" s="1753"/>
      <c r="D116" s="1754"/>
      <c r="E116" s="750"/>
      <c r="F116" s="734"/>
      <c r="G116" s="95" t="str">
        <f t="shared" si="9"/>
        <v xml:space="preserve"> </v>
      </c>
      <c r="H116" s="750"/>
      <c r="I116" s="95" t="str">
        <f t="shared" si="10"/>
        <v xml:space="preserve"> </v>
      </c>
      <c r="J116" s="750"/>
      <c r="K116" s="311" t="str">
        <f t="shared" si="11"/>
        <v xml:space="preserve"> </v>
      </c>
    </row>
    <row r="117" spans="1:11" ht="17.25" thickTop="1" thickBot="1">
      <c r="A117" s="239"/>
      <c r="B117" s="900"/>
      <c r="C117" s="1700" t="s">
        <v>319</v>
      </c>
      <c r="D117" s="1701"/>
      <c r="E117" s="897">
        <f>SUM(E111:E116)</f>
        <v>170441.34</v>
      </c>
      <c r="F117" s="897">
        <f>SUM(F111:F116)</f>
        <v>2000000</v>
      </c>
      <c r="G117" s="898">
        <f t="shared" si="9"/>
        <v>10.73424240856121</v>
      </c>
      <c r="H117" s="897">
        <f>SUM(H111:H116)</f>
        <v>160000</v>
      </c>
      <c r="I117" s="898">
        <f t="shared" si="10"/>
        <v>-0.92</v>
      </c>
      <c r="J117" s="897">
        <f>SUM(J111:J116)</f>
        <v>164800</v>
      </c>
      <c r="K117" s="899">
        <f t="shared" si="11"/>
        <v>0.03</v>
      </c>
    </row>
    <row r="118" spans="1:11" ht="15.75">
      <c r="A118" s="2"/>
      <c r="B118" s="3"/>
      <c r="C118" s="3"/>
      <c r="D118" s="45"/>
      <c r="F118" s="4"/>
      <c r="G118" s="46"/>
      <c r="H118" s="4"/>
      <c r="I118" s="46"/>
      <c r="J118" s="4"/>
      <c r="K118" s="46"/>
    </row>
    <row r="119" spans="1:11" ht="15.75">
      <c r="A119" s="2"/>
      <c r="B119" s="2"/>
      <c r="C119" s="2"/>
      <c r="D119" s="2"/>
      <c r="E119" s="2"/>
      <c r="F119" s="2"/>
      <c r="G119" s="31"/>
      <c r="H119" s="2"/>
      <c r="I119" s="31"/>
      <c r="J119" s="2"/>
      <c r="K119" s="31"/>
    </row>
    <row r="120" spans="1:11" ht="15.75">
      <c r="A120" s="2"/>
      <c r="B120" s="2"/>
      <c r="C120" s="2"/>
      <c r="D120" s="2"/>
      <c r="E120" s="2"/>
      <c r="F120" s="2"/>
      <c r="G120" s="31"/>
      <c r="H120" s="2"/>
      <c r="I120" s="31"/>
      <c r="J120" s="2"/>
      <c r="K120" s="31"/>
    </row>
    <row r="121" spans="1:11" ht="15.75">
      <c r="A121" s="2"/>
      <c r="B121" s="2"/>
      <c r="C121" s="2"/>
      <c r="D121" s="2"/>
      <c r="E121" s="2"/>
      <c r="F121" s="2"/>
      <c r="G121" s="31"/>
      <c r="H121" s="2"/>
      <c r="I121" s="31"/>
      <c r="J121" s="2"/>
      <c r="K121" s="31"/>
    </row>
    <row r="122" spans="1:11" ht="15.75">
      <c r="A122" s="2"/>
      <c r="B122" s="2"/>
      <c r="C122" s="2"/>
      <c r="D122" s="2"/>
      <c r="E122" s="2"/>
      <c r="F122" s="2"/>
      <c r="G122" s="31"/>
      <c r="H122" s="2"/>
      <c r="I122" s="31"/>
      <c r="J122" s="2"/>
      <c r="K122" s="31"/>
    </row>
    <row r="123" spans="1:11" ht="15.75">
      <c r="A123" s="2"/>
      <c r="B123" s="2"/>
      <c r="C123" s="2"/>
      <c r="D123" s="2"/>
      <c r="E123" s="2"/>
      <c r="F123" s="2"/>
      <c r="G123" s="31"/>
      <c r="H123" s="2"/>
      <c r="I123" s="31"/>
      <c r="J123" s="2"/>
      <c r="K123" s="31"/>
    </row>
    <row r="124" spans="1:11" ht="15.75">
      <c r="A124" s="2"/>
      <c r="B124" s="2"/>
      <c r="C124" s="2"/>
      <c r="D124" s="2"/>
      <c r="E124" s="2"/>
      <c r="F124" s="2"/>
      <c r="G124" s="31"/>
      <c r="H124" s="2"/>
      <c r="I124" s="31"/>
      <c r="J124" s="2"/>
      <c r="K124" s="31"/>
    </row>
    <row r="125" spans="1:11" ht="15.75">
      <c r="A125" s="2"/>
      <c r="B125" s="2"/>
      <c r="C125" s="2"/>
      <c r="D125" s="2"/>
      <c r="E125" s="2"/>
      <c r="F125" s="2"/>
      <c r="G125" s="31"/>
      <c r="H125" s="2"/>
      <c r="I125" s="31"/>
      <c r="J125" s="2"/>
      <c r="K125" s="31"/>
    </row>
    <row r="126" spans="1:11" ht="15.75">
      <c r="A126" s="2"/>
      <c r="B126" s="2"/>
      <c r="C126" s="2"/>
      <c r="D126" s="2"/>
      <c r="E126" s="2"/>
      <c r="F126" s="2"/>
      <c r="G126" s="31"/>
      <c r="H126" s="2"/>
      <c r="I126" s="31"/>
      <c r="J126" s="2"/>
      <c r="K126" s="31"/>
    </row>
    <row r="127" spans="1:11" ht="15.75">
      <c r="A127" s="2"/>
      <c r="B127" s="2"/>
      <c r="C127" s="2"/>
      <c r="D127" s="2"/>
      <c r="E127" s="2"/>
      <c r="F127" s="2"/>
      <c r="G127" s="31"/>
      <c r="H127" s="2"/>
      <c r="I127" s="31"/>
      <c r="J127" s="2"/>
      <c r="K127" s="31"/>
    </row>
    <row r="128" spans="1:11" ht="15.75">
      <c r="A128" s="2"/>
      <c r="B128" s="2"/>
      <c r="C128" s="2"/>
      <c r="D128" s="2"/>
      <c r="E128" s="2"/>
      <c r="F128" s="2"/>
      <c r="G128" s="31"/>
      <c r="H128" s="2"/>
      <c r="I128" s="31"/>
      <c r="J128" s="2"/>
      <c r="K128" s="31"/>
    </row>
    <row r="129" spans="1:11" ht="15.75">
      <c r="A129" s="2"/>
      <c r="B129" s="2"/>
      <c r="C129" s="2"/>
      <c r="D129" s="2"/>
      <c r="E129" s="2"/>
      <c r="F129" s="2"/>
      <c r="G129" s="31"/>
      <c r="H129" s="2"/>
      <c r="I129" s="31"/>
      <c r="J129" s="2"/>
      <c r="K129" s="31"/>
    </row>
    <row r="130" spans="1:11" ht="15.75">
      <c r="A130" s="2"/>
      <c r="B130" s="2"/>
      <c r="C130" s="2"/>
      <c r="D130" s="2"/>
      <c r="E130" s="2"/>
      <c r="F130" s="2"/>
      <c r="G130" s="31"/>
      <c r="H130" s="2"/>
      <c r="I130" s="31"/>
      <c r="J130" s="2"/>
      <c r="K130" s="31"/>
    </row>
    <row r="131" spans="1:11" ht="15.75">
      <c r="A131" s="2"/>
      <c r="B131" s="2"/>
      <c r="C131" s="2"/>
      <c r="D131" s="2"/>
      <c r="E131" s="2"/>
      <c r="F131" s="2"/>
      <c r="G131" s="31"/>
      <c r="H131" s="2"/>
      <c r="I131" s="31"/>
      <c r="J131" s="2"/>
      <c r="K131" s="31"/>
    </row>
    <row r="132" spans="1:11" ht="15.75">
      <c r="A132" s="2"/>
      <c r="B132" s="2"/>
      <c r="C132" s="2"/>
      <c r="D132" s="2"/>
      <c r="E132" s="2"/>
      <c r="F132" s="2"/>
      <c r="G132" s="31"/>
      <c r="H132" s="2"/>
      <c r="I132" s="31"/>
      <c r="J132" s="2"/>
      <c r="K132" s="31"/>
    </row>
    <row r="133" spans="1:11" ht="15.75">
      <c r="A133" s="2"/>
      <c r="B133" s="2"/>
      <c r="C133" s="2"/>
      <c r="D133" s="2"/>
      <c r="E133" s="2"/>
      <c r="F133" s="2"/>
      <c r="G133" s="31"/>
      <c r="H133" s="2"/>
      <c r="I133" s="31"/>
      <c r="J133" s="2"/>
      <c r="K133" s="31"/>
    </row>
    <row r="134" spans="1:11" ht="15.75">
      <c r="A134" s="2"/>
      <c r="B134" s="2"/>
      <c r="C134" s="2"/>
      <c r="D134" s="2"/>
      <c r="E134" s="2"/>
      <c r="F134" s="2"/>
      <c r="G134" s="31"/>
      <c r="H134" s="2"/>
      <c r="I134" s="31"/>
      <c r="J134" s="2"/>
      <c r="K134" s="31"/>
    </row>
    <row r="135" spans="1:11" ht="15.75">
      <c r="A135" s="2"/>
      <c r="B135" s="2"/>
      <c r="C135" s="2"/>
      <c r="D135" s="2"/>
      <c r="E135" s="2"/>
      <c r="F135" s="2"/>
      <c r="G135" s="31"/>
      <c r="H135" s="2"/>
      <c r="I135" s="31"/>
      <c r="J135" s="2"/>
      <c r="K135" s="31"/>
    </row>
    <row r="136" spans="1:11" ht="15.75">
      <c r="A136" s="2"/>
      <c r="B136" s="2"/>
      <c r="C136" s="2"/>
      <c r="D136" s="2"/>
      <c r="E136" s="2"/>
      <c r="F136" s="2"/>
      <c r="G136" s="31"/>
      <c r="H136" s="2"/>
      <c r="I136" s="31"/>
      <c r="J136" s="2"/>
      <c r="K136" s="31"/>
    </row>
    <row r="137" spans="1:11" ht="15.75">
      <c r="A137" s="2"/>
      <c r="B137" s="2"/>
      <c r="C137" s="2"/>
      <c r="D137" s="2"/>
      <c r="E137" s="2"/>
      <c r="F137" s="2"/>
      <c r="G137" s="31"/>
      <c r="H137" s="2"/>
      <c r="I137" s="31"/>
      <c r="J137" s="2"/>
      <c r="K137" s="31"/>
    </row>
    <row r="138" spans="1:11" ht="15.75">
      <c r="A138" s="2"/>
      <c r="B138" s="2"/>
      <c r="C138" s="2"/>
      <c r="D138" s="2"/>
      <c r="E138" s="2"/>
      <c r="F138" s="2"/>
      <c r="G138" s="31"/>
      <c r="H138" s="2"/>
      <c r="I138" s="31"/>
      <c r="J138" s="2"/>
      <c r="K138" s="31"/>
    </row>
    <row r="139" spans="1:11" ht="15.75">
      <c r="A139" s="2"/>
      <c r="B139" s="2"/>
      <c r="C139" s="2"/>
      <c r="D139" s="2"/>
      <c r="E139" s="2"/>
      <c r="F139" s="2"/>
      <c r="G139" s="31"/>
      <c r="H139" s="2"/>
      <c r="I139" s="31"/>
      <c r="J139" s="2"/>
      <c r="K139" s="31"/>
    </row>
    <row r="140" spans="1:11" ht="15.75">
      <c r="A140" s="2"/>
      <c r="B140" s="2"/>
      <c r="C140" s="2"/>
      <c r="D140" s="2"/>
      <c r="E140" s="2"/>
      <c r="F140" s="2"/>
      <c r="G140" s="31"/>
      <c r="H140" s="2"/>
      <c r="I140" s="31"/>
      <c r="J140" s="2"/>
      <c r="K140" s="31"/>
    </row>
    <row r="141" spans="1:11" ht="15.75">
      <c r="A141" s="2"/>
      <c r="B141" s="2"/>
      <c r="C141" s="2"/>
      <c r="D141" s="2"/>
      <c r="E141" s="2"/>
      <c r="F141" s="2"/>
      <c r="G141" s="31"/>
      <c r="H141" s="2"/>
      <c r="I141" s="31"/>
      <c r="J141" s="2"/>
      <c r="K141" s="31"/>
    </row>
    <row r="142" spans="1:11" ht="15.75">
      <c r="A142" s="2"/>
      <c r="B142" s="2"/>
      <c r="C142" s="2"/>
      <c r="D142" s="2"/>
      <c r="E142" s="2"/>
      <c r="F142" s="2"/>
      <c r="G142" s="31"/>
      <c r="H142" s="2"/>
      <c r="I142" s="31"/>
      <c r="J142" s="2"/>
      <c r="K142" s="31"/>
    </row>
    <row r="143" spans="1:11" ht="15.75">
      <c r="A143" s="2"/>
      <c r="B143" s="2"/>
      <c r="C143" s="2"/>
      <c r="D143" s="2"/>
      <c r="E143" s="2"/>
      <c r="F143" s="2"/>
      <c r="G143" s="31"/>
      <c r="H143" s="2"/>
      <c r="I143" s="31"/>
      <c r="J143" s="2"/>
      <c r="K143" s="31"/>
    </row>
    <row r="144" spans="1:11" ht="15.75">
      <c r="A144" s="2"/>
      <c r="B144" s="2"/>
      <c r="C144" s="2"/>
      <c r="D144" s="2"/>
      <c r="E144" s="2"/>
      <c r="F144" s="2"/>
      <c r="G144" s="31"/>
      <c r="H144" s="2"/>
      <c r="I144" s="31"/>
      <c r="J144" s="2"/>
      <c r="K144" s="31"/>
    </row>
    <row r="145" spans="1:11" ht="15.75">
      <c r="A145" s="2"/>
      <c r="B145" s="2"/>
      <c r="C145" s="2"/>
      <c r="D145" s="2"/>
      <c r="E145" s="2"/>
      <c r="F145" s="2"/>
      <c r="G145" s="31"/>
      <c r="H145" s="2"/>
      <c r="I145" s="31"/>
      <c r="J145" s="2"/>
      <c r="K145" s="31"/>
    </row>
    <row r="146" spans="1:11" ht="15.75">
      <c r="A146" s="2"/>
      <c r="B146" s="2"/>
      <c r="C146" s="2"/>
      <c r="D146" s="2"/>
      <c r="E146" s="2"/>
      <c r="F146" s="2"/>
      <c r="G146" s="31"/>
      <c r="H146" s="2"/>
      <c r="I146" s="31"/>
      <c r="J146" s="2"/>
      <c r="K146" s="31"/>
    </row>
    <row r="147" spans="1:11" ht="15.75">
      <c r="A147" s="2"/>
      <c r="B147" s="2"/>
      <c r="C147" s="2"/>
      <c r="D147" s="2"/>
      <c r="E147" s="2"/>
      <c r="F147" s="2"/>
      <c r="G147" s="31"/>
      <c r="H147" s="2"/>
      <c r="I147" s="31"/>
      <c r="J147" s="2"/>
      <c r="K147" s="31"/>
    </row>
    <row r="148" spans="1:11" ht="15.75">
      <c r="A148" s="2"/>
      <c r="B148" s="2"/>
      <c r="C148" s="2"/>
      <c r="D148" s="2"/>
      <c r="E148" s="2"/>
      <c r="F148" s="2"/>
      <c r="G148" s="31"/>
      <c r="H148" s="2"/>
      <c r="I148" s="31"/>
      <c r="J148" s="2"/>
      <c r="K148" s="31"/>
    </row>
    <row r="149" spans="1:11" ht="15.75">
      <c r="A149" s="2"/>
      <c r="B149" s="2"/>
      <c r="C149" s="2"/>
      <c r="D149" s="2"/>
      <c r="E149" s="2"/>
      <c r="F149" s="2"/>
      <c r="G149" s="31"/>
      <c r="H149" s="2"/>
      <c r="I149" s="31"/>
      <c r="J149" s="2"/>
      <c r="K149" s="31"/>
    </row>
    <row r="150" spans="1:11" ht="15.75">
      <c r="A150" s="2"/>
      <c r="B150" s="2"/>
      <c r="C150" s="2"/>
      <c r="D150" s="2"/>
      <c r="E150" s="2"/>
      <c r="F150" s="2"/>
      <c r="G150" s="31"/>
      <c r="H150" s="2"/>
      <c r="I150" s="31"/>
      <c r="J150" s="2"/>
      <c r="K150" s="31"/>
    </row>
    <row r="151" spans="1:11" ht="15.75">
      <c r="A151" s="2"/>
      <c r="B151" s="2"/>
      <c r="C151" s="2"/>
      <c r="D151" s="2"/>
      <c r="E151" s="2"/>
      <c r="F151" s="2"/>
      <c r="G151" s="31"/>
      <c r="H151" s="2"/>
      <c r="I151" s="31"/>
      <c r="J151" s="2"/>
      <c r="K151" s="31"/>
    </row>
    <row r="152" spans="1:11" ht="15.75">
      <c r="A152" s="2"/>
      <c r="B152" s="2"/>
      <c r="C152" s="2"/>
      <c r="D152" s="2"/>
      <c r="E152" s="2"/>
      <c r="F152" s="2"/>
      <c r="G152" s="31"/>
      <c r="H152" s="2"/>
      <c r="I152" s="31"/>
      <c r="J152" s="2"/>
      <c r="K152" s="31"/>
    </row>
    <row r="153" spans="1:11" ht="15.75">
      <c r="A153" s="2"/>
      <c r="B153" s="2"/>
      <c r="C153" s="2"/>
      <c r="D153" s="2"/>
      <c r="E153" s="2"/>
      <c r="F153" s="2"/>
      <c r="G153" s="31"/>
      <c r="H153" s="2"/>
      <c r="I153" s="31"/>
      <c r="J153" s="2"/>
      <c r="K153" s="31"/>
    </row>
    <row r="154" spans="1:11" ht="15.75">
      <c r="A154" s="2"/>
      <c r="B154" s="2"/>
      <c r="C154" s="2"/>
      <c r="D154" s="2"/>
      <c r="E154" s="2"/>
      <c r="F154" s="2"/>
      <c r="G154" s="31"/>
      <c r="H154" s="2"/>
      <c r="I154" s="31"/>
      <c r="J154" s="2"/>
      <c r="K154" s="31"/>
    </row>
    <row r="155" spans="1:11" ht="15.75">
      <c r="A155" s="2"/>
      <c r="B155" s="2"/>
      <c r="C155" s="2"/>
      <c r="D155" s="2"/>
      <c r="E155" s="2"/>
      <c r="F155" s="2"/>
      <c r="G155" s="31"/>
      <c r="H155" s="2"/>
      <c r="I155" s="31"/>
      <c r="J155" s="2"/>
      <c r="K155" s="31"/>
    </row>
    <row r="156" spans="1:11" ht="15.75">
      <c r="A156" s="2"/>
      <c r="B156" s="2"/>
      <c r="C156" s="2"/>
      <c r="D156" s="2"/>
      <c r="E156" s="2"/>
      <c r="F156" s="2"/>
      <c r="G156" s="31"/>
      <c r="H156" s="2"/>
      <c r="I156" s="31"/>
      <c r="J156" s="2"/>
      <c r="K156" s="31"/>
    </row>
    <row r="157" spans="1:11" ht="15.75">
      <c r="A157" s="2"/>
      <c r="B157" s="2"/>
      <c r="C157" s="2"/>
      <c r="D157" s="2"/>
      <c r="E157" s="2"/>
      <c r="F157" s="2"/>
      <c r="G157" s="31"/>
      <c r="H157" s="2"/>
      <c r="I157" s="31"/>
      <c r="J157" s="2"/>
      <c r="K157" s="31"/>
    </row>
    <row r="158" spans="1:11" ht="15.75">
      <c r="A158" s="2"/>
      <c r="B158" s="2"/>
      <c r="C158" s="2"/>
      <c r="D158" s="2"/>
      <c r="E158" s="2"/>
      <c r="F158" s="2"/>
      <c r="G158" s="31"/>
      <c r="H158" s="2"/>
      <c r="I158" s="31"/>
      <c r="J158" s="2"/>
      <c r="K158" s="31"/>
    </row>
    <row r="159" spans="1:11" ht="15.75">
      <c r="A159" s="2"/>
      <c r="B159" s="2"/>
      <c r="C159" s="2"/>
      <c r="D159" s="2"/>
      <c r="E159" s="2"/>
      <c r="F159" s="2"/>
      <c r="G159" s="31"/>
      <c r="H159" s="2"/>
      <c r="I159" s="31"/>
      <c r="J159" s="2"/>
      <c r="K159" s="31"/>
    </row>
    <row r="160" spans="1:11" ht="15.75">
      <c r="A160" s="2"/>
      <c r="B160" s="2"/>
      <c r="C160" s="2"/>
      <c r="D160" s="2"/>
      <c r="E160" s="2"/>
      <c r="F160" s="2"/>
      <c r="G160" s="31"/>
      <c r="H160" s="2"/>
      <c r="I160" s="31"/>
      <c r="J160" s="2"/>
      <c r="K160" s="31"/>
    </row>
    <row r="161" spans="1:11" ht="15.75">
      <c r="A161" s="2"/>
      <c r="B161" s="2"/>
      <c r="C161" s="2"/>
      <c r="D161" s="2"/>
      <c r="E161" s="2"/>
      <c r="F161" s="2"/>
      <c r="G161" s="31"/>
      <c r="H161" s="2"/>
      <c r="I161" s="31"/>
      <c r="J161" s="2"/>
      <c r="K161" s="31"/>
    </row>
    <row r="162" spans="1:11" ht="15.75">
      <c r="A162" s="2"/>
      <c r="B162" s="2"/>
      <c r="C162" s="2"/>
      <c r="D162" s="2"/>
      <c r="E162" s="2"/>
      <c r="F162" s="2"/>
      <c r="G162" s="31"/>
      <c r="H162" s="2"/>
      <c r="I162" s="31"/>
      <c r="J162" s="2"/>
      <c r="K162" s="31"/>
    </row>
    <row r="163" spans="1:11" ht="15.75">
      <c r="A163" s="2"/>
      <c r="B163" s="2"/>
      <c r="C163" s="2"/>
      <c r="D163" s="2"/>
      <c r="E163" s="2"/>
      <c r="F163" s="2"/>
      <c r="G163" s="31"/>
      <c r="H163" s="2"/>
      <c r="I163" s="31"/>
      <c r="J163" s="2"/>
      <c r="K163" s="31"/>
    </row>
    <row r="164" spans="1:11" ht="15.75">
      <c r="A164" s="2"/>
      <c r="B164" s="2"/>
      <c r="C164" s="2"/>
      <c r="D164" s="2"/>
      <c r="E164" s="2"/>
      <c r="F164" s="2"/>
      <c r="G164" s="31"/>
      <c r="H164" s="2"/>
      <c r="I164" s="31"/>
      <c r="J164" s="2"/>
      <c r="K164" s="31"/>
    </row>
    <row r="165" spans="1:11" ht="15.75">
      <c r="A165" s="2"/>
      <c r="B165" s="2"/>
      <c r="C165" s="2"/>
      <c r="D165" s="2"/>
      <c r="E165" s="2"/>
      <c r="F165" s="2"/>
      <c r="G165" s="31"/>
      <c r="H165" s="2"/>
      <c r="I165" s="31"/>
      <c r="J165" s="2"/>
      <c r="K165" s="31"/>
    </row>
    <row r="166" spans="1:11" ht="15.75">
      <c r="A166" s="2"/>
      <c r="B166" s="2"/>
      <c r="C166" s="2"/>
      <c r="D166" s="2"/>
      <c r="E166" s="2"/>
      <c r="F166" s="2"/>
      <c r="G166" s="31"/>
      <c r="H166" s="2"/>
      <c r="I166" s="31"/>
      <c r="J166" s="2"/>
      <c r="K166" s="31"/>
    </row>
    <row r="167" spans="1:11" ht="15.75">
      <c r="A167" s="2"/>
      <c r="B167" s="2"/>
      <c r="C167" s="2"/>
      <c r="D167" s="2"/>
      <c r="E167" s="2"/>
      <c r="F167" s="2"/>
      <c r="G167" s="31"/>
      <c r="H167" s="2"/>
      <c r="I167" s="31"/>
      <c r="J167" s="2"/>
      <c r="K167" s="31"/>
    </row>
    <row r="168" spans="1:11" ht="15.75">
      <c r="A168" s="2"/>
      <c r="B168" s="2"/>
      <c r="C168" s="2"/>
      <c r="D168" s="2"/>
      <c r="E168" s="2"/>
      <c r="F168" s="2"/>
      <c r="G168" s="31"/>
      <c r="H168" s="2"/>
      <c r="I168" s="31"/>
      <c r="J168" s="2"/>
      <c r="K168" s="31"/>
    </row>
    <row r="169" spans="1:11" ht="15.75">
      <c r="A169" s="2"/>
      <c r="B169" s="2"/>
      <c r="C169" s="2"/>
      <c r="D169" s="2"/>
      <c r="E169" s="2"/>
      <c r="F169" s="2"/>
      <c r="G169" s="31"/>
      <c r="H169" s="2"/>
      <c r="I169" s="31"/>
      <c r="J169" s="2"/>
      <c r="K169" s="31"/>
    </row>
    <row r="170" spans="1:11" ht="15.75">
      <c r="A170" s="2"/>
      <c r="B170" s="2"/>
      <c r="C170" s="2"/>
      <c r="D170" s="2"/>
      <c r="E170" s="2"/>
      <c r="F170" s="2"/>
      <c r="G170" s="31"/>
      <c r="H170" s="2"/>
      <c r="I170" s="31"/>
      <c r="J170" s="2"/>
      <c r="K170" s="31"/>
    </row>
    <row r="171" spans="1:11" ht="15.75">
      <c r="A171" s="2"/>
      <c r="B171" s="2"/>
      <c r="C171" s="2"/>
      <c r="D171" s="2"/>
      <c r="E171" s="2"/>
      <c r="F171" s="2"/>
      <c r="G171" s="31"/>
      <c r="H171" s="2"/>
      <c r="I171" s="31"/>
      <c r="J171" s="2"/>
      <c r="K171" s="31"/>
    </row>
    <row r="172" spans="1:11" ht="15.75">
      <c r="A172" s="2"/>
      <c r="B172" s="2"/>
      <c r="C172" s="2"/>
      <c r="D172" s="2"/>
      <c r="E172" s="2"/>
      <c r="F172" s="2"/>
      <c r="G172" s="31"/>
      <c r="H172" s="2"/>
      <c r="I172" s="31"/>
      <c r="J172" s="2"/>
      <c r="K172" s="31"/>
    </row>
    <row r="173" spans="1:11" ht="15.75">
      <c r="A173" s="2"/>
      <c r="B173" s="2"/>
      <c r="C173" s="2"/>
      <c r="D173" s="2"/>
      <c r="E173" s="2"/>
      <c r="F173" s="2"/>
      <c r="G173" s="31"/>
      <c r="H173" s="2"/>
      <c r="I173" s="31"/>
      <c r="J173" s="2"/>
      <c r="K173" s="31"/>
    </row>
    <row r="174" spans="1:11" ht="15.75">
      <c r="A174" s="2"/>
      <c r="B174" s="2"/>
      <c r="C174" s="2"/>
      <c r="D174" s="2"/>
      <c r="E174" s="2"/>
      <c r="F174" s="2"/>
      <c r="G174" s="31"/>
      <c r="H174" s="2"/>
      <c r="I174" s="31"/>
      <c r="J174" s="2"/>
      <c r="K174" s="31"/>
    </row>
    <row r="175" spans="1:11" ht="15.75">
      <c r="A175" s="2"/>
      <c r="B175" s="2"/>
      <c r="C175" s="2"/>
      <c r="D175" s="2"/>
      <c r="E175" s="2"/>
      <c r="F175" s="2"/>
      <c r="G175" s="31"/>
      <c r="H175" s="2"/>
      <c r="I175" s="31"/>
      <c r="J175" s="2"/>
      <c r="K175" s="31"/>
    </row>
    <row r="176" spans="1:11" ht="15.75">
      <c r="A176" s="2"/>
      <c r="B176" s="2"/>
      <c r="C176" s="2"/>
      <c r="D176" s="2"/>
      <c r="E176" s="2"/>
      <c r="F176" s="2"/>
      <c r="G176" s="31"/>
      <c r="H176" s="2"/>
      <c r="I176" s="31"/>
      <c r="J176" s="2"/>
      <c r="K176" s="31"/>
    </row>
    <row r="177" spans="1:11" ht="15.75">
      <c r="A177" s="2"/>
      <c r="B177" s="2"/>
      <c r="C177" s="2"/>
      <c r="D177" s="2"/>
      <c r="E177" s="2"/>
      <c r="F177" s="2"/>
      <c r="G177" s="31"/>
      <c r="H177" s="2"/>
      <c r="I177" s="31"/>
      <c r="J177" s="2"/>
      <c r="K177" s="31"/>
    </row>
    <row r="178" spans="1:11" ht="15.75">
      <c r="A178" s="2"/>
      <c r="B178" s="2"/>
      <c r="C178" s="2"/>
      <c r="D178" s="2"/>
      <c r="E178" s="2"/>
      <c r="F178" s="2"/>
      <c r="G178" s="31"/>
      <c r="H178" s="2"/>
      <c r="I178" s="31"/>
      <c r="J178" s="2"/>
      <c r="K178" s="31"/>
    </row>
    <row r="179" spans="1:11" ht="15.75">
      <c r="A179" s="2"/>
      <c r="B179" s="2"/>
      <c r="C179" s="2"/>
      <c r="D179" s="2"/>
      <c r="E179" s="2"/>
      <c r="F179" s="2"/>
      <c r="G179" s="31"/>
      <c r="H179" s="2"/>
      <c r="I179" s="31"/>
      <c r="J179" s="2"/>
      <c r="K179" s="31"/>
    </row>
    <row r="180" spans="1:11" ht="15.75">
      <c r="A180" s="2"/>
      <c r="B180" s="2"/>
      <c r="C180" s="2"/>
      <c r="D180" s="2"/>
      <c r="E180" s="2"/>
      <c r="F180" s="2"/>
      <c r="G180" s="31"/>
      <c r="H180" s="2"/>
      <c r="I180" s="31"/>
      <c r="J180" s="2"/>
      <c r="K180" s="31"/>
    </row>
    <row r="181" spans="1:11" ht="15.75">
      <c r="A181" s="2"/>
      <c r="B181" s="2"/>
      <c r="C181" s="2"/>
      <c r="D181" s="2"/>
      <c r="E181" s="2"/>
      <c r="F181" s="2"/>
      <c r="G181" s="31"/>
      <c r="H181" s="2"/>
      <c r="I181" s="31"/>
      <c r="J181" s="2"/>
      <c r="K181" s="31"/>
    </row>
    <row r="182" spans="1:11" ht="15.75">
      <c r="A182" s="2"/>
      <c r="B182" s="2"/>
      <c r="C182" s="2"/>
      <c r="D182" s="2"/>
      <c r="E182" s="2"/>
      <c r="F182" s="2"/>
      <c r="G182" s="31"/>
      <c r="H182" s="2"/>
      <c r="I182" s="31"/>
      <c r="J182" s="2"/>
      <c r="K182" s="31"/>
    </row>
    <row r="183" spans="1:11" ht="15.75">
      <c r="A183" s="2"/>
      <c r="B183" s="2"/>
      <c r="C183" s="2"/>
      <c r="D183" s="2"/>
      <c r="E183" s="2"/>
      <c r="F183" s="2"/>
      <c r="G183" s="31"/>
      <c r="H183" s="2"/>
      <c r="I183" s="31"/>
      <c r="J183" s="2"/>
      <c r="K183" s="31"/>
    </row>
    <row r="184" spans="1:11" ht="15.75">
      <c r="A184" s="2"/>
      <c r="B184" s="2"/>
      <c r="C184" s="2"/>
      <c r="D184" s="2"/>
      <c r="E184" s="2"/>
      <c r="F184" s="2"/>
      <c r="G184" s="31"/>
      <c r="H184" s="2"/>
      <c r="I184" s="31"/>
      <c r="J184" s="2"/>
      <c r="K184" s="31"/>
    </row>
    <row r="185" spans="1:11" ht="15.75">
      <c r="A185" s="2"/>
      <c r="B185" s="2"/>
      <c r="C185" s="2"/>
      <c r="D185" s="2"/>
      <c r="E185" s="2"/>
      <c r="F185" s="2"/>
      <c r="G185" s="31"/>
      <c r="H185" s="2"/>
      <c r="I185" s="31"/>
      <c r="J185" s="2"/>
      <c r="K185" s="31"/>
    </row>
    <row r="186" spans="1:11" ht="15.75">
      <c r="A186" s="2"/>
      <c r="B186" s="2"/>
      <c r="C186" s="2"/>
      <c r="D186" s="2"/>
      <c r="E186" s="2"/>
      <c r="F186" s="2"/>
      <c r="G186" s="31"/>
      <c r="H186" s="2"/>
      <c r="I186" s="31"/>
      <c r="J186" s="2"/>
      <c r="K186" s="31"/>
    </row>
    <row r="187" spans="1:11" ht="15.75">
      <c r="A187" s="2"/>
      <c r="B187" s="2"/>
      <c r="C187" s="2"/>
      <c r="D187" s="2"/>
      <c r="E187" s="2"/>
      <c r="F187" s="2"/>
      <c r="G187" s="31"/>
      <c r="H187" s="2"/>
      <c r="I187" s="31"/>
      <c r="J187" s="2"/>
      <c r="K187" s="31"/>
    </row>
    <row r="188" spans="1:11" ht="15.75">
      <c r="A188" s="2"/>
      <c r="B188" s="2"/>
      <c r="C188" s="2"/>
      <c r="D188" s="2"/>
      <c r="E188" s="2"/>
      <c r="F188" s="2"/>
      <c r="G188" s="31"/>
      <c r="H188" s="2"/>
      <c r="I188" s="31"/>
      <c r="J188" s="2"/>
      <c r="K188" s="31"/>
    </row>
    <row r="189" spans="1:11" ht="15.75">
      <c r="A189" s="2"/>
      <c r="B189" s="2"/>
      <c r="C189" s="2"/>
      <c r="D189" s="2"/>
      <c r="E189" s="2"/>
      <c r="F189" s="2"/>
      <c r="G189" s="31"/>
      <c r="H189" s="2"/>
      <c r="I189" s="31"/>
      <c r="J189" s="2"/>
      <c r="K189" s="31"/>
    </row>
    <row r="190" spans="1:11" ht="15.75">
      <c r="A190" s="2"/>
      <c r="B190" s="2"/>
      <c r="C190" s="2"/>
      <c r="D190" s="2"/>
      <c r="E190" s="2"/>
      <c r="F190" s="2"/>
      <c r="G190" s="31"/>
      <c r="H190" s="2"/>
      <c r="I190" s="31"/>
      <c r="J190" s="2"/>
      <c r="K190" s="31"/>
    </row>
    <row r="191" spans="1:11" ht="15.75">
      <c r="A191" s="2"/>
      <c r="B191" s="2"/>
      <c r="C191" s="2"/>
      <c r="D191" s="2"/>
      <c r="E191" s="2"/>
      <c r="F191" s="2"/>
      <c r="G191" s="31"/>
      <c r="H191" s="2"/>
      <c r="I191" s="31"/>
      <c r="J191" s="2"/>
      <c r="K191" s="31"/>
    </row>
    <row r="192" spans="1:11" ht="15.75">
      <c r="A192" s="2"/>
      <c r="B192" s="2"/>
      <c r="C192" s="2"/>
      <c r="D192" s="2"/>
      <c r="E192" s="2"/>
      <c r="F192" s="2"/>
      <c r="G192" s="31"/>
      <c r="H192" s="2"/>
      <c r="I192" s="31"/>
      <c r="J192" s="2"/>
      <c r="K192" s="31"/>
    </row>
    <row r="193" spans="1:11" ht="15.75">
      <c r="A193" s="2"/>
      <c r="B193" s="2"/>
      <c r="C193" s="2"/>
      <c r="D193" s="2"/>
      <c r="E193" s="2"/>
      <c r="F193" s="2"/>
      <c r="G193" s="31"/>
      <c r="H193" s="2"/>
      <c r="I193" s="31"/>
      <c r="J193" s="2"/>
      <c r="K193" s="31"/>
    </row>
    <row r="194" spans="1:11" ht="15.75">
      <c r="A194" s="2"/>
      <c r="B194" s="2"/>
      <c r="C194" s="2"/>
      <c r="D194" s="2"/>
      <c r="E194" s="2"/>
      <c r="F194" s="2"/>
      <c r="G194" s="31"/>
      <c r="H194" s="2"/>
      <c r="I194" s="31"/>
      <c r="J194" s="2"/>
      <c r="K194" s="31"/>
    </row>
    <row r="195" spans="1:11" ht="15.75">
      <c r="A195" s="2"/>
      <c r="B195" s="2"/>
      <c r="C195" s="2"/>
      <c r="D195" s="2"/>
      <c r="E195" s="2"/>
      <c r="F195" s="2"/>
      <c r="G195" s="31"/>
      <c r="H195" s="2"/>
      <c r="I195" s="31"/>
      <c r="J195" s="2"/>
      <c r="K195" s="31"/>
    </row>
    <row r="196" spans="1:11" ht="15.75">
      <c r="A196" s="2"/>
      <c r="B196" s="2"/>
      <c r="C196" s="2"/>
      <c r="D196" s="2"/>
      <c r="E196" s="2"/>
      <c r="F196" s="2"/>
      <c r="G196" s="31"/>
      <c r="H196" s="2"/>
      <c r="I196" s="31"/>
      <c r="J196" s="2"/>
      <c r="K196" s="31"/>
    </row>
    <row r="197" spans="1:11" ht="15.75">
      <c r="A197" s="2"/>
      <c r="B197" s="2"/>
      <c r="C197" s="2"/>
      <c r="D197" s="2"/>
      <c r="E197" s="2"/>
      <c r="F197" s="2"/>
      <c r="G197" s="31"/>
      <c r="H197" s="2"/>
      <c r="I197" s="31"/>
      <c r="J197" s="2"/>
      <c r="K197" s="31"/>
    </row>
    <row r="198" spans="1:11" ht="15.75">
      <c r="A198" s="2"/>
      <c r="B198" s="2"/>
      <c r="C198" s="2"/>
      <c r="D198" s="2"/>
      <c r="E198" s="2"/>
      <c r="F198" s="2"/>
      <c r="G198" s="31"/>
      <c r="H198" s="2"/>
      <c r="I198" s="31"/>
      <c r="J198" s="2"/>
      <c r="K198" s="31"/>
    </row>
    <row r="199" spans="1:11" ht="15.75">
      <c r="A199" s="2"/>
      <c r="B199" s="2"/>
      <c r="C199" s="2"/>
      <c r="D199" s="2"/>
      <c r="E199" s="2"/>
      <c r="F199" s="2"/>
      <c r="G199" s="31"/>
      <c r="H199" s="2"/>
      <c r="I199" s="31"/>
      <c r="J199" s="2"/>
      <c r="K199" s="31"/>
    </row>
    <row r="200" spans="1:11" ht="15.75">
      <c r="A200" s="2"/>
      <c r="B200" s="2"/>
      <c r="C200" s="2"/>
      <c r="D200" s="2"/>
      <c r="E200" s="2"/>
      <c r="F200" s="2"/>
      <c r="G200" s="31"/>
      <c r="H200" s="2"/>
      <c r="I200" s="31"/>
      <c r="J200" s="2"/>
      <c r="K200" s="31"/>
    </row>
    <row r="201" spans="1:11" ht="15.75">
      <c r="A201" s="2"/>
      <c r="B201" s="2"/>
      <c r="C201" s="2"/>
      <c r="D201" s="2"/>
      <c r="E201" s="2"/>
      <c r="F201" s="2"/>
      <c r="G201" s="31"/>
      <c r="H201" s="2"/>
      <c r="I201" s="31"/>
      <c r="J201" s="2"/>
      <c r="K201" s="31"/>
    </row>
    <row r="202" spans="1:11" ht="15.75">
      <c r="A202" s="2"/>
      <c r="B202" s="2"/>
      <c r="C202" s="2"/>
      <c r="D202" s="2"/>
      <c r="E202" s="2"/>
      <c r="F202" s="2"/>
      <c r="G202" s="31"/>
      <c r="H202" s="2"/>
      <c r="I202" s="31"/>
      <c r="J202" s="2"/>
      <c r="K202" s="31"/>
    </row>
    <row r="203" spans="1:11" ht="15.75">
      <c r="A203" s="2"/>
      <c r="B203" s="2"/>
      <c r="C203" s="2"/>
      <c r="D203" s="2"/>
      <c r="E203" s="2"/>
      <c r="F203" s="2"/>
      <c r="G203" s="31"/>
      <c r="H203" s="2"/>
      <c r="I203" s="31"/>
      <c r="J203" s="2"/>
      <c r="K203" s="31"/>
    </row>
    <row r="204" spans="1:11" ht="15.75">
      <c r="A204" s="2"/>
      <c r="B204" s="2"/>
      <c r="C204" s="2"/>
      <c r="D204" s="2"/>
      <c r="E204" s="2"/>
      <c r="F204" s="2"/>
      <c r="G204" s="31"/>
      <c r="H204" s="2"/>
      <c r="I204" s="31"/>
      <c r="J204" s="2"/>
      <c r="K204" s="31"/>
    </row>
    <row r="205" spans="1:11" ht="15.75">
      <c r="A205" s="2"/>
      <c r="B205" s="2"/>
      <c r="C205" s="2"/>
      <c r="D205" s="2"/>
      <c r="E205" s="2"/>
      <c r="F205" s="2"/>
      <c r="G205" s="31"/>
      <c r="H205" s="2"/>
      <c r="I205" s="31"/>
      <c r="J205" s="2"/>
      <c r="K205" s="31"/>
    </row>
    <row r="206" spans="1:11" ht="15.75">
      <c r="A206" s="2"/>
      <c r="B206" s="2"/>
      <c r="C206" s="2"/>
      <c r="D206" s="2"/>
      <c r="E206" s="2"/>
      <c r="F206" s="2"/>
      <c r="G206" s="31"/>
      <c r="H206" s="2"/>
      <c r="I206" s="31"/>
      <c r="J206" s="2"/>
      <c r="K206" s="31"/>
    </row>
    <row r="207" spans="1:11" ht="15.75">
      <c r="A207" s="2"/>
      <c r="B207" s="2"/>
      <c r="C207" s="2"/>
      <c r="D207" s="2"/>
      <c r="E207" s="2"/>
      <c r="F207" s="2"/>
      <c r="G207" s="31"/>
      <c r="H207" s="2"/>
      <c r="I207" s="31"/>
      <c r="J207" s="2"/>
      <c r="K207" s="31"/>
    </row>
    <row r="208" spans="1:11" ht="15.75">
      <c r="A208" s="2"/>
      <c r="B208" s="2"/>
      <c r="C208" s="2"/>
      <c r="D208" s="2"/>
      <c r="E208" s="2"/>
      <c r="F208" s="2"/>
      <c r="G208" s="31"/>
      <c r="H208" s="2"/>
      <c r="I208" s="31"/>
      <c r="J208" s="2"/>
      <c r="K208" s="31"/>
    </row>
    <row r="209" spans="1:11" ht="15.75">
      <c r="A209" s="2"/>
      <c r="B209" s="2"/>
      <c r="C209" s="2"/>
      <c r="D209" s="2"/>
      <c r="E209" s="2"/>
      <c r="F209" s="2"/>
      <c r="G209" s="31"/>
      <c r="H209" s="2"/>
      <c r="I209" s="31"/>
      <c r="J209" s="2"/>
      <c r="K209" s="31"/>
    </row>
    <row r="210" spans="1:11" ht="15.75">
      <c r="A210" s="2"/>
      <c r="B210" s="2"/>
      <c r="C210" s="2"/>
      <c r="D210" s="2"/>
      <c r="E210" s="2"/>
      <c r="F210" s="2"/>
      <c r="G210" s="31"/>
      <c r="H210" s="2"/>
      <c r="I210" s="31"/>
      <c r="J210" s="2"/>
      <c r="K210" s="31"/>
    </row>
    <row r="211" spans="1:11" ht="15.75">
      <c r="A211" s="2"/>
      <c r="B211" s="2"/>
      <c r="C211" s="2"/>
      <c r="D211" s="2"/>
      <c r="E211" s="2"/>
      <c r="F211" s="2"/>
      <c r="G211" s="31"/>
      <c r="H211" s="2"/>
      <c r="I211" s="31"/>
      <c r="J211" s="2"/>
      <c r="K211" s="31"/>
    </row>
    <row r="212" spans="1:11" ht="15.75">
      <c r="A212" s="2"/>
      <c r="B212" s="2"/>
      <c r="C212" s="2"/>
      <c r="D212" s="2"/>
      <c r="E212" s="2"/>
      <c r="F212" s="2"/>
      <c r="G212" s="31"/>
      <c r="H212" s="2"/>
      <c r="I212" s="31"/>
    </row>
    <row r="213" spans="1:11" ht="15.75">
      <c r="A213" s="2"/>
      <c r="B213" s="2"/>
      <c r="C213" s="2"/>
      <c r="D213" s="2"/>
      <c r="E213" s="2"/>
      <c r="F213" s="2"/>
      <c r="G213" s="31"/>
      <c r="H213" s="2"/>
      <c r="I213" s="31"/>
    </row>
    <row r="214" spans="1:11" ht="15.75">
      <c r="A214" s="2"/>
      <c r="B214" s="2"/>
      <c r="C214" s="2"/>
      <c r="D214" s="2"/>
      <c r="E214" s="2"/>
      <c r="F214" s="2"/>
      <c r="G214" s="31"/>
      <c r="H214" s="2"/>
      <c r="I214" s="31"/>
    </row>
    <row r="215" spans="1:11" ht="15.75">
      <c r="A215" s="2"/>
      <c r="B215" s="2"/>
      <c r="C215" s="2"/>
      <c r="D215" s="2"/>
      <c r="E215" s="2"/>
      <c r="F215" s="2"/>
      <c r="G215" s="31"/>
      <c r="H215" s="2"/>
      <c r="I215" s="31"/>
    </row>
    <row r="216" spans="1:11" ht="15.75">
      <c r="A216" s="2"/>
      <c r="B216" s="2"/>
      <c r="C216" s="2"/>
      <c r="D216" s="2"/>
      <c r="E216" s="2"/>
      <c r="F216" s="2"/>
      <c r="G216" s="31"/>
      <c r="H216" s="2"/>
      <c r="I216" s="31"/>
    </row>
    <row r="217" spans="1:11" ht="15.75">
      <c r="A217" s="2"/>
      <c r="B217" s="2"/>
      <c r="C217" s="2"/>
      <c r="D217" s="2"/>
      <c r="E217" s="2"/>
      <c r="F217" s="2"/>
      <c r="G217" s="31"/>
      <c r="H217" s="2"/>
      <c r="I217" s="31"/>
    </row>
    <row r="218" spans="1:11" ht="15.75">
      <c r="A218" s="2"/>
      <c r="B218" s="2"/>
      <c r="C218" s="2"/>
      <c r="D218" s="2"/>
      <c r="E218" s="2"/>
      <c r="F218" s="2"/>
      <c r="G218" s="31"/>
      <c r="H218" s="2"/>
      <c r="I218" s="31"/>
    </row>
    <row r="219" spans="1:11" ht="15.75">
      <c r="A219" s="2"/>
      <c r="B219" s="2"/>
      <c r="C219" s="2"/>
      <c r="D219" s="2"/>
      <c r="E219" s="2"/>
      <c r="F219" s="2"/>
      <c r="G219" s="31"/>
      <c r="H219" s="2"/>
      <c r="I219" s="31"/>
    </row>
    <row r="220" spans="1:11" ht="15.75">
      <c r="A220" s="2"/>
      <c r="B220" s="2"/>
      <c r="C220" s="2"/>
      <c r="D220" s="2"/>
      <c r="E220" s="2"/>
      <c r="F220" s="2"/>
      <c r="G220" s="31"/>
      <c r="H220" s="2"/>
      <c r="I220" s="31"/>
    </row>
    <row r="221" spans="1:11" ht="15.75">
      <c r="A221" s="2"/>
      <c r="B221" s="2"/>
      <c r="C221" s="2"/>
      <c r="D221" s="2"/>
      <c r="E221" s="2"/>
      <c r="F221" s="2"/>
      <c r="G221" s="31"/>
      <c r="H221" s="2"/>
      <c r="I221" s="31"/>
    </row>
    <row r="222" spans="1:11" ht="15.75">
      <c r="A222" s="2"/>
      <c r="B222" s="2"/>
      <c r="C222" s="2"/>
      <c r="D222" s="2"/>
      <c r="E222" s="2"/>
      <c r="F222" s="2"/>
      <c r="G222" s="31"/>
      <c r="H222" s="2"/>
      <c r="I222" s="31"/>
    </row>
    <row r="223" spans="1:11" ht="15.75">
      <c r="A223" s="2"/>
      <c r="B223" s="2"/>
      <c r="C223" s="2"/>
      <c r="D223" s="2"/>
      <c r="E223" s="2"/>
      <c r="F223" s="2"/>
      <c r="G223" s="31"/>
      <c r="H223" s="2"/>
      <c r="I223" s="31"/>
    </row>
    <row r="224" spans="1:11" ht="15.75">
      <c r="A224" s="2"/>
      <c r="B224" s="2"/>
      <c r="C224" s="2"/>
      <c r="D224" s="2"/>
      <c r="E224" s="2"/>
      <c r="F224" s="2"/>
      <c r="G224" s="31"/>
      <c r="H224" s="2"/>
      <c r="I224" s="31"/>
    </row>
    <row r="225" spans="1:9" ht="15.75">
      <c r="A225" s="2"/>
      <c r="B225" s="2"/>
      <c r="C225" s="2"/>
      <c r="D225" s="2"/>
      <c r="E225" s="2"/>
      <c r="F225" s="2"/>
      <c r="G225" s="31"/>
      <c r="H225" s="2"/>
      <c r="I225" s="31"/>
    </row>
    <row r="226" spans="1:9" ht="15.75">
      <c r="A226" s="2"/>
      <c r="B226" s="2"/>
      <c r="C226" s="2"/>
      <c r="D226" s="2"/>
      <c r="E226" s="2"/>
      <c r="F226" s="2"/>
      <c r="G226" s="31"/>
      <c r="H226" s="2"/>
      <c r="I226" s="31"/>
    </row>
    <row r="227" spans="1:9" ht="15.75">
      <c r="A227" s="2"/>
      <c r="B227" s="2"/>
      <c r="C227" s="2"/>
      <c r="D227" s="2"/>
      <c r="E227" s="2"/>
      <c r="F227" s="2"/>
      <c r="G227" s="31"/>
      <c r="H227" s="2"/>
      <c r="I227" s="31"/>
    </row>
    <row r="228" spans="1:9" ht="15.75">
      <c r="A228" s="2"/>
      <c r="B228" s="2"/>
      <c r="C228" s="2"/>
      <c r="D228" s="2"/>
      <c r="E228" s="2"/>
      <c r="F228" s="2"/>
      <c r="G228" s="31"/>
      <c r="H228" s="2"/>
      <c r="I228" s="31"/>
    </row>
    <row r="229" spans="1:9" ht="15.75">
      <c r="A229" s="2"/>
      <c r="B229" s="2"/>
      <c r="C229" s="2"/>
      <c r="D229" s="2"/>
      <c r="E229" s="2"/>
      <c r="F229" s="2"/>
      <c r="G229" s="31"/>
      <c r="H229" s="2"/>
      <c r="I229" s="31"/>
    </row>
    <row r="230" spans="1:9" ht="15.75">
      <c r="A230" s="2"/>
      <c r="B230" s="2"/>
      <c r="C230" s="2"/>
      <c r="D230" s="2"/>
      <c r="E230" s="2"/>
      <c r="F230" s="2"/>
      <c r="G230" s="31"/>
      <c r="H230" s="2"/>
      <c r="I230" s="31"/>
    </row>
    <row r="231" spans="1:9" ht="15.75">
      <c r="A231" s="2"/>
      <c r="B231" s="2"/>
      <c r="C231" s="2"/>
      <c r="D231" s="2"/>
      <c r="E231" s="2"/>
      <c r="F231" s="2"/>
      <c r="G231" s="31"/>
      <c r="H231" s="2"/>
      <c r="I231" s="31"/>
    </row>
    <row r="232" spans="1:9" ht="15.75">
      <c r="A232" s="2"/>
      <c r="B232" s="2"/>
      <c r="C232" s="2"/>
      <c r="D232" s="2"/>
      <c r="E232" s="2"/>
      <c r="F232" s="2"/>
      <c r="G232" s="31"/>
      <c r="H232" s="2"/>
      <c r="I232" s="31"/>
    </row>
    <row r="233" spans="1:9" ht="15.75">
      <c r="A233" s="2"/>
      <c r="B233" s="2"/>
      <c r="C233" s="2"/>
      <c r="D233" s="2"/>
      <c r="E233" s="2"/>
      <c r="F233" s="2"/>
      <c r="G233" s="31"/>
      <c r="H233" s="2"/>
      <c r="I233" s="31"/>
    </row>
    <row r="234" spans="1:9" ht="15.75">
      <c r="A234" s="2"/>
      <c r="B234" s="2"/>
      <c r="C234" s="2"/>
      <c r="D234" s="2"/>
      <c r="E234" s="2"/>
      <c r="F234" s="2"/>
      <c r="G234" s="31"/>
      <c r="H234" s="2"/>
      <c r="I234" s="31"/>
    </row>
    <row r="235" spans="1:9" ht="15.75">
      <c r="A235" s="2"/>
      <c r="B235" s="2"/>
      <c r="C235" s="2"/>
      <c r="D235" s="2"/>
      <c r="E235" s="2"/>
      <c r="F235" s="2"/>
      <c r="G235" s="31"/>
      <c r="H235" s="2"/>
      <c r="I235" s="31"/>
    </row>
    <row r="236" spans="1:9" ht="15.75">
      <c r="A236" s="2"/>
      <c r="B236" s="2"/>
      <c r="C236" s="2"/>
      <c r="D236" s="2"/>
      <c r="E236" s="2"/>
      <c r="F236" s="2"/>
      <c r="G236" s="31"/>
      <c r="H236" s="2"/>
      <c r="I236" s="31"/>
    </row>
    <row r="237" spans="1:9" ht="15.75">
      <c r="A237" s="2"/>
      <c r="B237" s="2"/>
      <c r="C237" s="2"/>
      <c r="D237" s="2"/>
      <c r="E237" s="2"/>
      <c r="F237" s="2"/>
      <c r="G237" s="31"/>
      <c r="H237" s="2"/>
      <c r="I237" s="31"/>
    </row>
    <row r="238" spans="1:9" ht="15.75">
      <c r="A238" s="2"/>
      <c r="B238" s="2"/>
      <c r="C238" s="2"/>
      <c r="D238" s="2"/>
      <c r="E238" s="2"/>
      <c r="F238" s="2"/>
      <c r="G238" s="31"/>
      <c r="H238" s="2"/>
      <c r="I238" s="31"/>
    </row>
    <row r="239" spans="1:9" ht="15.75">
      <c r="A239" s="2"/>
      <c r="B239" s="2"/>
      <c r="C239" s="2"/>
      <c r="D239" s="2"/>
      <c r="E239" s="2"/>
      <c r="F239" s="2"/>
      <c r="G239" s="31"/>
      <c r="H239" s="2"/>
      <c r="I239" s="31"/>
    </row>
  </sheetData>
  <sheetProtection password="CC5F" sheet="1" objects="1" scenarios="1"/>
  <mergeCells count="68">
    <mergeCell ref="C105:D105"/>
    <mergeCell ref="C115:D115"/>
    <mergeCell ref="C116:D116"/>
    <mergeCell ref="C106:D106"/>
    <mergeCell ref="C107:D107"/>
    <mergeCell ref="C111:D111"/>
    <mergeCell ref="C112:D112"/>
    <mergeCell ref="C113:D113"/>
    <mergeCell ref="C114:D114"/>
    <mergeCell ref="C108:D108"/>
    <mergeCell ref="C100:D100"/>
    <mergeCell ref="C101:D101"/>
    <mergeCell ref="C102:D102"/>
    <mergeCell ref="C103:D103"/>
    <mergeCell ref="C104:D104"/>
    <mergeCell ref="F110:K110"/>
    <mergeCell ref="F73:K73"/>
    <mergeCell ref="F27:K27"/>
    <mergeCell ref="A28:C28"/>
    <mergeCell ref="C84:D84"/>
    <mergeCell ref="C74:K74"/>
    <mergeCell ref="F57:K57"/>
    <mergeCell ref="F58:K58"/>
    <mergeCell ref="F28:K28"/>
    <mergeCell ref="F38:K38"/>
    <mergeCell ref="C94:D94"/>
    <mergeCell ref="C95:D95"/>
    <mergeCell ref="C96:D96"/>
    <mergeCell ref="C97:D97"/>
    <mergeCell ref="C98:D98"/>
    <mergeCell ref="C99:D99"/>
    <mergeCell ref="C81:D81"/>
    <mergeCell ref="C82:D82"/>
    <mergeCell ref="C83:D83"/>
    <mergeCell ref="F11:K11"/>
    <mergeCell ref="F12:K12"/>
    <mergeCell ref="F40:K40"/>
    <mergeCell ref="F41:K41"/>
    <mergeCell ref="F47:K47"/>
    <mergeCell ref="F48:K48"/>
    <mergeCell ref="C68:D68"/>
    <mergeCell ref="A39:D39"/>
    <mergeCell ref="B44:D44"/>
    <mergeCell ref="B26:D26"/>
    <mergeCell ref="B37:D37"/>
    <mergeCell ref="B51:D51"/>
    <mergeCell ref="B54:D54"/>
    <mergeCell ref="C117:D117"/>
    <mergeCell ref="B71:D71"/>
    <mergeCell ref="F88:K88"/>
    <mergeCell ref="F89:K89"/>
    <mergeCell ref="F109:K109"/>
    <mergeCell ref="C90:D90"/>
    <mergeCell ref="C91:D91"/>
    <mergeCell ref="C92:D92"/>
    <mergeCell ref="C93:D93"/>
    <mergeCell ref="F85:K85"/>
    <mergeCell ref="C75:D75"/>
    <mergeCell ref="C76:D76"/>
    <mergeCell ref="C77:D77"/>
    <mergeCell ref="C78:D78"/>
    <mergeCell ref="C79:D79"/>
    <mergeCell ref="C80:D80"/>
    <mergeCell ref="A8:C8"/>
    <mergeCell ref="A1:D1"/>
    <mergeCell ref="A2:D2"/>
    <mergeCell ref="A3:D3"/>
    <mergeCell ref="F72:K72"/>
  </mergeCells>
  <conditionalFormatting sqref="A1:D3">
    <cfRule type="containsText" dxfId="349" priority="1" stopIfTrue="1" operator="containsText" text="Enter">
      <formula>NOT(ISERROR(SEARCH("Enter",A1)))</formula>
    </cfRule>
  </conditionalFormatting>
  <pageMargins left="0.7" right="0.7" top="0.75" bottom="0.75" header="0.3" footer="0.3"/>
  <pageSetup scale="58" fitToHeight="3" orientation="landscape" r:id="rId1"/>
  <headerFooter>
    <oddHeader>&amp;RPage &amp;P of &amp;N</oddHeader>
  </headerFooter>
  <rowBreaks count="2" manualBreakCount="2">
    <brk id="47" max="10" man="1"/>
    <brk id="72" max="10" man="1"/>
  </rowBreaks>
  <customProperties>
    <customPr name="DrillPoint.FROID" r:id="rId2"/>
    <customPr name="DrillPoint.Mode" r:id="rId3"/>
    <customPr name="DrillPoint.Subsheet" r:id="rId4"/>
  </customProperties>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theme="6" tint="-0.249977111117893"/>
    <pageSetUpPr fitToPage="1"/>
  </sheetPr>
  <dimension ref="A1:L266"/>
  <sheetViews>
    <sheetView showGridLines="0" zoomScaleNormal="100" zoomScaleSheetLayoutView="100" workbookViewId="0">
      <pane xSplit="4" ySplit="10" topLeftCell="E37" activePane="bottomRight" state="frozen"/>
      <selection pane="topRight" activeCell="H25" sqref="H25"/>
      <selection pane="bottomLeft" activeCell="H25" sqref="H25"/>
      <selection pane="bottomRight" activeCell="E54" sqref="E54"/>
    </sheetView>
  </sheetViews>
  <sheetFormatPr defaultRowHeight="12.75"/>
  <cols>
    <col min="1" max="1" width="5.42578125" customWidth="1"/>
    <col min="2" max="2" width="4.42578125" customWidth="1"/>
    <col min="3" max="3" width="88.7109375" customWidth="1"/>
    <col min="4" max="4" width="10.140625" customWidth="1"/>
    <col min="5" max="6" width="14.5703125" customWidth="1"/>
    <col min="7" max="7" width="10.5703125" customWidth="1"/>
    <col min="8" max="8" width="14.5703125" customWidth="1"/>
    <col min="9" max="9" width="10.5703125" customWidth="1"/>
    <col min="10" max="10" width="14.5703125" customWidth="1"/>
    <col min="11" max="11" width="10.5703125" customWidth="1"/>
    <col min="12" max="12" width="70.140625" style="1212" customWidth="1"/>
    <col min="13" max="35" width="70.140625" customWidth="1"/>
  </cols>
  <sheetData>
    <row r="1" spans="1:11" ht="15.75">
      <c r="A1" s="1636" t="str">
        <f>IF('BUDGET-CERTIFICATION'!$H$1="","CHARTER NAME: Enter Charter Name on BUDGET-CERTIFICATION Worksheet",(CONCATENATE("CHARTER NAME: ",'BUDGET-CERTIFICATION'!$H$1)))</f>
        <v>CHARTER NAME: Encore High School -</v>
      </c>
      <c r="B1" s="1636"/>
      <c r="C1" s="1636"/>
      <c r="D1" s="1636"/>
      <c r="E1" s="11"/>
      <c r="F1" s="11"/>
      <c r="G1" s="157"/>
      <c r="H1" s="11"/>
      <c r="I1" s="156"/>
      <c r="J1" s="1"/>
      <c r="K1" s="158"/>
    </row>
    <row r="2" spans="1:11" ht="15.75">
      <c r="A2" s="1636" t="str">
        <f>IF('BUDGET-CERTIFICATION'!$H$2="","CDS #: Enter Charter CDS # on BUDGET-CERTIFICATION Worksheet",(_xlfn.CONCAT("CDS #: ",'BUDGET-CERTIFICATION'!$H$2)))</f>
        <v>CDS #: 35-75044-01166707</v>
      </c>
      <c r="B2" s="1636"/>
      <c r="C2" s="1636"/>
      <c r="D2" s="1636"/>
      <c r="E2" s="11"/>
      <c r="F2" s="81"/>
      <c r="G2" s="157"/>
      <c r="H2" s="81"/>
      <c r="I2" s="157"/>
      <c r="J2" s="1"/>
      <c r="K2" s="158"/>
    </row>
    <row r="3" spans="1:11" ht="15.75">
      <c r="A3" s="1636" t="str">
        <f>IF('BUDGET-CERTIFICATION'!$H$5="","CHARTER #: Enter Charter # on BUDGET-CERTIFICATION Worksheet",(_xlfn.CONCAT("CHARTER #: ",'BUDGET-CERTIFICATION'!$H$5)))</f>
        <v>CHARTER #: 971</v>
      </c>
      <c r="B3" s="1636"/>
      <c r="C3" s="1636"/>
      <c r="D3" s="1636"/>
      <c r="E3" s="11"/>
      <c r="F3" s="11"/>
      <c r="G3" s="156"/>
      <c r="H3" s="11"/>
      <c r="I3" s="156"/>
      <c r="J3" s="1"/>
      <c r="K3" s="158"/>
    </row>
    <row r="4" spans="1:11" ht="15.75">
      <c r="A4" s="2"/>
      <c r="B4" s="52"/>
      <c r="C4" s="52"/>
      <c r="D4" s="159" t="str">
        <f>'Budget-ADA'!I4</f>
        <v>Fiscal Year 2021-22 Budget</v>
      </c>
      <c r="E4" s="52"/>
      <c r="F4" s="52"/>
      <c r="G4" s="52"/>
      <c r="H4" s="52"/>
      <c r="I4" s="52"/>
      <c r="J4" s="52"/>
      <c r="K4" s="52"/>
    </row>
    <row r="5" spans="1:11" ht="15.75">
      <c r="A5" s="11"/>
      <c r="B5" s="11"/>
      <c r="C5" s="52"/>
      <c r="D5" s="159" t="s">
        <v>320</v>
      </c>
      <c r="E5" s="52"/>
      <c r="F5" s="52"/>
      <c r="G5" s="160"/>
      <c r="H5" s="52"/>
      <c r="I5" s="160"/>
      <c r="J5" s="1"/>
      <c r="K5" s="161"/>
    </row>
    <row r="6" spans="1:11" ht="16.5" thickBot="1">
      <c r="A6" s="1089" t="str">
        <f>Instructions!H1</f>
        <v>Rev. 5/28/2021</v>
      </c>
      <c r="B6" s="11"/>
      <c r="C6" s="11"/>
      <c r="D6" s="11"/>
      <c r="E6" s="11"/>
      <c r="F6" s="11"/>
      <c r="G6" s="156"/>
      <c r="H6" s="11"/>
      <c r="I6" s="156"/>
      <c r="J6" s="1"/>
      <c r="K6" s="158"/>
    </row>
    <row r="7" spans="1:11" ht="15.75">
      <c r="A7" s="241"/>
      <c r="B7" s="236"/>
      <c r="C7" s="236"/>
      <c r="D7" s="298"/>
      <c r="E7" s="299"/>
      <c r="F7" s="299"/>
      <c r="G7" s="300"/>
      <c r="H7" s="299" t="s">
        <v>103</v>
      </c>
      <c r="I7" s="300"/>
      <c r="J7" s="299" t="s">
        <v>103</v>
      </c>
      <c r="K7" s="301"/>
    </row>
    <row r="8" spans="1:11" ht="15.75">
      <c r="A8" s="1696" t="s">
        <v>228</v>
      </c>
      <c r="B8" s="1697"/>
      <c r="C8" s="1697"/>
      <c r="D8" s="53"/>
      <c r="E8" s="13" t="s">
        <v>229</v>
      </c>
      <c r="F8" s="13" t="s">
        <v>230</v>
      </c>
      <c r="G8" s="162" t="s">
        <v>231</v>
      </c>
      <c r="H8" s="13" t="s">
        <v>232</v>
      </c>
      <c r="I8" s="162" t="s">
        <v>231</v>
      </c>
      <c r="J8" s="13" t="s">
        <v>232</v>
      </c>
      <c r="K8" s="302" t="s">
        <v>231</v>
      </c>
    </row>
    <row r="9" spans="1:11" ht="15.75">
      <c r="A9" s="67"/>
      <c r="B9" s="1"/>
      <c r="C9" s="1"/>
      <c r="D9" s="53"/>
      <c r="E9" s="13" t="s">
        <v>233</v>
      </c>
      <c r="F9" s="13" t="s">
        <v>234</v>
      </c>
      <c r="G9" s="162" t="s">
        <v>161</v>
      </c>
      <c r="H9" s="13" t="s">
        <v>234</v>
      </c>
      <c r="I9" s="162" t="s">
        <v>161</v>
      </c>
      <c r="J9" s="13" t="s">
        <v>234</v>
      </c>
      <c r="K9" s="302" t="s">
        <v>161</v>
      </c>
    </row>
    <row r="10" spans="1:11" ht="16.5" thickBot="1">
      <c r="A10" s="303"/>
      <c r="B10" s="163"/>
      <c r="C10" s="163"/>
      <c r="D10" s="54"/>
      <c r="E10" s="14" t="str">
        <f>'Budget-Unrestricted MYP'!E10</f>
        <v>2020-21</v>
      </c>
      <c r="F10" s="207" t="str">
        <f>'Budget-Unrestricted MYP'!F10</f>
        <v>2021-22</v>
      </c>
      <c r="G10" s="164"/>
      <c r="H10" s="14" t="str">
        <f>'Budget-Unrestricted MYP'!H10</f>
        <v>2022-23</v>
      </c>
      <c r="I10" s="164"/>
      <c r="J10" s="14" t="str">
        <f>'Budget-Unrestricted MYP'!J10</f>
        <v>2023-24</v>
      </c>
      <c r="K10" s="304"/>
    </row>
    <row r="11" spans="1:11" ht="16.5" thickTop="1">
      <c r="A11" s="305" t="s">
        <v>235</v>
      </c>
      <c r="B11" s="1"/>
      <c r="C11" s="1"/>
      <c r="D11" s="336"/>
      <c r="E11" s="12"/>
      <c r="F11" s="1714"/>
      <c r="G11" s="1714"/>
      <c r="H11" s="1714"/>
      <c r="I11" s="1714"/>
      <c r="J11" s="1714"/>
      <c r="K11" s="1715"/>
    </row>
    <row r="12" spans="1:11" ht="15.75">
      <c r="A12" s="305"/>
      <c r="B12" s="277" t="s">
        <v>236</v>
      </c>
      <c r="C12" s="146"/>
      <c r="D12" s="140"/>
      <c r="E12" s="337"/>
      <c r="F12" s="1716"/>
      <c r="G12" s="1717"/>
      <c r="H12" s="1717"/>
      <c r="I12" s="1717"/>
      <c r="J12" s="1717"/>
      <c r="K12" s="1718"/>
    </row>
    <row r="13" spans="1:11" ht="15.75">
      <c r="A13" s="305"/>
      <c r="B13" s="465"/>
      <c r="C13" s="466" t="s">
        <v>237</v>
      </c>
      <c r="D13" s="467">
        <v>8011</v>
      </c>
      <c r="E13" s="1323"/>
      <c r="F13" s="1324"/>
      <c r="G13" s="1325" t="str">
        <f>IF(E13&lt;1," ",IF(F13&lt;1," ",(F13-E13)/E13))</f>
        <v xml:space="preserve"> </v>
      </c>
      <c r="H13" s="1323"/>
      <c r="I13" s="1325" t="str">
        <f>IF(F13&lt;1," ",IF(H13&lt;1," ",(H13-F13)/F13))</f>
        <v xml:space="preserve"> </v>
      </c>
      <c r="J13" s="1323"/>
      <c r="K13" s="1326" t="str">
        <f>IF(H13&lt;1," ",IF(J13&lt;1," ",(J13-H13)/H13))</f>
        <v xml:space="preserve"> </v>
      </c>
    </row>
    <row r="14" spans="1:11" ht="15.75">
      <c r="A14" s="305"/>
      <c r="B14" s="465"/>
      <c r="C14" s="466" t="s">
        <v>239</v>
      </c>
      <c r="D14" s="467">
        <v>8012</v>
      </c>
      <c r="E14" s="1323"/>
      <c r="F14" s="1324"/>
      <c r="G14" s="1325" t="str">
        <f>IF(E14&lt;1," ",IF(F14&lt;1," ",(F14-E14)/E14))</f>
        <v xml:space="preserve"> </v>
      </c>
      <c r="H14" s="1323"/>
      <c r="I14" s="1325" t="str">
        <f>IF(F14&lt;1," ",IF(H14&lt;1," ",(H14-F14)/F14))</f>
        <v xml:space="preserve"> </v>
      </c>
      <c r="J14" s="1323"/>
      <c r="K14" s="1326" t="str">
        <f>IF(H14&lt;1," ",IF(J14&lt;1," ",(J14-H14)/H14))</f>
        <v xml:space="preserve"> </v>
      </c>
    </row>
    <row r="15" spans="1:11" ht="15.75">
      <c r="A15" s="67"/>
      <c r="B15" s="465"/>
      <c r="C15" s="466" t="s">
        <v>240</v>
      </c>
      <c r="D15" s="467">
        <v>8019</v>
      </c>
      <c r="E15" s="1323"/>
      <c r="F15" s="1323"/>
      <c r="G15" s="1325" t="str">
        <f>IF(E15&lt;1," ",IF(F15&lt;1," ",(F15-E15)/E15))</f>
        <v xml:space="preserve"> </v>
      </c>
      <c r="H15" s="1323"/>
      <c r="I15" s="1325" t="str">
        <f>IF(F15&lt;1," ",IF(H15&lt;1," ",(H15-F15)/F15))</f>
        <v xml:space="preserve"> </v>
      </c>
      <c r="J15" s="1323"/>
      <c r="K15" s="1326" t="str">
        <f>IF(H15&lt;1," ",IF(J15&lt;1," ",(J15-H15)/H15))</f>
        <v xml:space="preserve"> </v>
      </c>
    </row>
    <row r="16" spans="1:11" ht="15.75">
      <c r="A16" s="67"/>
      <c r="B16" s="465"/>
      <c r="C16" s="466" t="s">
        <v>241</v>
      </c>
      <c r="D16" s="467">
        <v>8096</v>
      </c>
      <c r="E16" s="1323"/>
      <c r="F16" s="1324"/>
      <c r="G16" s="1325" t="str">
        <f>IF(E16&lt;1," ",IF(F16&lt;1," ",(F16-E16)/E16))</f>
        <v xml:space="preserve"> </v>
      </c>
      <c r="H16" s="1323"/>
      <c r="I16" s="1327" t="str">
        <f>IF(F16&lt;1," ",IF(H16&lt;1," ",(H16-F16)/F16))</f>
        <v xml:space="preserve"> </v>
      </c>
      <c r="J16" s="1323"/>
      <c r="K16" s="1328" t="str">
        <f>IF(H16&lt;1," ",IF(J16&lt;1," ",(J16-H16)/H16))</f>
        <v xml:space="preserve"> </v>
      </c>
    </row>
    <row r="17" spans="1:11" ht="15.75">
      <c r="A17" s="67"/>
      <c r="B17" s="277" t="s">
        <v>242</v>
      </c>
      <c r="C17" s="277"/>
      <c r="D17" s="345" t="s">
        <v>243</v>
      </c>
      <c r="E17" s="1187">
        <f>E108</f>
        <v>1209130.8400000001</v>
      </c>
      <c r="F17" s="1329">
        <f>F108</f>
        <v>1235086</v>
      </c>
      <c r="G17" s="1330">
        <f>IF(E17&lt;1," ",IF(F17&lt;1," ",(F17-E17)/E17))</f>
        <v>2.1465964758619435E-2</v>
      </c>
      <c r="H17" s="1187">
        <f>H108</f>
        <v>1561693.3</v>
      </c>
      <c r="I17" s="1331">
        <f>IF(F17&lt;1," ",IF(H17&lt;1," ",(H17-F17)/F17))</f>
        <v>0.26444093771607813</v>
      </c>
      <c r="J17" s="1187">
        <f>J108</f>
        <v>929257.3</v>
      </c>
      <c r="K17" s="1332">
        <f>IF(H17&lt;1," ",IF(J17&lt;1," ",(J17-H17)/H17))</f>
        <v>-0.40496812018083189</v>
      </c>
    </row>
    <row r="18" spans="1:11" ht="15.75">
      <c r="A18" s="67"/>
      <c r="B18" s="146" t="s">
        <v>244</v>
      </c>
      <c r="C18" s="140"/>
      <c r="D18" s="140"/>
      <c r="E18" s="1333"/>
      <c r="F18" s="1334"/>
      <c r="G18" s="1335"/>
      <c r="H18" s="1333"/>
      <c r="I18" s="1335"/>
      <c r="J18" s="1333"/>
      <c r="K18" s="1336"/>
    </row>
    <row r="19" spans="1:11" ht="15.75">
      <c r="A19" s="67"/>
      <c r="B19" s="465"/>
      <c r="C19" s="466" t="s">
        <v>245</v>
      </c>
      <c r="D19" s="467">
        <v>8560</v>
      </c>
      <c r="E19" s="1337"/>
      <c r="F19" s="1338"/>
      <c r="G19" s="1339" t="str">
        <f>IF(E19&lt;1," ",IF(F19&lt;1," ",(F19-E19)/E19))</f>
        <v xml:space="preserve"> </v>
      </c>
      <c r="H19" s="1337"/>
      <c r="I19" s="1339" t="str">
        <f>IF(F19&lt;1," ",IF(H19&lt;1," ",(H19-F19)/F19))</f>
        <v xml:space="preserve"> </v>
      </c>
      <c r="J19" s="1340"/>
      <c r="K19" s="1341" t="str">
        <f>IF(H19&lt;1," ",IF(J19&lt;1," ",(J19-H19)/H19))</f>
        <v xml:space="preserve"> </v>
      </c>
    </row>
    <row r="20" spans="1:11" ht="15.75">
      <c r="A20" s="67"/>
      <c r="B20" s="146"/>
      <c r="C20" s="279" t="s">
        <v>246</v>
      </c>
      <c r="D20" s="345">
        <v>8560</v>
      </c>
      <c r="E20" s="697">
        <v>44064.23</v>
      </c>
      <c r="F20" s="694">
        <f>F111</f>
        <v>40742.212123199999</v>
      </c>
      <c r="G20" s="271" t="s">
        <v>103</v>
      </c>
      <c r="H20" s="753">
        <f>H111</f>
        <v>40742.212123199999</v>
      </c>
      <c r="I20" s="271" t="s">
        <v>103</v>
      </c>
      <c r="J20" s="693">
        <f>J111</f>
        <v>40742.212123199999</v>
      </c>
      <c r="K20" s="307">
        <f>IF(H20&lt;1," ",IF(J20&lt;1," ",(J20-H20)/H20))</f>
        <v>0</v>
      </c>
    </row>
    <row r="21" spans="1:11" ht="15.75">
      <c r="A21" s="67"/>
      <c r="B21" s="146"/>
      <c r="C21" s="279" t="s">
        <v>247</v>
      </c>
      <c r="D21" s="345" t="s">
        <v>248</v>
      </c>
      <c r="E21" s="693">
        <f>E132</f>
        <v>1396800.87</v>
      </c>
      <c r="F21" s="694">
        <f>F132</f>
        <v>1378513.1600000001</v>
      </c>
      <c r="G21" s="269">
        <f>IF(E21&lt;1," ",IF(F21&lt;1," ",(F21-E21)/E21))</f>
        <v>-1.3092567733008329E-2</v>
      </c>
      <c r="H21" s="693">
        <f>H132</f>
        <v>954338.75</v>
      </c>
      <c r="I21" s="271">
        <f>IF(F21&lt;1," ",IF(H21&lt;1," ",(H21-F21)/F21))</f>
        <v>-0.30770428771242203</v>
      </c>
      <c r="J21" s="693">
        <f>J132</f>
        <v>1087931.6100000001</v>
      </c>
      <c r="K21" s="307">
        <f>IF(H21&lt;1," ",IF(J21&lt;1," ",(J21-H21)/H21))</f>
        <v>0.13998473812364856</v>
      </c>
    </row>
    <row r="22" spans="1:11" ht="15.75">
      <c r="A22" s="67"/>
      <c r="B22" s="146" t="s">
        <v>249</v>
      </c>
      <c r="C22" s="140"/>
      <c r="D22" s="140"/>
      <c r="E22" s="338"/>
      <c r="F22" s="339"/>
      <c r="G22" s="340"/>
      <c r="H22" s="338"/>
      <c r="I22" s="340"/>
      <c r="J22" s="338"/>
      <c r="K22" s="341"/>
    </row>
    <row r="23" spans="1:11" ht="15.75">
      <c r="A23" s="67"/>
      <c r="B23" s="146"/>
      <c r="C23" s="279" t="s">
        <v>250</v>
      </c>
      <c r="D23" s="345">
        <v>8660</v>
      </c>
      <c r="E23" s="697">
        <v>0</v>
      </c>
      <c r="F23" s="692"/>
      <c r="G23" s="269" t="str">
        <f>IF(E23&lt;1," ",IF(F23&lt;1," ",(F23-E23)/E23))</f>
        <v xml:space="preserve"> </v>
      </c>
      <c r="H23" s="697"/>
      <c r="I23" s="271" t="str">
        <f>IF(F23&lt;1," ",IF(H23&lt;1," ",(H23-F23)/F23))</f>
        <v xml:space="preserve"> </v>
      </c>
      <c r="J23" s="697"/>
      <c r="K23" s="307" t="str">
        <f>IF(H23&lt;1," ",IF(J23&lt;1," ",(J23-H23)/H23))</f>
        <v xml:space="preserve"> </v>
      </c>
    </row>
    <row r="24" spans="1:11" ht="15.75">
      <c r="A24" s="67"/>
      <c r="B24" s="146"/>
      <c r="C24" s="279" t="s">
        <v>251</v>
      </c>
      <c r="D24" s="345">
        <v>8792</v>
      </c>
      <c r="E24" s="697">
        <v>407422</v>
      </c>
      <c r="F24" s="692">
        <v>497550</v>
      </c>
      <c r="G24" s="271">
        <f>IF(E24&lt;1," ",IF(F24&lt;1," ",(F24-E24)/E24))</f>
        <v>0.22121534919567426</v>
      </c>
      <c r="H24" s="697">
        <v>512447</v>
      </c>
      <c r="I24" s="271">
        <f>IF(F24&lt;1," ",IF(H24&lt;1," ",(H24-F24)/F24))</f>
        <v>2.994070947643453E-2</v>
      </c>
      <c r="J24" s="697">
        <v>527851</v>
      </c>
      <c r="K24" s="307">
        <f>IF(H24&lt;1," ",IF(J24&lt;1," ",(J24-H24)/H24))</f>
        <v>3.0059693978108957E-2</v>
      </c>
    </row>
    <row r="25" spans="1:11" ht="16.5" thickBot="1">
      <c r="A25" s="67"/>
      <c r="B25" s="896"/>
      <c r="C25" s="929" t="s">
        <v>252</v>
      </c>
      <c r="D25" s="930" t="s">
        <v>253</v>
      </c>
      <c r="E25" s="700">
        <f>E141</f>
        <v>0</v>
      </c>
      <c r="F25" s="699">
        <f>F141</f>
        <v>7500</v>
      </c>
      <c r="G25" s="296" t="str">
        <f>IF(E25&lt;1," ",IF(F25&lt;1," ",(F25-E25)/E25))</f>
        <v xml:space="preserve"> </v>
      </c>
      <c r="H25" s="700">
        <f>H141</f>
        <v>7725</v>
      </c>
      <c r="I25" s="297">
        <f>IF(F25&lt;1," ",IF(H25&lt;1," ",(H25-F25)/F25))</f>
        <v>0.03</v>
      </c>
      <c r="J25" s="700">
        <f>J141</f>
        <v>7956.75</v>
      </c>
      <c r="K25" s="923">
        <f>IF(H25&lt;1," ",IF(J25&lt;1," ",(J25-H25)/H25))</f>
        <v>0.03</v>
      </c>
    </row>
    <row r="26" spans="1:11" ht="17.25" thickTop="1" thickBot="1">
      <c r="A26" s="67"/>
      <c r="B26" s="1730" t="s">
        <v>254</v>
      </c>
      <c r="C26" s="1731"/>
      <c r="D26" s="1732"/>
      <c r="E26" s="897">
        <f>SUM(E13:E25)</f>
        <v>3057417.9400000004</v>
      </c>
      <c r="F26" s="897">
        <f>SUM(F13:F25)</f>
        <v>3159391.3721232004</v>
      </c>
      <c r="G26" s="898">
        <f>IF(E26&lt;1," ",IF(F26&lt;1," ",(F26-E26)/E26))</f>
        <v>3.3352794457404154E-2</v>
      </c>
      <c r="H26" s="897">
        <f>SUM(H13:H25)</f>
        <v>3076946.2621232001</v>
      </c>
      <c r="I26" s="898">
        <f>IF(F26&lt;1," ",IF(H26&lt;1," ",(H26-F26)/F26))</f>
        <v>-2.6095250726912916E-2</v>
      </c>
      <c r="J26" s="897">
        <f>SUM(J13:J25)</f>
        <v>2593738.8721232</v>
      </c>
      <c r="K26" s="899">
        <f>IF(H26&lt;1," ",IF(J26&lt;1," ",(J26-H26)/H26))</f>
        <v>-0.15704121841457516</v>
      </c>
    </row>
    <row r="27" spans="1:11" ht="16.5" thickTop="1">
      <c r="A27" s="67"/>
      <c r="B27" s="1"/>
      <c r="C27" s="1"/>
      <c r="D27" s="1"/>
      <c r="E27" s="268"/>
      <c r="F27" s="1723"/>
      <c r="G27" s="1723"/>
      <c r="H27" s="1723"/>
      <c r="I27" s="1723"/>
      <c r="J27" s="1723"/>
      <c r="K27" s="1724"/>
    </row>
    <row r="28" spans="1:11" ht="15.75">
      <c r="A28" s="1739" t="s">
        <v>255</v>
      </c>
      <c r="B28" s="1740"/>
      <c r="C28" s="1740"/>
      <c r="D28" s="154"/>
      <c r="E28" s="268"/>
      <c r="F28" s="1723"/>
      <c r="G28" s="1723"/>
      <c r="H28" s="1723"/>
      <c r="I28" s="1723"/>
      <c r="J28" s="1723"/>
      <c r="K28" s="1724"/>
    </row>
    <row r="29" spans="1:11" ht="15.75">
      <c r="A29" s="67"/>
      <c r="B29" s="277" t="s">
        <v>256</v>
      </c>
      <c r="C29" s="277"/>
      <c r="D29" s="278" t="s">
        <v>257</v>
      </c>
      <c r="E29" s="697">
        <v>798794</v>
      </c>
      <c r="F29" s="754">
        <v>965931.3759999997</v>
      </c>
      <c r="G29" s="271">
        <f t="shared" ref="G29:G37" si="0">IF(E29&lt;1," ",IF(F29&lt;1," ",(F29-E29)/E29))</f>
        <v>0.2092371449960812</v>
      </c>
      <c r="H29" s="702">
        <v>977811.18986812537</v>
      </c>
      <c r="I29" s="271">
        <f t="shared" ref="I29:I37" si="1">IF(F29&lt;1," ",IF(H29&lt;1," ",(H29-F29)/F29))</f>
        <v>1.2298817662721489E-2</v>
      </c>
      <c r="J29" s="702">
        <v>999373.64946786268</v>
      </c>
      <c r="K29" s="307">
        <f t="shared" ref="K29:K37" si="2">IF(H29&lt;1," ",IF(J29&lt;1," ",(J29-H29)/H29))</f>
        <v>2.2051761958917015E-2</v>
      </c>
    </row>
    <row r="30" spans="1:11" ht="15.75">
      <c r="A30" s="67"/>
      <c r="B30" s="277" t="s">
        <v>258</v>
      </c>
      <c r="C30" s="277"/>
      <c r="D30" s="278" t="s">
        <v>259</v>
      </c>
      <c r="E30" s="697">
        <v>682038</v>
      </c>
      <c r="F30" s="754">
        <v>638957.80500000017</v>
      </c>
      <c r="G30" s="271">
        <f t="shared" si="0"/>
        <v>-6.3163921951562577E-2</v>
      </c>
      <c r="H30" s="702">
        <v>650141.93691648077</v>
      </c>
      <c r="I30" s="271">
        <f t="shared" si="1"/>
        <v>1.750370967998521E-2</v>
      </c>
      <c r="J30" s="702">
        <v>669646.19502397522</v>
      </c>
      <c r="K30" s="307">
        <f t="shared" si="2"/>
        <v>3.0000000000000037E-2</v>
      </c>
    </row>
    <row r="31" spans="1:11" ht="15.75">
      <c r="A31" s="67"/>
      <c r="B31" s="277" t="s">
        <v>260</v>
      </c>
      <c r="C31" s="277"/>
      <c r="D31" s="278" t="s">
        <v>261</v>
      </c>
      <c r="E31" s="697">
        <v>408081</v>
      </c>
      <c r="F31" s="754">
        <v>543372.37651180022</v>
      </c>
      <c r="G31" s="271">
        <f t="shared" si="0"/>
        <v>0.33153069246497685</v>
      </c>
      <c r="H31" s="702">
        <v>576160.9543693458</v>
      </c>
      <c r="I31" s="271">
        <f t="shared" si="1"/>
        <v>6.034273966599684E-2</v>
      </c>
      <c r="J31" s="702">
        <v>602809.29250801564</v>
      </c>
      <c r="K31" s="307">
        <f t="shared" si="2"/>
        <v>4.6251551648165017E-2</v>
      </c>
    </row>
    <row r="32" spans="1:11" ht="15.75">
      <c r="A32" s="67"/>
      <c r="B32" s="277" t="s">
        <v>262</v>
      </c>
      <c r="C32" s="277"/>
      <c r="D32" s="278" t="s">
        <v>263</v>
      </c>
      <c r="E32" s="697">
        <v>365081</v>
      </c>
      <c r="F32" s="754">
        <v>195969</v>
      </c>
      <c r="G32" s="271">
        <f t="shared" si="0"/>
        <v>-0.46321775167702511</v>
      </c>
      <c r="H32" s="702">
        <v>115132.88859113162</v>
      </c>
      <c r="I32" s="271">
        <f t="shared" si="1"/>
        <v>-0.41249438129943194</v>
      </c>
      <c r="J32" s="702">
        <v>118586.87524886554</v>
      </c>
      <c r="K32" s="307">
        <f t="shared" si="2"/>
        <v>2.9999999999999815E-2</v>
      </c>
    </row>
    <row r="33" spans="1:12" ht="15.75">
      <c r="A33" s="67"/>
      <c r="B33" s="277" t="s">
        <v>264</v>
      </c>
      <c r="C33" s="277"/>
      <c r="D33" s="278" t="s">
        <v>265</v>
      </c>
      <c r="E33" s="697">
        <v>1228787</v>
      </c>
      <c r="F33" s="754">
        <v>928320.65999999992</v>
      </c>
      <c r="G33" s="271">
        <f t="shared" si="0"/>
        <v>-0.24452272037383216</v>
      </c>
      <c r="H33" s="702">
        <v>794433.55568418675</v>
      </c>
      <c r="I33" s="271">
        <f t="shared" si="1"/>
        <v>-0.14422506153834083</v>
      </c>
      <c r="J33" s="702">
        <v>790362.81968833052</v>
      </c>
      <c r="K33" s="307">
        <f t="shared" si="2"/>
        <v>-5.1240735826552633E-3</v>
      </c>
    </row>
    <row r="34" spans="1:12" ht="15.75">
      <c r="A34" s="67"/>
      <c r="B34" s="277" t="s">
        <v>266</v>
      </c>
      <c r="C34" s="277"/>
      <c r="D34" s="278" t="s">
        <v>267</v>
      </c>
      <c r="E34" s="697">
        <v>0</v>
      </c>
      <c r="F34" s="754">
        <v>0</v>
      </c>
      <c r="G34" s="271" t="str">
        <f t="shared" si="0"/>
        <v xml:space="preserve"> </v>
      </c>
      <c r="H34" s="702">
        <v>0</v>
      </c>
      <c r="I34" s="271" t="str">
        <f t="shared" si="1"/>
        <v xml:space="preserve"> </v>
      </c>
      <c r="J34" s="702">
        <v>0</v>
      </c>
      <c r="K34" s="307" t="str">
        <f t="shared" si="2"/>
        <v xml:space="preserve"> </v>
      </c>
    </row>
    <row r="35" spans="1:12" ht="15.75">
      <c r="A35" s="67"/>
      <c r="B35" s="277" t="s">
        <v>268</v>
      </c>
      <c r="C35" s="277"/>
      <c r="D35" s="278" t="s">
        <v>269</v>
      </c>
      <c r="E35" s="697">
        <v>0</v>
      </c>
      <c r="F35" s="754">
        <v>0</v>
      </c>
      <c r="G35" s="271" t="str">
        <f t="shared" si="0"/>
        <v xml:space="preserve"> </v>
      </c>
      <c r="H35" s="702">
        <v>0</v>
      </c>
      <c r="I35" s="271" t="str">
        <f t="shared" si="1"/>
        <v xml:space="preserve"> </v>
      </c>
      <c r="J35" s="702">
        <v>0</v>
      </c>
      <c r="K35" s="307" t="str">
        <f t="shared" si="2"/>
        <v xml:space="preserve"> </v>
      </c>
    </row>
    <row r="36" spans="1:12" ht="16.5" thickBot="1">
      <c r="A36" s="67"/>
      <c r="B36" s="919" t="s">
        <v>270</v>
      </c>
      <c r="C36" s="919"/>
      <c r="D36" s="626" t="s">
        <v>271</v>
      </c>
      <c r="E36" s="931">
        <v>0</v>
      </c>
      <c r="F36" s="932">
        <v>0</v>
      </c>
      <c r="G36" s="297" t="str">
        <f t="shared" si="0"/>
        <v xml:space="preserve"> </v>
      </c>
      <c r="H36" s="931">
        <v>0</v>
      </c>
      <c r="I36" s="297" t="str">
        <f t="shared" si="1"/>
        <v xml:space="preserve"> </v>
      </c>
      <c r="J36" s="931">
        <v>0</v>
      </c>
      <c r="K36" s="923" t="str">
        <f t="shared" si="2"/>
        <v xml:space="preserve"> </v>
      </c>
    </row>
    <row r="37" spans="1:12" ht="17.25" thickTop="1" thickBot="1">
      <c r="A37" s="67"/>
      <c r="B37" s="1766" t="s">
        <v>272</v>
      </c>
      <c r="C37" s="1767"/>
      <c r="D37" s="1767"/>
      <c r="E37" s="897">
        <f>SUM(E29:E36)</f>
        <v>3482781</v>
      </c>
      <c r="F37" s="897">
        <f>SUM(F29:F36)</f>
        <v>3272551.2175118001</v>
      </c>
      <c r="G37" s="898">
        <f t="shared" si="0"/>
        <v>-6.0362618978396829E-2</v>
      </c>
      <c r="H37" s="897">
        <f>SUM(H29:H36)</f>
        <v>3113680.5254292702</v>
      </c>
      <c r="I37" s="898">
        <f t="shared" si="1"/>
        <v>-4.8546434119165024E-2</v>
      </c>
      <c r="J37" s="897">
        <f>SUM(J29:J36)</f>
        <v>3180778.83193705</v>
      </c>
      <c r="K37" s="899">
        <f t="shared" si="2"/>
        <v>2.1549515423882219E-2</v>
      </c>
    </row>
    <row r="38" spans="1:12" ht="17.25" thickTop="1" thickBot="1">
      <c r="A38" s="67"/>
      <c r="B38" s="1"/>
      <c r="C38" s="924"/>
      <c r="D38" s="167"/>
      <c r="E38" s="276"/>
      <c r="F38" s="1748"/>
      <c r="G38" s="1748"/>
      <c r="H38" s="1748"/>
      <c r="I38" s="1748"/>
      <c r="J38" s="1748"/>
      <c r="K38" s="1749"/>
    </row>
    <row r="39" spans="1:12" ht="17.25" thickTop="1" thickBot="1">
      <c r="A39" s="1768" t="s">
        <v>273</v>
      </c>
      <c r="B39" s="1769"/>
      <c r="C39" s="1769"/>
      <c r="D39" s="1769"/>
      <c r="E39" s="914">
        <f>SUM(E26-E37)</f>
        <v>-425363.05999999959</v>
      </c>
      <c r="F39" s="914">
        <f>SUM(F26-F37)</f>
        <v>-113159.84538859967</v>
      </c>
      <c r="G39" s="915" t="str">
        <f>IF(E39&lt;1," ",IF(F39&lt;1," ",(F39-E39)/E39))</f>
        <v xml:space="preserve"> </v>
      </c>
      <c r="H39" s="914">
        <f>SUM(H26-H37)</f>
        <v>-36734.263306070119</v>
      </c>
      <c r="I39" s="915" t="str">
        <f>IF(F39&lt;1," ",IF(H39&lt;1," ",(H39-F39)/F39))</f>
        <v xml:space="preserve"> </v>
      </c>
      <c r="J39" s="914">
        <f>SUM(J26-J37)</f>
        <v>-587039.95981385</v>
      </c>
      <c r="K39" s="916" t="str">
        <f>IF(H39&lt;1," ",IF(J39&lt;1," ",(J39-H39)/H39))</f>
        <v xml:space="preserve"> </v>
      </c>
    </row>
    <row r="40" spans="1:12" ht="16.5" thickTop="1">
      <c r="A40" s="67"/>
      <c r="B40" s="1"/>
      <c r="C40" s="342"/>
      <c r="D40" s="343"/>
      <c r="E40" s="83"/>
      <c r="F40" s="1719"/>
      <c r="G40" s="1719"/>
      <c r="H40" s="1719"/>
      <c r="I40" s="1719"/>
      <c r="J40" s="1719"/>
      <c r="K40" s="1720"/>
    </row>
    <row r="41" spans="1:12" ht="15.75">
      <c r="A41" s="305" t="s">
        <v>274</v>
      </c>
      <c r="B41" s="1"/>
      <c r="C41" s="154"/>
      <c r="D41" s="344"/>
      <c r="E41" s="82"/>
      <c r="F41" s="1721"/>
      <c r="G41" s="1721"/>
      <c r="H41" s="1721"/>
      <c r="I41" s="1721"/>
      <c r="J41" s="1721"/>
      <c r="K41" s="1722"/>
    </row>
    <row r="42" spans="1:12" ht="15.75">
      <c r="A42" s="67"/>
      <c r="B42" s="146" t="s">
        <v>275</v>
      </c>
      <c r="C42" s="140"/>
      <c r="D42" s="309">
        <v>8900</v>
      </c>
      <c r="E42" s="755">
        <v>370188</v>
      </c>
      <c r="F42" s="755"/>
      <c r="G42" s="30" t="str">
        <f>IF(E42&lt;1," ",IF(F42&lt;1," ",(F42-E42)/E42))</f>
        <v xml:space="preserve"> </v>
      </c>
      <c r="H42" s="755"/>
      <c r="I42" s="30" t="str">
        <f>IF(F42&lt;1," ",IF(H42&lt;1," ",(H42-F42)/F42))</f>
        <v xml:space="preserve"> </v>
      </c>
      <c r="J42" s="755"/>
      <c r="K42" s="310" t="str">
        <f>IF(H42&lt;1," ",IF(J42&lt;1," ",(J42-H42)/H42))</f>
        <v xml:space="preserve"> </v>
      </c>
      <c r="L42" s="1240"/>
    </row>
    <row r="43" spans="1:12" ht="16.5" thickBot="1">
      <c r="A43" s="67"/>
      <c r="B43" s="896" t="s">
        <v>276</v>
      </c>
      <c r="C43" s="152"/>
      <c r="D43" s="925">
        <v>7600</v>
      </c>
      <c r="E43" s="756">
        <v>0</v>
      </c>
      <c r="F43" s="756">
        <v>0</v>
      </c>
      <c r="G43" s="95" t="str">
        <f>IF(E43&lt;1," ",IF(F43&lt;1," ",(F43-E43)/E43))</f>
        <v xml:space="preserve"> </v>
      </c>
      <c r="H43" s="756">
        <v>0</v>
      </c>
      <c r="I43" s="95" t="str">
        <f>IF(F43&lt;1," ",IF(H43&lt;1," ",(H43-F43)/F43))</f>
        <v xml:space="preserve"> </v>
      </c>
      <c r="J43" s="756">
        <v>0</v>
      </c>
      <c r="K43" s="311" t="str">
        <f>IF(H43&lt;1," ",IF(J43&lt;1," ",(J43-H43)/H43))</f>
        <v xml:space="preserve"> </v>
      </c>
    </row>
    <row r="44" spans="1:12" ht="17.25" thickTop="1" thickBot="1">
      <c r="A44" s="67"/>
      <c r="B44" s="1766" t="s">
        <v>277</v>
      </c>
      <c r="C44" s="1767"/>
      <c r="D44" s="1767"/>
      <c r="E44" s="897">
        <f>E42-E43</f>
        <v>370188</v>
      </c>
      <c r="F44" s="897">
        <f>F42-F43</f>
        <v>0</v>
      </c>
      <c r="G44" s="898" t="str">
        <f>IF(E44&lt;1," ",IF(F44&lt;1," ",(F44-E44)/E44))</f>
        <v xml:space="preserve"> </v>
      </c>
      <c r="H44" s="897">
        <f>H42-H43</f>
        <v>0</v>
      </c>
      <c r="I44" s="898" t="str">
        <f>IF(F44&lt;1," ",IF(H44&lt;1," ",(H44-F44)/F44))</f>
        <v xml:space="preserve"> </v>
      </c>
      <c r="J44" s="897">
        <f>J42-J43</f>
        <v>0</v>
      </c>
      <c r="K44" s="899" t="str">
        <f>IF(H44&lt;1," ",IF(J44&lt;1," ",(J44-H44)/H44))</f>
        <v xml:space="preserve"> </v>
      </c>
    </row>
    <row r="45" spans="1:12" ht="17.25" thickTop="1" thickBot="1">
      <c r="A45" s="67"/>
      <c r="B45" s="1"/>
      <c r="C45" s="1"/>
      <c r="D45" s="553"/>
      <c r="E45" s="268"/>
      <c r="F45" s="268"/>
      <c r="G45" s="51"/>
      <c r="H45" s="268"/>
      <c r="I45" s="51"/>
      <c r="J45" s="268"/>
      <c r="K45" s="312"/>
    </row>
    <row r="46" spans="1:12" ht="17.25" thickTop="1" thickBot="1">
      <c r="A46" s="1768" t="s">
        <v>278</v>
      </c>
      <c r="B46" s="1769"/>
      <c r="C46" s="1769"/>
      <c r="D46" s="1769"/>
      <c r="E46" s="914">
        <f>E39+E44</f>
        <v>-55175.05999999959</v>
      </c>
      <c r="F46" s="914">
        <f>F39+F44</f>
        <v>-113159.84538859967</v>
      </c>
      <c r="G46" s="915" t="str">
        <f>IF(E46&lt;1," ",IF(F46&lt;1," ",(F46-E46)/E46))</f>
        <v xml:space="preserve"> </v>
      </c>
      <c r="H46" s="914">
        <f>H39+H44</f>
        <v>-36734.263306070119</v>
      </c>
      <c r="I46" s="915" t="str">
        <f>IF(F46&lt;1," ",IF(H46&lt;1," ",(H46-F46)/F46))</f>
        <v xml:space="preserve"> </v>
      </c>
      <c r="J46" s="914">
        <f>J39+J44</f>
        <v>-587039.95981385</v>
      </c>
      <c r="K46" s="916" t="str">
        <f>IF(H46&lt;1," ",IF(J46&lt;1," ",(J46-H46)/H46))</f>
        <v xml:space="preserve"> </v>
      </c>
    </row>
    <row r="47" spans="1:12" ht="16.5" thickTop="1">
      <c r="A47" s="305"/>
      <c r="B47" s="1"/>
      <c r="C47" s="342"/>
      <c r="D47" s="343"/>
      <c r="E47" s="268"/>
      <c r="F47" s="1723"/>
      <c r="G47" s="1723"/>
      <c r="H47" s="1723"/>
      <c r="I47" s="1723"/>
      <c r="J47" s="1723"/>
      <c r="K47" s="1724"/>
    </row>
    <row r="48" spans="1:12" ht="15.75">
      <c r="A48" s="305" t="s">
        <v>279</v>
      </c>
      <c r="B48" s="1"/>
      <c r="C48" s="154"/>
      <c r="D48" s="344"/>
      <c r="E48" s="268"/>
      <c r="F48" s="1723"/>
      <c r="G48" s="1723"/>
      <c r="H48" s="1723"/>
      <c r="I48" s="1723"/>
      <c r="J48" s="1723"/>
      <c r="K48" s="1724"/>
    </row>
    <row r="49" spans="1:11" ht="15.75">
      <c r="A49" s="67"/>
      <c r="B49" s="292" t="s">
        <v>280</v>
      </c>
      <c r="C49" s="293"/>
      <c r="D49" s="294">
        <v>9791</v>
      </c>
      <c r="E49" s="757">
        <v>-185160.67</v>
      </c>
      <c r="F49" s="710">
        <f>E55</f>
        <v>-240336</v>
      </c>
      <c r="G49" s="275" t="str">
        <f>IF(E49&lt;1," ",IF(F49&lt;1," ",(F49-E49)/E49))</f>
        <v xml:space="preserve"> </v>
      </c>
      <c r="H49" s="711">
        <f>F55</f>
        <v>-353495.85</v>
      </c>
      <c r="I49" s="275" t="str">
        <f>IF(F49&lt;1," ",IF(H49&lt;1," ",(H49-F49)/F49))</f>
        <v xml:space="preserve"> </v>
      </c>
      <c r="J49" s="711">
        <f>H55</f>
        <v>-390230.11</v>
      </c>
      <c r="K49" s="313" t="str">
        <f>IF(H49&lt;1," ",IF(J49&lt;1," ",(J49-H49)/H49))</f>
        <v xml:space="preserve"> </v>
      </c>
    </row>
    <row r="50" spans="1:11" ht="15.75">
      <c r="A50" s="67"/>
      <c r="B50" s="314" t="s">
        <v>281</v>
      </c>
      <c r="C50" s="315"/>
      <c r="D50" s="316">
        <v>9792</v>
      </c>
      <c r="E50" s="886"/>
      <c r="F50" s="886"/>
      <c r="G50" s="494" t="str">
        <f>IF(E50&lt;1," ",IF(F50&lt;1," ",(F50-E50)/E50))</f>
        <v xml:space="preserve"> </v>
      </c>
      <c r="H50" s="886"/>
      <c r="I50" s="318"/>
      <c r="J50" s="886"/>
      <c r="K50" s="319"/>
    </row>
    <row r="51" spans="1:11" ht="15.75">
      <c r="A51" s="67"/>
      <c r="B51" s="1733" t="s">
        <v>282</v>
      </c>
      <c r="C51" s="1734"/>
      <c r="D51" s="1735"/>
      <c r="E51" s="886"/>
      <c r="F51" s="886"/>
      <c r="G51" s="494"/>
      <c r="H51" s="886"/>
      <c r="I51" s="318"/>
      <c r="J51" s="886"/>
      <c r="K51" s="319"/>
    </row>
    <row r="52" spans="1:11" ht="15.75">
      <c r="A52" s="67"/>
      <c r="B52" s="314" t="s">
        <v>283</v>
      </c>
      <c r="C52" s="315"/>
      <c r="D52" s="316">
        <v>9793</v>
      </c>
      <c r="E52" s="886"/>
      <c r="F52" s="886"/>
      <c r="G52" s="494" t="str">
        <f>IF(E52&lt;1," ",IF(F52&lt;1," ",(F52-E52)/E52))</f>
        <v xml:space="preserve"> </v>
      </c>
      <c r="H52" s="886"/>
      <c r="I52" s="318"/>
      <c r="J52" s="886"/>
      <c r="K52" s="319"/>
    </row>
    <row r="53" spans="1:11" ht="15.75">
      <c r="A53" s="67"/>
      <c r="B53" s="314" t="s">
        <v>284</v>
      </c>
      <c r="C53" s="315"/>
      <c r="D53" s="316">
        <v>9795</v>
      </c>
      <c r="E53" s="995">
        <v>0</v>
      </c>
      <c r="F53" s="887"/>
      <c r="G53" s="320"/>
      <c r="H53" s="887"/>
      <c r="I53" s="321"/>
      <c r="J53" s="887"/>
      <c r="K53" s="322"/>
    </row>
    <row r="54" spans="1:11" ht="16.5" thickBot="1">
      <c r="A54" s="67"/>
      <c r="B54" s="1770" t="s">
        <v>285</v>
      </c>
      <c r="C54" s="1771"/>
      <c r="D54" s="1772"/>
      <c r="E54" s="709">
        <f>E49+E53</f>
        <v>-185160.67</v>
      </c>
      <c r="F54" s="887"/>
      <c r="G54" s="320"/>
      <c r="H54" s="887"/>
      <c r="I54" s="321"/>
      <c r="J54" s="887"/>
      <c r="K54" s="322"/>
    </row>
    <row r="55" spans="1:11" ht="17.25" thickTop="1" thickBot="1">
      <c r="A55" s="67"/>
      <c r="B55" s="909" t="s">
        <v>286</v>
      </c>
      <c r="C55" s="910"/>
      <c r="D55" s="911"/>
      <c r="E55" s="897">
        <f>ROUND(E54+E46,0)</f>
        <v>-240336</v>
      </c>
      <c r="F55" s="897">
        <f>ROUND(F49+F46,2)</f>
        <v>-353495.85</v>
      </c>
      <c r="G55" s="898" t="str">
        <f>IF(E55&lt;1," ",IF(F55&lt;1," ",(F55-E55)/E55))</f>
        <v xml:space="preserve"> </v>
      </c>
      <c r="H55" s="897">
        <f>ROUND(H49+H46,2)</f>
        <v>-390230.11</v>
      </c>
      <c r="I55" s="898" t="str">
        <f>IF(F55&lt;1," ",IF(H55&lt;1," ",(H55-F55)/F55))</f>
        <v xml:space="preserve"> </v>
      </c>
      <c r="J55" s="897">
        <f>ROUND(J49+J46,2)</f>
        <v>-977270.07</v>
      </c>
      <c r="K55" s="899" t="str">
        <f>IF(H55&lt;1," ",IF(J55&lt;1," ",(J55-H55)/H55))</f>
        <v xml:space="preserve"> </v>
      </c>
    </row>
    <row r="56" spans="1:11" ht="16.5" thickTop="1">
      <c r="A56" s="67"/>
      <c r="B56" s="1"/>
      <c r="C56" s="1"/>
      <c r="D56" s="167"/>
      <c r="E56" s="168"/>
      <c r="F56" s="295"/>
      <c r="G56" s="51"/>
      <c r="H56" s="168"/>
      <c r="I56" s="51"/>
      <c r="J56" s="168"/>
      <c r="K56" s="312"/>
    </row>
    <row r="57" spans="1:11" ht="15.75">
      <c r="A57" s="323" t="s">
        <v>287</v>
      </c>
      <c r="C57" s="98"/>
      <c r="D57" s="554" t="s">
        <v>103</v>
      </c>
      <c r="E57" s="480"/>
      <c r="F57" s="295"/>
      <c r="G57" s="51"/>
      <c r="H57" s="168"/>
      <c r="I57" s="51"/>
      <c r="J57" s="168"/>
      <c r="K57" s="312"/>
    </row>
    <row r="58" spans="1:11" ht="15.75">
      <c r="A58" s="323"/>
      <c r="B58" s="347" t="s">
        <v>288</v>
      </c>
      <c r="C58" s="352" t="s">
        <v>289</v>
      </c>
      <c r="D58" s="353"/>
      <c r="E58" s="354"/>
      <c r="F58" s="1762"/>
      <c r="G58" s="1762"/>
      <c r="H58" s="1762"/>
      <c r="I58" s="1762"/>
      <c r="J58" s="1762"/>
      <c r="K58" s="1763"/>
    </row>
    <row r="59" spans="1:11" ht="15.75">
      <c r="A59" s="67"/>
      <c r="B59" s="1621"/>
      <c r="C59" s="500" t="s">
        <v>290</v>
      </c>
      <c r="D59" s="477">
        <v>9711</v>
      </c>
      <c r="E59" s="356"/>
      <c r="F59" s="579"/>
      <c r="G59" s="468"/>
      <c r="H59" s="579"/>
      <c r="I59" s="468"/>
      <c r="J59" s="468"/>
      <c r="K59" s="506"/>
    </row>
    <row r="60" spans="1:11" ht="15.75">
      <c r="A60" s="67"/>
      <c r="B60" s="475"/>
      <c r="C60" s="500" t="s">
        <v>291</v>
      </c>
      <c r="D60" s="477">
        <v>9712</v>
      </c>
      <c r="E60" s="881"/>
      <c r="F60" s="882"/>
      <c r="G60" s="94"/>
      <c r="H60" s="882"/>
      <c r="I60" s="94"/>
      <c r="J60" s="883"/>
      <c r="K60" s="357"/>
    </row>
    <row r="61" spans="1:11" ht="15.75">
      <c r="A61" s="67"/>
      <c r="B61" s="475"/>
      <c r="C61" s="500" t="s">
        <v>292</v>
      </c>
      <c r="D61" s="477">
        <v>9713</v>
      </c>
      <c r="E61" s="317"/>
      <c r="F61" s="627"/>
      <c r="G61" s="494"/>
      <c r="H61" s="627"/>
      <c r="I61" s="494"/>
      <c r="J61" s="328"/>
      <c r="K61" s="506"/>
    </row>
    <row r="62" spans="1:11" ht="15.75">
      <c r="A62" s="67"/>
      <c r="B62" s="475"/>
      <c r="C62" s="500" t="s">
        <v>293</v>
      </c>
      <c r="D62" s="477">
        <v>9719</v>
      </c>
      <c r="E62" s="317"/>
      <c r="F62" s="627"/>
      <c r="G62" s="494"/>
      <c r="H62" s="627"/>
      <c r="I62" s="494"/>
      <c r="J62" s="328"/>
      <c r="K62" s="506"/>
    </row>
    <row r="63" spans="1:11" ht="14.25" customHeight="1">
      <c r="A63" s="67"/>
      <c r="B63" s="347" t="s">
        <v>294</v>
      </c>
      <c r="C63" s="349" t="s">
        <v>295</v>
      </c>
      <c r="D63" s="288">
        <v>9740</v>
      </c>
      <c r="E63" s="761">
        <f>ROUND(IF(E55&lt;0,0,E55),0)</f>
        <v>0</v>
      </c>
      <c r="F63" s="761">
        <f>ROUND(IF(F55&lt;0,0,F55),0)</f>
        <v>0</v>
      </c>
      <c r="G63" s="30" t="str">
        <f>IF(E63&lt;1," ",IF(F63&lt;1," ",(F63-E63)/E63))</f>
        <v xml:space="preserve"> </v>
      </c>
      <c r="H63" s="761">
        <f>ROUND(IF(H55&lt;0,0,H55),0)</f>
        <v>0</v>
      </c>
      <c r="I63" s="30" t="str">
        <f>IF(F63&lt;1," ",IF(H63&lt;1," ",(H63-F63)/F63))</f>
        <v xml:space="preserve"> </v>
      </c>
      <c r="J63" s="761">
        <f>ROUND(IF(J55&lt;0,0,J55),0)</f>
        <v>0</v>
      </c>
      <c r="K63" s="310" t="str">
        <f>IF(H63&lt;1," ",IF(J63&lt;1," ",(J63-H63)/H63))</f>
        <v xml:space="preserve"> </v>
      </c>
    </row>
    <row r="64" spans="1:11" ht="14.25" customHeight="1">
      <c r="A64" s="325"/>
      <c r="B64" s="475" t="s">
        <v>296</v>
      </c>
      <c r="C64" s="963" t="s">
        <v>297</v>
      </c>
      <c r="D64" s="987"/>
      <c r="E64" s="326"/>
      <c r="F64" s="627"/>
      <c r="G64" s="494"/>
      <c r="H64" s="627"/>
      <c r="I64" s="494"/>
      <c r="J64" s="328"/>
      <c r="K64" s="506"/>
    </row>
    <row r="65" spans="1:12" ht="15.75">
      <c r="A65" s="67"/>
      <c r="B65" s="475"/>
      <c r="C65" s="500" t="s">
        <v>298</v>
      </c>
      <c r="D65" s="503">
        <v>9750</v>
      </c>
      <c r="E65" s="317"/>
      <c r="F65" s="627"/>
      <c r="G65" s="494"/>
      <c r="H65" s="627"/>
      <c r="I65" s="494"/>
      <c r="J65" s="328"/>
      <c r="K65" s="506"/>
    </row>
    <row r="66" spans="1:12" ht="15.75">
      <c r="A66" s="67"/>
      <c r="B66" s="475"/>
      <c r="C66" s="500" t="s">
        <v>299</v>
      </c>
      <c r="D66" s="503">
        <v>9760</v>
      </c>
      <c r="E66" s="317"/>
      <c r="F66" s="627"/>
      <c r="G66" s="494"/>
      <c r="H66" s="627"/>
      <c r="I66" s="494"/>
      <c r="J66" s="328"/>
      <c r="K66" s="506"/>
    </row>
    <row r="67" spans="1:12" ht="15.75">
      <c r="A67" s="67"/>
      <c r="B67" s="475" t="s">
        <v>300</v>
      </c>
      <c r="C67" s="476" t="s">
        <v>301</v>
      </c>
      <c r="D67" s="477">
        <v>9780</v>
      </c>
      <c r="E67" s="317"/>
      <c r="F67" s="627"/>
      <c r="G67" s="494"/>
      <c r="H67" s="627"/>
      <c r="I67" s="494"/>
      <c r="J67" s="328"/>
      <c r="K67" s="506"/>
    </row>
    <row r="68" spans="1:12" ht="15.75">
      <c r="A68" s="67"/>
      <c r="B68" s="475" t="s">
        <v>302</v>
      </c>
      <c r="C68" s="963" t="s">
        <v>303</v>
      </c>
      <c r="D68" s="964"/>
      <c r="E68" s="317"/>
      <c r="F68" s="627"/>
      <c r="G68" s="494"/>
      <c r="H68" s="627"/>
      <c r="I68" s="494"/>
      <c r="J68" s="328"/>
      <c r="K68" s="506"/>
    </row>
    <row r="69" spans="1:12" ht="15.75">
      <c r="A69" s="67"/>
      <c r="B69" s="475"/>
      <c r="C69" s="500" t="s">
        <v>304</v>
      </c>
      <c r="D69" s="503">
        <v>9789</v>
      </c>
      <c r="E69" s="358"/>
      <c r="F69" s="615"/>
      <c r="G69" s="621"/>
      <c r="H69" s="615"/>
      <c r="I69" s="621"/>
      <c r="J69" s="471"/>
      <c r="K69" s="359"/>
    </row>
    <row r="70" spans="1:12" ht="16.5" thickBot="1">
      <c r="A70" s="67"/>
      <c r="B70" s="1104"/>
      <c r="C70" s="1105" t="s">
        <v>305</v>
      </c>
      <c r="D70" s="1106">
        <v>9790</v>
      </c>
      <c r="E70" s="828"/>
      <c r="F70" s="828"/>
      <c r="G70" s="494"/>
      <c r="H70" s="828"/>
      <c r="I70" s="494"/>
      <c r="J70" s="828"/>
      <c r="K70" s="506"/>
    </row>
    <row r="71" spans="1:12" ht="17.25" thickTop="1" thickBot="1">
      <c r="A71" s="67"/>
      <c r="B71" s="1107"/>
      <c r="C71" s="1108"/>
      <c r="D71" s="933"/>
      <c r="E71" s="905"/>
      <c r="F71" s="934"/>
      <c r="G71" s="905"/>
      <c r="H71" s="934"/>
      <c r="I71" s="905"/>
      <c r="J71" s="905"/>
      <c r="K71" s="906"/>
    </row>
    <row r="72" spans="1:12" ht="16.5" thickTop="1">
      <c r="A72" s="67"/>
      <c r="B72" s="1275"/>
      <c r="C72" s="1275"/>
      <c r="D72" s="884"/>
      <c r="E72" s="1236"/>
      <c r="F72" s="1276"/>
      <c r="G72" s="1236"/>
      <c r="H72" s="1276"/>
      <c r="I72" s="1236"/>
      <c r="J72" s="1236"/>
      <c r="K72" s="1277"/>
    </row>
    <row r="73" spans="1:12" ht="15.75">
      <c r="A73" s="67"/>
      <c r="B73" s="1275" t="s">
        <v>321</v>
      </c>
      <c r="C73" s="1275"/>
      <c r="D73" s="884"/>
      <c r="E73" s="1236"/>
      <c r="F73" s="1276"/>
      <c r="G73" s="1236"/>
      <c r="H73" s="1276"/>
      <c r="I73" s="1236"/>
      <c r="J73" s="1236"/>
      <c r="K73" s="1277"/>
    </row>
    <row r="74" spans="1:12" ht="15.75">
      <c r="A74" s="67"/>
      <c r="B74" s="290">
        <v>1</v>
      </c>
      <c r="C74" s="1712"/>
      <c r="D74" s="1712"/>
      <c r="E74" s="755"/>
      <c r="F74" s="755"/>
      <c r="G74" s="30" t="str">
        <f t="shared" ref="G74:G83" si="3">IF(E74&lt;1," ",IF(F74&lt;1," ",(F74-E74)/E74))</f>
        <v xml:space="preserve"> </v>
      </c>
      <c r="H74" s="755"/>
      <c r="I74" s="30" t="str">
        <f t="shared" ref="I74:I83" si="4">IF(F74&lt;1," ",IF(H74&lt;1," ",(H74-F74)/F74))</f>
        <v xml:space="preserve"> </v>
      </c>
      <c r="J74" s="755"/>
      <c r="K74" s="310" t="str">
        <f t="shared" ref="K74:K83" si="5">IF(H74&lt;1," ",IF(J74&lt;1," ",(J74-H74)/H74))</f>
        <v xml:space="preserve"> </v>
      </c>
      <c r="L74" s="1240"/>
    </row>
    <row r="75" spans="1:12" ht="15.75">
      <c r="A75" s="67"/>
      <c r="B75" s="290">
        <v>2</v>
      </c>
      <c r="C75" s="1710"/>
      <c r="D75" s="1711"/>
      <c r="E75" s="755"/>
      <c r="F75" s="755"/>
      <c r="G75" s="30"/>
      <c r="H75" s="755"/>
      <c r="I75" s="30"/>
      <c r="J75" s="755"/>
      <c r="K75" s="310"/>
    </row>
    <row r="76" spans="1:12" ht="15.75">
      <c r="A76" s="67"/>
      <c r="B76" s="290">
        <v>3</v>
      </c>
      <c r="C76" s="1710"/>
      <c r="D76" s="1711"/>
      <c r="E76" s="755"/>
      <c r="F76" s="755"/>
      <c r="G76" s="30"/>
      <c r="H76" s="755"/>
      <c r="I76" s="30"/>
      <c r="J76" s="755"/>
      <c r="K76" s="310"/>
    </row>
    <row r="77" spans="1:12" ht="15.75">
      <c r="A77" s="67"/>
      <c r="B77" s="290">
        <v>4</v>
      </c>
      <c r="C77" s="1710"/>
      <c r="D77" s="1711"/>
      <c r="E77" s="755"/>
      <c r="F77" s="755"/>
      <c r="G77" s="30"/>
      <c r="H77" s="755"/>
      <c r="I77" s="30"/>
      <c r="J77" s="755"/>
      <c r="K77" s="310"/>
    </row>
    <row r="78" spans="1:12" ht="15.75">
      <c r="A78" s="67"/>
      <c r="B78" s="290">
        <v>5</v>
      </c>
      <c r="C78" s="1710"/>
      <c r="D78" s="1710"/>
      <c r="E78" s="755"/>
      <c r="F78" s="755"/>
      <c r="G78" s="30" t="str">
        <f t="shared" si="3"/>
        <v xml:space="preserve"> </v>
      </c>
      <c r="H78" s="755"/>
      <c r="I78" s="30" t="str">
        <f t="shared" si="4"/>
        <v xml:space="preserve"> </v>
      </c>
      <c r="J78" s="755"/>
      <c r="K78" s="310" t="str">
        <f t="shared" si="5"/>
        <v xml:space="preserve"> </v>
      </c>
    </row>
    <row r="79" spans="1:12" ht="15.75">
      <c r="A79" s="67"/>
      <c r="B79" s="290">
        <v>6</v>
      </c>
      <c r="C79" s="1710"/>
      <c r="D79" s="1710"/>
      <c r="E79" s="755"/>
      <c r="F79" s="755"/>
      <c r="G79" s="30" t="str">
        <f t="shared" si="3"/>
        <v xml:space="preserve"> </v>
      </c>
      <c r="H79" s="755"/>
      <c r="I79" s="30" t="str">
        <f t="shared" si="4"/>
        <v xml:space="preserve"> </v>
      </c>
      <c r="J79" s="755"/>
      <c r="K79" s="310" t="str">
        <f t="shared" si="5"/>
        <v xml:space="preserve"> </v>
      </c>
    </row>
    <row r="80" spans="1:12" ht="15.75">
      <c r="A80" s="67"/>
      <c r="B80" s="290">
        <v>7</v>
      </c>
      <c r="C80" s="1710"/>
      <c r="D80" s="1710"/>
      <c r="E80" s="755"/>
      <c r="F80" s="755"/>
      <c r="G80" s="30" t="str">
        <f t="shared" si="3"/>
        <v xml:space="preserve"> </v>
      </c>
      <c r="H80" s="755"/>
      <c r="I80" s="30" t="str">
        <f t="shared" si="4"/>
        <v xml:space="preserve"> </v>
      </c>
      <c r="J80" s="755"/>
      <c r="K80" s="310" t="str">
        <f t="shared" si="5"/>
        <v xml:space="preserve"> </v>
      </c>
    </row>
    <row r="81" spans="1:12" ht="15.75">
      <c r="A81" s="67"/>
      <c r="B81" s="290">
        <v>8</v>
      </c>
      <c r="C81" s="1261"/>
      <c r="D81" s="1261"/>
      <c r="E81" s="755"/>
      <c r="F81" s="755"/>
      <c r="G81" s="30"/>
      <c r="H81" s="755"/>
      <c r="I81" s="30"/>
      <c r="J81" s="755"/>
      <c r="K81" s="310"/>
    </row>
    <row r="82" spans="1:12" ht="15.75">
      <c r="A82" s="67"/>
      <c r="B82" s="290">
        <v>9</v>
      </c>
      <c r="C82" s="1710"/>
      <c r="D82" s="1710"/>
      <c r="E82" s="755"/>
      <c r="F82" s="755"/>
      <c r="G82" s="30" t="str">
        <f t="shared" si="3"/>
        <v xml:space="preserve"> </v>
      </c>
      <c r="H82" s="755"/>
      <c r="I82" s="30" t="str">
        <f t="shared" si="4"/>
        <v xml:space="preserve"> </v>
      </c>
      <c r="J82" s="755"/>
      <c r="K82" s="310" t="str">
        <f t="shared" si="5"/>
        <v xml:space="preserve"> </v>
      </c>
    </row>
    <row r="83" spans="1:12" ht="15.75">
      <c r="A83" s="67"/>
      <c r="B83" s="1278">
        <v>10</v>
      </c>
      <c r="C83" s="1713"/>
      <c r="D83" s="1713"/>
      <c r="E83" s="755"/>
      <c r="F83" s="755"/>
      <c r="G83" s="30" t="str">
        <f t="shared" si="3"/>
        <v xml:space="preserve"> </v>
      </c>
      <c r="H83" s="755"/>
      <c r="I83" s="30" t="str">
        <f t="shared" si="4"/>
        <v xml:space="preserve"> </v>
      </c>
      <c r="J83" s="755"/>
      <c r="K83" s="310" t="str">
        <f t="shared" si="5"/>
        <v xml:space="preserve"> </v>
      </c>
    </row>
    <row r="84" spans="1:12" ht="51" customHeight="1" thickBot="1">
      <c r="A84" s="67"/>
      <c r="E84" s="1343">
        <f>IF(SUM(E74:E83)=E63,SUM(E74:E83),"Total must equal amount in Cell E63 above")</f>
        <v>0</v>
      </c>
      <c r="F84" s="1343">
        <f>IF(SUM(F74:F83)=F63,SUM(F74:F83),"Total must equal amount in Cell E63 above")</f>
        <v>0</v>
      </c>
      <c r="G84" s="1344"/>
      <c r="H84" s="1343">
        <f>IF(SUM(H74:H83)=H63,SUM(H74:H83),"Total must equal amount in Cell E63 above")</f>
        <v>0</v>
      </c>
      <c r="I84" s="1344"/>
      <c r="J84" s="1343">
        <f>IF(SUM(J74:J83)=J63,SUM(J74:J83),"Total must equal amount in Cell E63 above")</f>
        <v>0</v>
      </c>
      <c r="K84" s="1345"/>
    </row>
    <row r="85" spans="1:12" ht="16.5" thickTop="1">
      <c r="A85" s="67"/>
      <c r="B85" s="1346"/>
      <c r="C85" s="1346"/>
      <c r="D85" s="884"/>
      <c r="E85" s="884"/>
      <c r="F85" s="1347"/>
      <c r="G85" s="1347"/>
      <c r="H85" s="1347"/>
      <c r="I85" s="1347"/>
      <c r="J85" s="1347"/>
      <c r="K85" s="1348"/>
    </row>
    <row r="86" spans="1:12" ht="15.75">
      <c r="A86" s="331" t="s">
        <v>322</v>
      </c>
      <c r="B86" s="224"/>
      <c r="C86" s="224"/>
      <c r="D86" s="224"/>
      <c r="E86" s="224"/>
      <c r="F86" s="1698"/>
      <c r="G86" s="1698"/>
      <c r="H86" s="1698"/>
      <c r="I86" s="1698"/>
      <c r="J86" s="1698"/>
      <c r="K86" s="1699"/>
    </row>
    <row r="87" spans="1:12" ht="15.75">
      <c r="A87" s="331"/>
      <c r="B87" s="224"/>
      <c r="C87" s="1" t="s">
        <v>323</v>
      </c>
      <c r="D87" s="224"/>
      <c r="E87" s="224"/>
      <c r="F87" s="1698"/>
      <c r="G87" s="1698"/>
      <c r="H87" s="1698"/>
      <c r="I87" s="1698"/>
      <c r="J87" s="1698"/>
      <c r="K87" s="1699"/>
    </row>
    <row r="88" spans="1:12" ht="15.75">
      <c r="A88" s="283"/>
      <c r="B88" s="290">
        <v>1</v>
      </c>
      <c r="C88" s="1712" t="s">
        <v>324</v>
      </c>
      <c r="D88" s="1712"/>
      <c r="E88" s="712">
        <v>290354</v>
      </c>
      <c r="F88" s="713">
        <v>289980</v>
      </c>
      <c r="G88" s="30">
        <f t="shared" ref="G88:G108" si="6">IF(E88&lt;1," ",IF(F88&lt;1," ",(F88-E88)/E88))</f>
        <v>-1.288082823036707E-3</v>
      </c>
      <c r="H88" s="717">
        <v>298679</v>
      </c>
      <c r="I88" s="30">
        <f t="shared" ref="I88:I108" si="7">IF(F88&lt;1," ",IF(H88&lt;1," ",(H88-F88)/F88))</f>
        <v>2.999862059452376E-2</v>
      </c>
      <c r="J88" s="720">
        <v>307640</v>
      </c>
      <c r="K88" s="310">
        <f t="shared" ref="K88:K108" si="8">IF(H88&lt;1," ",IF(J88&lt;1," ",(J88-H88)/H88))</f>
        <v>3.0002109287897708E-2</v>
      </c>
    </row>
    <row r="89" spans="1:12" ht="15.75">
      <c r="A89" s="283"/>
      <c r="B89" s="290">
        <v>2</v>
      </c>
      <c r="C89" s="1710" t="s">
        <v>325</v>
      </c>
      <c r="D89" s="1710"/>
      <c r="E89" s="707">
        <v>138169</v>
      </c>
      <c r="F89" s="713">
        <v>112409</v>
      </c>
      <c r="G89" s="30">
        <f t="shared" si="6"/>
        <v>-0.18643834724142175</v>
      </c>
      <c r="H89" s="717">
        <v>115781.3</v>
      </c>
      <c r="I89" s="30">
        <f t="shared" si="7"/>
        <v>3.0000266882545017E-2</v>
      </c>
      <c r="J89" s="720">
        <v>119254.7</v>
      </c>
      <c r="K89" s="310">
        <f t="shared" si="8"/>
        <v>2.999966315804015E-2</v>
      </c>
    </row>
    <row r="90" spans="1:12" ht="15.75">
      <c r="A90" s="283"/>
      <c r="B90" s="290">
        <v>3</v>
      </c>
      <c r="C90" s="1710" t="s">
        <v>326</v>
      </c>
      <c r="D90" s="1710"/>
      <c r="E90" s="707">
        <v>10027.84</v>
      </c>
      <c r="F90" s="713">
        <v>142965</v>
      </c>
      <c r="G90" s="30">
        <f t="shared" si="6"/>
        <v>13.256809043622555</v>
      </c>
      <c r="H90" s="717">
        <v>147254</v>
      </c>
      <c r="I90" s="30">
        <f t="shared" si="7"/>
        <v>3.000034973594936E-2</v>
      </c>
      <c r="J90" s="720">
        <v>151671.6</v>
      </c>
      <c r="K90" s="310">
        <f t="shared" si="8"/>
        <v>2.9999864180259999E-2</v>
      </c>
    </row>
    <row r="91" spans="1:12" ht="15.75">
      <c r="A91" s="283"/>
      <c r="B91" s="290">
        <v>4</v>
      </c>
      <c r="C91" s="1710" t="s">
        <v>327</v>
      </c>
      <c r="D91" s="1710"/>
      <c r="E91" s="707">
        <v>76686</v>
      </c>
      <c r="F91" s="713">
        <v>689732</v>
      </c>
      <c r="G91" s="30"/>
      <c r="H91" s="1212"/>
      <c r="I91" s="30"/>
      <c r="J91" s="1212"/>
      <c r="K91" s="310"/>
      <c r="L91" s="1240"/>
    </row>
    <row r="92" spans="1:12" ht="15.75">
      <c r="A92" s="283"/>
      <c r="B92" s="290">
        <v>5</v>
      </c>
      <c r="C92" s="1261" t="s">
        <v>328</v>
      </c>
      <c r="D92" s="1261"/>
      <c r="E92" s="707">
        <v>0</v>
      </c>
      <c r="F92" s="713">
        <v>0</v>
      </c>
      <c r="G92" s="30"/>
      <c r="H92" s="717">
        <v>999979</v>
      </c>
      <c r="I92" s="30"/>
      <c r="J92" s="717">
        <v>350691</v>
      </c>
      <c r="K92" s="310"/>
    </row>
    <row r="93" spans="1:12" ht="15.75">
      <c r="A93" s="283"/>
      <c r="B93" s="290">
        <v>6</v>
      </c>
      <c r="C93" s="1261" t="s">
        <v>329</v>
      </c>
      <c r="D93" s="1261"/>
      <c r="E93" s="707">
        <v>56119</v>
      </c>
      <c r="F93" s="713">
        <v>0</v>
      </c>
      <c r="G93" s="30"/>
      <c r="H93" s="717"/>
      <c r="I93" s="30"/>
      <c r="J93" s="720"/>
      <c r="K93" s="310"/>
    </row>
    <row r="94" spans="1:12" ht="15.75">
      <c r="A94" s="283"/>
      <c r="B94" s="290">
        <v>7</v>
      </c>
      <c r="C94" s="1261" t="s">
        <v>330</v>
      </c>
      <c r="D94" s="1261"/>
      <c r="E94" s="707">
        <v>43896</v>
      </c>
      <c r="F94" s="713">
        <v>0</v>
      </c>
      <c r="G94" s="30"/>
      <c r="H94" s="717"/>
      <c r="I94" s="30"/>
      <c r="J94" s="720"/>
      <c r="K94" s="310"/>
    </row>
    <row r="95" spans="1:12" ht="15.75">
      <c r="A95" s="283"/>
      <c r="B95" s="290">
        <v>8</v>
      </c>
      <c r="C95" s="1261" t="s">
        <v>331</v>
      </c>
      <c r="D95" s="1261"/>
      <c r="E95" s="707">
        <v>593879</v>
      </c>
      <c r="F95" s="713">
        <v>0</v>
      </c>
      <c r="G95" s="30"/>
      <c r="H95" s="717"/>
      <c r="I95" s="30"/>
      <c r="J95" s="720"/>
      <c r="K95" s="310"/>
    </row>
    <row r="96" spans="1:12" ht="15.75">
      <c r="A96" s="283"/>
      <c r="B96" s="290">
        <v>9</v>
      </c>
      <c r="C96" s="1261"/>
      <c r="D96" s="1261"/>
      <c r="E96" s="707"/>
      <c r="F96" s="713"/>
      <c r="G96" s="30"/>
      <c r="H96" s="717"/>
      <c r="I96" s="30"/>
      <c r="J96" s="720"/>
      <c r="K96" s="310"/>
    </row>
    <row r="97" spans="1:11" ht="15.75">
      <c r="A97" s="283"/>
      <c r="B97" s="290">
        <v>10</v>
      </c>
      <c r="C97" s="1261"/>
      <c r="D97" s="1261"/>
      <c r="E97" s="707"/>
      <c r="F97" s="713"/>
      <c r="G97" s="30"/>
      <c r="H97" s="717"/>
      <c r="I97" s="30"/>
      <c r="J97" s="720"/>
      <c r="K97" s="310"/>
    </row>
    <row r="98" spans="1:11" ht="15.75">
      <c r="A98" s="283"/>
      <c r="B98" s="290">
        <v>11</v>
      </c>
      <c r="C98" s="1261"/>
      <c r="D98" s="1261"/>
      <c r="E98" s="707"/>
      <c r="F98" s="713"/>
      <c r="G98" s="30"/>
      <c r="H98" s="717"/>
      <c r="I98" s="30"/>
      <c r="J98" s="720"/>
      <c r="K98" s="310"/>
    </row>
    <row r="99" spans="1:11" ht="15.75">
      <c r="A99" s="283"/>
      <c r="B99" s="290">
        <v>12</v>
      </c>
      <c r="C99" s="1261"/>
      <c r="D99" s="1261"/>
      <c r="E99" s="707"/>
      <c r="F99" s="713"/>
      <c r="G99" s="30"/>
      <c r="H99" s="717"/>
      <c r="I99" s="30"/>
      <c r="J99" s="720"/>
      <c r="K99" s="310"/>
    </row>
    <row r="100" spans="1:11" ht="15.75">
      <c r="A100" s="283"/>
      <c r="B100" s="290">
        <v>13</v>
      </c>
      <c r="C100" s="1261"/>
      <c r="D100" s="1261"/>
      <c r="E100" s="707"/>
      <c r="F100" s="713"/>
      <c r="G100" s="30"/>
      <c r="H100" s="717"/>
      <c r="I100" s="30"/>
      <c r="J100" s="720"/>
      <c r="K100" s="310"/>
    </row>
    <row r="101" spans="1:11" ht="15.75">
      <c r="A101" s="283"/>
      <c r="B101" s="290">
        <v>14</v>
      </c>
      <c r="C101" s="1261"/>
      <c r="D101" s="1261"/>
      <c r="E101" s="707"/>
      <c r="F101" s="713"/>
      <c r="G101" s="30"/>
      <c r="H101" s="717"/>
      <c r="I101" s="30"/>
      <c r="J101" s="720"/>
      <c r="K101" s="310"/>
    </row>
    <row r="102" spans="1:11" ht="15.75">
      <c r="A102" s="283"/>
      <c r="B102" s="290">
        <v>15</v>
      </c>
      <c r="C102" s="1710"/>
      <c r="D102" s="1710"/>
      <c r="E102" s="707"/>
      <c r="F102" s="713"/>
      <c r="G102" s="30" t="str">
        <f t="shared" si="6"/>
        <v xml:space="preserve"> </v>
      </c>
      <c r="H102" s="717">
        <v>0</v>
      </c>
      <c r="I102" s="30" t="str">
        <f t="shared" si="7"/>
        <v xml:space="preserve"> </v>
      </c>
      <c r="J102" s="720">
        <v>0</v>
      </c>
      <c r="K102" s="310" t="str">
        <f t="shared" si="8"/>
        <v xml:space="preserve"> </v>
      </c>
    </row>
    <row r="103" spans="1:11" ht="15.75">
      <c r="A103" s="283"/>
      <c r="B103" s="290">
        <v>16</v>
      </c>
      <c r="C103" s="1710"/>
      <c r="D103" s="1710"/>
      <c r="E103" s="707"/>
      <c r="F103" s="713"/>
      <c r="G103" s="30" t="str">
        <f t="shared" si="6"/>
        <v xml:space="preserve"> </v>
      </c>
      <c r="H103" s="717"/>
      <c r="I103" s="30" t="str">
        <f t="shared" si="7"/>
        <v xml:space="preserve"> </v>
      </c>
      <c r="J103" s="720"/>
      <c r="K103" s="310" t="str">
        <f t="shared" si="8"/>
        <v xml:space="preserve"> </v>
      </c>
    </row>
    <row r="104" spans="1:11" ht="15.75">
      <c r="A104" s="283"/>
      <c r="B104" s="290">
        <v>17</v>
      </c>
      <c r="C104" s="1713"/>
      <c r="D104" s="1713"/>
      <c r="E104" s="707"/>
      <c r="F104" s="713"/>
      <c r="G104" s="30" t="str">
        <f t="shared" si="6"/>
        <v xml:space="preserve"> </v>
      </c>
      <c r="H104" s="717"/>
      <c r="I104" s="30" t="str">
        <f t="shared" si="7"/>
        <v xml:space="preserve"> </v>
      </c>
      <c r="J104" s="720"/>
      <c r="K104" s="310" t="str">
        <f t="shared" si="8"/>
        <v xml:space="preserve"> </v>
      </c>
    </row>
    <row r="105" spans="1:11" ht="15.75">
      <c r="A105" s="67"/>
      <c r="B105" s="290">
        <v>18</v>
      </c>
      <c r="C105" s="1713"/>
      <c r="D105" s="1713"/>
      <c r="E105" s="707"/>
      <c r="F105" s="713"/>
      <c r="G105" s="30" t="str">
        <f t="shared" si="6"/>
        <v xml:space="preserve"> </v>
      </c>
      <c r="H105" s="717"/>
      <c r="I105" s="30" t="str">
        <f t="shared" si="7"/>
        <v xml:space="preserve"> </v>
      </c>
      <c r="J105" s="720"/>
      <c r="K105" s="310" t="str">
        <f t="shared" si="8"/>
        <v xml:space="preserve"> </v>
      </c>
    </row>
    <row r="106" spans="1:11" ht="15.75">
      <c r="A106" s="67"/>
      <c r="B106" s="290">
        <v>19</v>
      </c>
      <c r="C106" s="1713"/>
      <c r="D106" s="1713"/>
      <c r="E106" s="714"/>
      <c r="F106" s="715"/>
      <c r="G106" s="30" t="str">
        <f t="shared" si="6"/>
        <v xml:space="preserve"> </v>
      </c>
      <c r="H106" s="718"/>
      <c r="I106" s="30" t="str">
        <f t="shared" si="7"/>
        <v xml:space="preserve"> </v>
      </c>
      <c r="J106" s="721"/>
      <c r="K106" s="310" t="str">
        <f t="shared" si="8"/>
        <v xml:space="preserve"> </v>
      </c>
    </row>
    <row r="107" spans="1:11" ht="16.5" thickBot="1">
      <c r="A107" s="67"/>
      <c r="B107" s="290">
        <v>20</v>
      </c>
      <c r="C107" s="1764"/>
      <c r="D107" s="1764"/>
      <c r="E107" s="708"/>
      <c r="F107" s="716"/>
      <c r="G107" s="95" t="str">
        <f t="shared" si="6"/>
        <v xml:space="preserve"> </v>
      </c>
      <c r="H107" s="719"/>
      <c r="I107" s="95" t="str">
        <f t="shared" si="7"/>
        <v xml:space="preserve"> </v>
      </c>
      <c r="J107" s="722"/>
      <c r="K107" s="311" t="str">
        <f t="shared" si="8"/>
        <v xml:space="preserve"> </v>
      </c>
    </row>
    <row r="108" spans="1:11" ht="17.25" thickTop="1" thickBot="1">
      <c r="A108" s="67"/>
      <c r="B108" s="936" t="s">
        <v>103</v>
      </c>
      <c r="C108" s="1701" t="s">
        <v>309</v>
      </c>
      <c r="D108" s="1761"/>
      <c r="E108" s="897">
        <f>SUM(E88:E107)</f>
        <v>1209130.8400000001</v>
      </c>
      <c r="F108" s="897">
        <f>SUM(F88:F107)</f>
        <v>1235086</v>
      </c>
      <c r="G108" s="898">
        <f t="shared" si="6"/>
        <v>2.1465964758619435E-2</v>
      </c>
      <c r="H108" s="897">
        <f>SUM(H88:H107)</f>
        <v>1561693.3</v>
      </c>
      <c r="I108" s="898">
        <f t="shared" si="7"/>
        <v>0.26444093771607813</v>
      </c>
      <c r="J108" s="897">
        <f>SUM(J88:J107)</f>
        <v>929257.3</v>
      </c>
      <c r="K108" s="899">
        <f t="shared" si="8"/>
        <v>-0.40496812018083189</v>
      </c>
    </row>
    <row r="109" spans="1:11" ht="16.5" thickTop="1">
      <c r="A109" s="67"/>
      <c r="B109" s="1"/>
      <c r="C109" s="1"/>
      <c r="D109" s="1"/>
      <c r="E109" s="1"/>
      <c r="F109" s="1704"/>
      <c r="G109" s="1704"/>
      <c r="H109" s="1704"/>
      <c r="I109" s="1704"/>
      <c r="J109" s="1704"/>
      <c r="K109" s="1705"/>
    </row>
    <row r="110" spans="1:11" ht="15.75">
      <c r="A110" s="67"/>
      <c r="B110" s="146" t="s">
        <v>332</v>
      </c>
      <c r="C110" s="152"/>
      <c r="D110" s="152"/>
      <c r="E110" s="937"/>
      <c r="F110" s="1017">
        <f>'Budget-Assumptions'!G17</f>
        <v>49</v>
      </c>
      <c r="G110" s="468"/>
      <c r="H110" s="1017">
        <f>'Budget-Assumptions'!H17</f>
        <v>49</v>
      </c>
      <c r="I110" s="468"/>
      <c r="J110" s="1017">
        <f>'Budget-Assumptions'!J17</f>
        <v>49</v>
      </c>
      <c r="K110" s="687"/>
    </row>
    <row r="111" spans="1:11" ht="15.75">
      <c r="A111" s="67"/>
      <c r="B111" s="350" t="s">
        <v>333</v>
      </c>
      <c r="C111" s="166"/>
      <c r="D111" s="166"/>
      <c r="E111" s="938"/>
      <c r="F111" s="953">
        <f>(1.04446*'Budget-ADA'!L76)*F110</f>
        <v>40742.212123199999</v>
      </c>
      <c r="G111" s="271" t="str">
        <f>IF(E111&lt;1," ",IF(F111&lt;1," ",(F111-E111)/E111))</f>
        <v xml:space="preserve"> </v>
      </c>
      <c r="H111" s="953">
        <f>(1.04446*'Budget-ADA'!O76)*H110</f>
        <v>40742.212123199999</v>
      </c>
      <c r="I111" s="271">
        <f>IF(F111&lt;1," ",IF(H111&lt;1," ",(H111-F111)/F111))</f>
        <v>0</v>
      </c>
      <c r="J111" s="953">
        <f>(1.04446*'Budget-ADA'!R76)*J110</f>
        <v>40742.212123199999</v>
      </c>
      <c r="K111" s="307">
        <f>IF(H111&lt;1," ",IF(J111&lt;1," ",(J111-H111)/H111))</f>
        <v>0</v>
      </c>
    </row>
    <row r="112" spans="1:11" ht="15.75">
      <c r="A112" s="283"/>
      <c r="B112" s="360"/>
      <c r="C112" s="360"/>
      <c r="D112" s="360"/>
      <c r="E112" s="496"/>
      <c r="F112" s="497"/>
      <c r="G112" s="51"/>
      <c r="H112" s="497"/>
      <c r="I112" s="51"/>
      <c r="J112" s="497"/>
      <c r="K112" s="312"/>
    </row>
    <row r="113" spans="1:12" ht="15.75">
      <c r="A113" s="283"/>
      <c r="B113" s="165"/>
      <c r="C113" s="165" t="s">
        <v>334</v>
      </c>
      <c r="D113" s="165"/>
      <c r="E113" s="165"/>
      <c r="F113" s="1706"/>
      <c r="G113" s="1706"/>
      <c r="H113" s="1706"/>
      <c r="I113" s="1706"/>
      <c r="J113" s="1706"/>
      <c r="K113" s="1707"/>
    </row>
    <row r="114" spans="1:12" ht="15.75">
      <c r="A114" s="283"/>
      <c r="B114" s="290">
        <v>1</v>
      </c>
      <c r="C114" s="1261" t="s">
        <v>335</v>
      </c>
      <c r="D114" s="1618"/>
      <c r="E114" s="707">
        <v>4245.37</v>
      </c>
      <c r="F114" s="725">
        <v>10125</v>
      </c>
      <c r="G114" s="95">
        <f t="shared" ref="G114:G132" si="9">IF(E114&lt;1," ",IF(F114&lt;1," ",(F114-E114)/E114))</f>
        <v>1.3849511350011896</v>
      </c>
      <c r="H114" s="718">
        <v>10428.75</v>
      </c>
      <c r="I114" s="95">
        <f t="shared" ref="I114:I132" si="10">IF(F114&lt;1," ",IF(H114&lt;1," ",(H114-F114)/F114))</f>
        <v>0.03</v>
      </c>
      <c r="J114" s="721">
        <v>10741.61</v>
      </c>
      <c r="K114" s="311">
        <f t="shared" ref="K114:K132" si="11">IF(H114&lt;1," ",IF(J114&lt;1," ",(J114-H114)/H114))</f>
        <v>2.9999760278077485E-2</v>
      </c>
    </row>
    <row r="115" spans="1:12" ht="15.75">
      <c r="A115" s="283"/>
      <c r="B115" s="290">
        <v>2</v>
      </c>
      <c r="C115" s="1261" t="s">
        <v>336</v>
      </c>
      <c r="D115" s="1618"/>
      <c r="E115" s="707">
        <v>843031</v>
      </c>
      <c r="F115" s="715">
        <v>897990.66</v>
      </c>
      <c r="G115" s="95">
        <f t="shared" si="9"/>
        <v>6.5192928848405371E-2</v>
      </c>
      <c r="H115" s="718">
        <v>943910</v>
      </c>
      <c r="I115" s="95">
        <f t="shared" si="10"/>
        <v>5.1135654350792432E-2</v>
      </c>
      <c r="J115" s="721">
        <v>1077190</v>
      </c>
      <c r="K115" s="311">
        <f t="shared" si="11"/>
        <v>0.14119990253308048</v>
      </c>
    </row>
    <row r="116" spans="1:12" ht="15.75">
      <c r="A116" s="283"/>
      <c r="B116" s="290">
        <v>3</v>
      </c>
      <c r="C116" s="1261" t="s">
        <v>337</v>
      </c>
      <c r="D116" s="1618"/>
      <c r="E116" s="707">
        <v>151432.5</v>
      </c>
      <c r="F116" s="723">
        <v>151432.5</v>
      </c>
      <c r="G116" s="95">
        <f t="shared" si="9"/>
        <v>0</v>
      </c>
      <c r="H116" s="718"/>
      <c r="I116" s="95" t="str">
        <f t="shared" si="10"/>
        <v xml:space="preserve"> </v>
      </c>
      <c r="J116" s="721"/>
      <c r="K116" s="311" t="str">
        <f t="shared" si="11"/>
        <v xml:space="preserve"> </v>
      </c>
      <c r="L116" s="1240"/>
    </row>
    <row r="117" spans="1:12" ht="15.75">
      <c r="A117" s="283"/>
      <c r="B117" s="290">
        <v>4</v>
      </c>
      <c r="C117" s="1261" t="s">
        <v>338</v>
      </c>
      <c r="D117" s="1618"/>
      <c r="E117" s="707">
        <v>287068.5</v>
      </c>
      <c r="F117" s="726">
        <v>287068.5</v>
      </c>
      <c r="G117" s="95">
        <f t="shared" si="9"/>
        <v>0</v>
      </c>
      <c r="H117" s="717"/>
      <c r="I117" s="95" t="str">
        <f t="shared" si="10"/>
        <v xml:space="preserve"> </v>
      </c>
      <c r="J117" s="720"/>
      <c r="K117" s="311" t="str">
        <f t="shared" si="11"/>
        <v xml:space="preserve"> </v>
      </c>
    </row>
    <row r="118" spans="1:12" ht="15.75">
      <c r="A118" s="283"/>
      <c r="B118" s="290">
        <v>5</v>
      </c>
      <c r="C118" s="1261" t="s">
        <v>339</v>
      </c>
      <c r="D118" s="1618"/>
      <c r="E118" s="707">
        <v>31896.5</v>
      </c>
      <c r="F118" s="727">
        <v>31896.5</v>
      </c>
      <c r="G118" s="95">
        <f t="shared" si="9"/>
        <v>0</v>
      </c>
      <c r="H118" s="735"/>
      <c r="I118" s="95" t="str">
        <f t="shared" si="10"/>
        <v xml:space="preserve"> </v>
      </c>
      <c r="J118" s="741"/>
      <c r="K118" s="311" t="str">
        <f t="shared" si="11"/>
        <v xml:space="preserve"> </v>
      </c>
    </row>
    <row r="119" spans="1:12" ht="15.75">
      <c r="A119" s="67"/>
      <c r="B119" s="291">
        <v>6</v>
      </c>
      <c r="C119" s="1713" t="s">
        <v>340</v>
      </c>
      <c r="D119" s="1750"/>
      <c r="E119" s="707">
        <v>79127</v>
      </c>
      <c r="F119" s="715"/>
      <c r="G119" s="30" t="str">
        <f t="shared" si="9"/>
        <v xml:space="preserve"> </v>
      </c>
      <c r="H119" s="736"/>
      <c r="I119" s="30" t="str">
        <f t="shared" si="10"/>
        <v xml:space="preserve"> </v>
      </c>
      <c r="J119" s="742"/>
      <c r="K119" s="310" t="str">
        <f t="shared" si="11"/>
        <v xml:space="preserve"> </v>
      </c>
    </row>
    <row r="120" spans="1:12" ht="15.75">
      <c r="A120" s="284"/>
      <c r="B120" s="291">
        <v>7</v>
      </c>
      <c r="C120" s="1713"/>
      <c r="D120" s="1750"/>
      <c r="E120" s="707"/>
      <c r="F120" s="715"/>
      <c r="G120" s="30" t="str">
        <f t="shared" si="9"/>
        <v xml:space="preserve"> </v>
      </c>
      <c r="H120" s="718"/>
      <c r="I120" s="30" t="str">
        <f t="shared" si="10"/>
        <v xml:space="preserve"> </v>
      </c>
      <c r="J120" s="721"/>
      <c r="K120" s="310" t="str">
        <f t="shared" si="11"/>
        <v xml:space="preserve"> </v>
      </c>
    </row>
    <row r="121" spans="1:12" ht="15.75">
      <c r="A121" s="284"/>
      <c r="B121" s="291">
        <v>8</v>
      </c>
      <c r="C121" s="1713"/>
      <c r="D121" s="1750"/>
      <c r="E121" s="714"/>
      <c r="F121" s="715"/>
      <c r="G121" s="30" t="str">
        <f t="shared" si="9"/>
        <v xml:space="preserve"> </v>
      </c>
      <c r="H121" s="718"/>
      <c r="I121" s="30" t="str">
        <f t="shared" si="10"/>
        <v xml:space="preserve"> </v>
      </c>
      <c r="J121" s="721"/>
      <c r="K121" s="310" t="str">
        <f t="shared" si="11"/>
        <v xml:space="preserve"> </v>
      </c>
    </row>
    <row r="122" spans="1:12" ht="15.75">
      <c r="A122" s="284"/>
      <c r="B122" s="291">
        <v>9</v>
      </c>
      <c r="C122" s="1710"/>
      <c r="D122" s="1711"/>
      <c r="E122" s="708"/>
      <c r="F122" s="715"/>
      <c r="G122" s="30" t="str">
        <f t="shared" si="9"/>
        <v xml:space="preserve"> </v>
      </c>
      <c r="H122" s="718"/>
      <c r="I122" s="30" t="str">
        <f t="shared" si="10"/>
        <v xml:space="preserve"> </v>
      </c>
      <c r="J122" s="721"/>
      <c r="K122" s="310" t="str">
        <f t="shared" si="11"/>
        <v xml:space="preserve"> </v>
      </c>
    </row>
    <row r="123" spans="1:12" ht="15.75">
      <c r="A123" s="284"/>
      <c r="B123" s="146">
        <v>10</v>
      </c>
      <c r="C123" s="1713"/>
      <c r="D123" s="1750"/>
      <c r="E123" s="712"/>
      <c r="F123" s="715"/>
      <c r="G123" s="30" t="str">
        <f t="shared" si="9"/>
        <v xml:space="preserve"> </v>
      </c>
      <c r="H123" s="718"/>
      <c r="I123" s="30" t="str">
        <f t="shared" si="10"/>
        <v xml:space="preserve"> </v>
      </c>
      <c r="J123" s="721"/>
      <c r="K123" s="310" t="str">
        <f t="shared" si="11"/>
        <v xml:space="preserve"> </v>
      </c>
    </row>
    <row r="124" spans="1:12" ht="15.75">
      <c r="A124" s="284"/>
      <c r="B124" s="146">
        <v>11</v>
      </c>
      <c r="C124" s="1713"/>
      <c r="D124" s="1750"/>
      <c r="E124" s="707"/>
      <c r="F124" s="728"/>
      <c r="G124" s="30" t="str">
        <f t="shared" si="9"/>
        <v xml:space="preserve"> </v>
      </c>
      <c r="H124" s="728"/>
      <c r="I124" s="30" t="str">
        <f t="shared" si="10"/>
        <v xml:space="preserve"> </v>
      </c>
      <c r="J124" s="728"/>
      <c r="K124" s="310" t="str">
        <f t="shared" si="11"/>
        <v xml:space="preserve"> </v>
      </c>
    </row>
    <row r="125" spans="1:12" ht="15.75">
      <c r="A125" s="67"/>
      <c r="B125" s="146">
        <v>12</v>
      </c>
      <c r="C125" s="1713"/>
      <c r="D125" s="1750"/>
      <c r="E125" s="707"/>
      <c r="F125" s="729"/>
      <c r="G125" s="30" t="str">
        <f t="shared" si="9"/>
        <v xml:space="preserve"> </v>
      </c>
      <c r="H125" s="729"/>
      <c r="I125" s="30" t="str">
        <f t="shared" si="10"/>
        <v xml:space="preserve"> </v>
      </c>
      <c r="J125" s="729"/>
      <c r="K125" s="310" t="str">
        <f t="shared" si="11"/>
        <v xml:space="preserve"> </v>
      </c>
    </row>
    <row r="126" spans="1:12" ht="15.75">
      <c r="A126" s="67"/>
      <c r="B126" s="146">
        <v>13</v>
      </c>
      <c r="C126" s="1713"/>
      <c r="D126" s="1750"/>
      <c r="E126" s="707"/>
      <c r="F126" s="730"/>
      <c r="G126" s="30" t="str">
        <f t="shared" si="9"/>
        <v xml:space="preserve"> </v>
      </c>
      <c r="H126" s="737"/>
      <c r="I126" s="30" t="str">
        <f t="shared" si="10"/>
        <v xml:space="preserve"> </v>
      </c>
      <c r="J126" s="743"/>
      <c r="K126" s="310" t="str">
        <f t="shared" si="11"/>
        <v xml:space="preserve"> </v>
      </c>
    </row>
    <row r="127" spans="1:12" ht="15.75">
      <c r="A127" s="67"/>
      <c r="B127" s="146">
        <v>14</v>
      </c>
      <c r="C127" s="1713"/>
      <c r="D127" s="1750"/>
      <c r="E127" s="707"/>
      <c r="F127" s="731"/>
      <c r="G127" s="30" t="str">
        <f t="shared" si="9"/>
        <v xml:space="preserve"> </v>
      </c>
      <c r="H127" s="738"/>
      <c r="I127" s="30" t="str">
        <f t="shared" si="10"/>
        <v xml:space="preserve"> </v>
      </c>
      <c r="J127" s="744"/>
      <c r="K127" s="310" t="str">
        <f t="shared" si="11"/>
        <v xml:space="preserve"> </v>
      </c>
    </row>
    <row r="128" spans="1:12" ht="15.75">
      <c r="A128" s="67"/>
      <c r="B128" s="146">
        <v>15</v>
      </c>
      <c r="C128" s="1713"/>
      <c r="D128" s="1750"/>
      <c r="E128" s="707"/>
      <c r="F128" s="730"/>
      <c r="G128" s="30" t="str">
        <f t="shared" si="9"/>
        <v xml:space="preserve"> </v>
      </c>
      <c r="H128" s="737"/>
      <c r="I128" s="30" t="str">
        <f t="shared" si="10"/>
        <v xml:space="preserve"> </v>
      </c>
      <c r="J128" s="743"/>
      <c r="K128" s="310" t="str">
        <f t="shared" si="11"/>
        <v xml:space="preserve"> </v>
      </c>
    </row>
    <row r="129" spans="1:11" ht="15.75">
      <c r="A129" s="67"/>
      <c r="B129" s="146">
        <v>16</v>
      </c>
      <c r="C129" s="1713"/>
      <c r="D129" s="1750"/>
      <c r="E129" s="707"/>
      <c r="F129" s="732"/>
      <c r="G129" s="30" t="str">
        <f t="shared" si="9"/>
        <v xml:space="preserve"> </v>
      </c>
      <c r="H129" s="739"/>
      <c r="I129" s="30" t="str">
        <f t="shared" si="10"/>
        <v xml:space="preserve"> </v>
      </c>
      <c r="J129" s="745"/>
      <c r="K129" s="310" t="str">
        <f t="shared" si="11"/>
        <v xml:space="preserve"> </v>
      </c>
    </row>
    <row r="130" spans="1:11" ht="15.75">
      <c r="A130" s="67"/>
      <c r="B130" s="146">
        <v>17</v>
      </c>
      <c r="C130" s="1713"/>
      <c r="D130" s="1750"/>
      <c r="E130" s="714"/>
      <c r="F130" s="733"/>
      <c r="G130" s="30" t="str">
        <f t="shared" si="9"/>
        <v xml:space="preserve"> </v>
      </c>
      <c r="H130" s="740"/>
      <c r="I130" s="30" t="str">
        <f t="shared" si="10"/>
        <v xml:space="preserve"> </v>
      </c>
      <c r="J130" s="746"/>
      <c r="K130" s="310" t="str">
        <f t="shared" si="11"/>
        <v xml:space="preserve"> </v>
      </c>
    </row>
    <row r="131" spans="1:11" ht="16.5" thickBot="1">
      <c r="A131" s="67"/>
      <c r="B131" s="896">
        <v>18</v>
      </c>
      <c r="C131" s="1755"/>
      <c r="D131" s="1756"/>
      <c r="E131" s="708"/>
      <c r="F131" s="734"/>
      <c r="G131" s="333" t="str">
        <f t="shared" si="9"/>
        <v xml:space="preserve"> </v>
      </c>
      <c r="H131" s="734"/>
      <c r="I131" s="333" t="str">
        <f t="shared" si="10"/>
        <v xml:space="preserve"> </v>
      </c>
      <c r="J131" s="734"/>
      <c r="K131" s="334" t="str">
        <f t="shared" si="11"/>
        <v xml:space="preserve"> </v>
      </c>
    </row>
    <row r="132" spans="1:11" ht="17.25" thickTop="1" thickBot="1">
      <c r="A132" s="67"/>
      <c r="B132" s="900"/>
      <c r="C132" s="1701" t="s">
        <v>315</v>
      </c>
      <c r="D132" s="1761"/>
      <c r="E132" s="897">
        <f>SUM(E114:E131)</f>
        <v>1396800.87</v>
      </c>
      <c r="F132" s="897">
        <f>SUM(F114:F131)</f>
        <v>1378513.1600000001</v>
      </c>
      <c r="G132" s="898">
        <f t="shared" si="9"/>
        <v>-1.3092567733008329E-2</v>
      </c>
      <c r="H132" s="897">
        <f>SUM(H114:H131)</f>
        <v>954338.75</v>
      </c>
      <c r="I132" s="898">
        <f t="shared" si="10"/>
        <v>-0.30770428771242203</v>
      </c>
      <c r="J132" s="897">
        <f>SUM(J114:J131)</f>
        <v>1087931.6100000001</v>
      </c>
      <c r="K132" s="899">
        <f t="shared" si="11"/>
        <v>0.13998473812364856</v>
      </c>
    </row>
    <row r="133" spans="1:11" ht="16.5" thickTop="1">
      <c r="A133" s="67"/>
      <c r="B133" s="361"/>
      <c r="C133" s="1765"/>
      <c r="D133" s="1765"/>
      <c r="E133" s="362"/>
      <c r="F133" s="362"/>
      <c r="G133" s="226"/>
      <c r="H133" s="362"/>
      <c r="I133" s="226"/>
      <c r="J133" s="362"/>
      <c r="K133" s="1226"/>
    </row>
    <row r="134" spans="1:11" ht="15.75">
      <c r="A134" s="67"/>
      <c r="B134" s="165"/>
      <c r="C134" s="165" t="s">
        <v>341</v>
      </c>
      <c r="D134" s="165"/>
      <c r="E134" s="165"/>
      <c r="F134" s="1704"/>
      <c r="G134" s="1704"/>
      <c r="H134" s="1704"/>
      <c r="I134" s="1704"/>
      <c r="J134" s="1704"/>
      <c r="K134" s="1705"/>
    </row>
    <row r="135" spans="1:11" ht="15.75">
      <c r="A135" s="67"/>
      <c r="B135" s="290">
        <v>1</v>
      </c>
      <c r="C135" s="1710" t="s">
        <v>342</v>
      </c>
      <c r="D135" s="1711"/>
      <c r="E135" s="747"/>
      <c r="F135" s="731">
        <v>7500</v>
      </c>
      <c r="G135" s="30" t="str">
        <f t="shared" ref="G135:G141" si="12">IF(E135&lt;1," ",IF(F135&lt;1," ",(F135-E135)/E135))</f>
        <v xml:space="preserve"> </v>
      </c>
      <c r="H135" s="731">
        <v>7725</v>
      </c>
      <c r="I135" s="30">
        <f t="shared" ref="I135:I141" si="13">IF(F135&lt;1," ",IF(H135&lt;1," ",(H135-F135)/F135))</f>
        <v>0.03</v>
      </c>
      <c r="J135" s="751">
        <v>7956.75</v>
      </c>
      <c r="K135" s="310">
        <f t="shared" ref="K135:K141" si="14">IF(H135&lt;1," ",IF(J135&lt;1," ",(J135-H135)/H135))</f>
        <v>0.03</v>
      </c>
    </row>
    <row r="136" spans="1:11" ht="15.75">
      <c r="A136" s="67"/>
      <c r="B136" s="290">
        <v>2</v>
      </c>
      <c r="C136" s="1710"/>
      <c r="D136" s="1711"/>
      <c r="E136" s="748"/>
      <c r="F136" s="749"/>
      <c r="G136" s="79" t="str">
        <f t="shared" si="12"/>
        <v xml:space="preserve"> </v>
      </c>
      <c r="H136" s="749"/>
      <c r="I136" s="79" t="str">
        <f t="shared" si="13"/>
        <v xml:space="preserve"> </v>
      </c>
      <c r="J136" s="749"/>
      <c r="K136" s="335" t="str">
        <f t="shared" si="14"/>
        <v xml:space="preserve"> </v>
      </c>
    </row>
    <row r="137" spans="1:11" ht="15.75">
      <c r="A137" s="67"/>
      <c r="B137" s="290">
        <v>3</v>
      </c>
      <c r="C137" s="1710"/>
      <c r="D137" s="1711"/>
      <c r="E137" s="750"/>
      <c r="F137" s="734"/>
      <c r="G137" s="333" t="str">
        <f t="shared" si="12"/>
        <v xml:space="preserve"> </v>
      </c>
      <c r="H137" s="734"/>
      <c r="I137" s="333" t="str">
        <f t="shared" si="13"/>
        <v xml:space="preserve"> </v>
      </c>
      <c r="J137" s="752"/>
      <c r="K137" s="334" t="str">
        <f t="shared" si="14"/>
        <v xml:space="preserve"> </v>
      </c>
    </row>
    <row r="138" spans="1:11" ht="15.75">
      <c r="A138" s="67"/>
      <c r="B138" s="290">
        <v>4</v>
      </c>
      <c r="C138" s="1710"/>
      <c r="D138" s="1711"/>
      <c r="E138" s="750"/>
      <c r="F138" s="731"/>
      <c r="G138" s="30" t="str">
        <f t="shared" si="12"/>
        <v xml:space="preserve"> </v>
      </c>
      <c r="H138" s="731"/>
      <c r="I138" s="30" t="str">
        <f t="shared" si="13"/>
        <v xml:space="preserve"> </v>
      </c>
      <c r="J138" s="751"/>
      <c r="K138" s="310" t="str">
        <f t="shared" si="14"/>
        <v xml:space="preserve"> </v>
      </c>
    </row>
    <row r="139" spans="1:11" ht="15.75">
      <c r="A139" s="67"/>
      <c r="B139" s="290">
        <v>5</v>
      </c>
      <c r="C139" s="1710"/>
      <c r="D139" s="1711"/>
      <c r="E139" s="750"/>
      <c r="F139" s="731"/>
      <c r="G139" s="30" t="str">
        <f t="shared" si="12"/>
        <v xml:space="preserve"> </v>
      </c>
      <c r="H139" s="731"/>
      <c r="I139" s="30" t="str">
        <f t="shared" si="13"/>
        <v xml:space="preserve"> </v>
      </c>
      <c r="J139" s="751"/>
      <c r="K139" s="310" t="str">
        <f t="shared" si="14"/>
        <v xml:space="preserve"> </v>
      </c>
    </row>
    <row r="140" spans="1:11" ht="16.5" thickBot="1">
      <c r="A140" s="67"/>
      <c r="B140" s="291">
        <v>6</v>
      </c>
      <c r="C140" s="1713"/>
      <c r="D140" s="1750"/>
      <c r="E140" s="750"/>
      <c r="F140" s="734"/>
      <c r="G140" s="95" t="str">
        <f t="shared" si="12"/>
        <v xml:space="preserve"> </v>
      </c>
      <c r="H140" s="734"/>
      <c r="I140" s="95" t="str">
        <f t="shared" si="13"/>
        <v xml:space="preserve"> </v>
      </c>
      <c r="J140" s="752"/>
      <c r="K140" s="311" t="str">
        <f t="shared" si="14"/>
        <v xml:space="preserve"> </v>
      </c>
    </row>
    <row r="141" spans="1:11" ht="17.25" thickTop="1" thickBot="1">
      <c r="A141" s="67"/>
      <c r="B141" s="900"/>
      <c r="C141" s="1701" t="s">
        <v>319</v>
      </c>
      <c r="D141" s="1761"/>
      <c r="E141" s="897">
        <f>SUM(E135:E140)</f>
        <v>0</v>
      </c>
      <c r="F141" s="897">
        <f>SUM(F135:F140)</f>
        <v>7500</v>
      </c>
      <c r="G141" s="898" t="str">
        <f t="shared" si="12"/>
        <v xml:space="preserve"> </v>
      </c>
      <c r="H141" s="897">
        <f>SUM(H135:H140)</f>
        <v>7725</v>
      </c>
      <c r="I141" s="898">
        <f t="shared" si="13"/>
        <v>0.03</v>
      </c>
      <c r="J141" s="897">
        <f>SUM(J135:J140)</f>
        <v>7956.75</v>
      </c>
      <c r="K141" s="899">
        <f t="shared" si="14"/>
        <v>0.03</v>
      </c>
    </row>
    <row r="142" spans="1:11" ht="16.5" thickTop="1">
      <c r="A142" s="286"/>
      <c r="B142" s="1"/>
      <c r="C142" s="1"/>
      <c r="D142" s="998"/>
      <c r="F142" s="1349"/>
      <c r="G142" s="158"/>
      <c r="H142" s="1349"/>
      <c r="I142" s="158"/>
      <c r="J142" s="1349"/>
      <c r="K142" s="1350"/>
    </row>
    <row r="143" spans="1:11" ht="15.75">
      <c r="A143" s="331" t="s">
        <v>343</v>
      </c>
      <c r="B143" s="1"/>
      <c r="C143" s="1"/>
      <c r="D143" s="998"/>
      <c r="F143" s="1349"/>
      <c r="G143" s="158"/>
      <c r="H143" s="1349"/>
      <c r="I143" s="158"/>
      <c r="J143" s="1349"/>
      <c r="K143" s="1322"/>
    </row>
    <row r="144" spans="1:11" ht="15.75">
      <c r="A144" s="286"/>
      <c r="B144" s="1757" t="s">
        <v>344</v>
      </c>
      <c r="C144" s="1757"/>
      <c r="D144" s="1757"/>
      <c r="E144" s="1362"/>
      <c r="F144" s="1362"/>
      <c r="G144" s="1351">
        <f>F144-E144</f>
        <v>0</v>
      </c>
      <c r="H144" s="1362"/>
      <c r="I144" s="1351">
        <f>H144-F144</f>
        <v>0</v>
      </c>
      <c r="J144" s="1362"/>
      <c r="K144" s="1352">
        <f>J144-H144</f>
        <v>0</v>
      </c>
    </row>
    <row r="145" spans="1:11" ht="15.75">
      <c r="A145" s="286"/>
      <c r="B145" s="1757" t="s">
        <v>345</v>
      </c>
      <c r="C145" s="1757"/>
      <c r="D145" s="1757"/>
      <c r="E145" s="1363"/>
      <c r="F145" s="1357"/>
      <c r="G145" s="1357"/>
      <c r="H145" s="1357"/>
      <c r="I145" s="1357"/>
      <c r="J145" s="1357"/>
      <c r="K145" s="1356"/>
    </row>
    <row r="146" spans="1:11" ht="15.75">
      <c r="A146" s="286"/>
      <c r="B146" s="1759" t="s">
        <v>346</v>
      </c>
      <c r="C146" s="1675"/>
      <c r="D146" s="1760"/>
      <c r="E146" s="1354">
        <f>E24</f>
        <v>407422</v>
      </c>
      <c r="F146" s="1354">
        <f>F24</f>
        <v>497550</v>
      </c>
      <c r="G146" s="1355">
        <f>IF(E146&lt;1," ",IF(F146&lt;1," ",(F146-E146)/E146))</f>
        <v>0.22121534919567426</v>
      </c>
      <c r="H146" s="1354">
        <f>H24</f>
        <v>512447</v>
      </c>
      <c r="I146" s="1355">
        <f>IF(F146&lt;1," ",IF(H146&lt;1," ",(H146-F146)/F146))</f>
        <v>2.994070947643453E-2</v>
      </c>
      <c r="J146" s="1354">
        <f>J24</f>
        <v>527851</v>
      </c>
      <c r="K146" s="1353">
        <f>IF(H146&lt;1," ",IF(J146&lt;1," ",(J146-H146)/H146))</f>
        <v>3.0059693978108957E-2</v>
      </c>
    </row>
    <row r="147" spans="1:11" ht="15.75">
      <c r="A147" s="286"/>
      <c r="B147" s="1757" t="s">
        <v>347</v>
      </c>
      <c r="C147" s="1757"/>
      <c r="D147" s="1757"/>
      <c r="E147" s="1302"/>
      <c r="F147" s="1266"/>
      <c r="G147" s="50" t="str">
        <f>IF(E147&lt;1," ",IF(F147&lt;1," ",(F147-E147)/E147))</f>
        <v xml:space="preserve"> </v>
      </c>
      <c r="H147" s="1266"/>
      <c r="I147" s="50" t="str">
        <f>IF(F147&lt;1," ",IF(H147&lt;1," ",(H147-F147)/F147))</f>
        <v xml:space="preserve"> </v>
      </c>
      <c r="J147" s="1267"/>
      <c r="K147" s="324" t="str">
        <f>IF(H147&lt;1," ",IF(J147&lt;1," ",(J147-H147)/H147))</f>
        <v xml:space="preserve"> </v>
      </c>
    </row>
    <row r="148" spans="1:11" ht="15.75">
      <c r="A148" s="286"/>
      <c r="B148" s="1757" t="s">
        <v>348</v>
      </c>
      <c r="C148" s="1757"/>
      <c r="D148" s="1757"/>
      <c r="E148" s="1303"/>
      <c r="F148" s="731"/>
      <c r="G148" s="1344" t="str">
        <f>IF(E148&lt;1," ",IF(F148&lt;1," ",(F148-E148)/E148))</f>
        <v xml:space="preserve"> </v>
      </c>
      <c r="H148" s="731"/>
      <c r="I148" s="1344" t="str">
        <f>IF(F148&lt;1," ",IF(H148&lt;1," ",(H148-F148)/F148))</f>
        <v xml:space="preserve"> </v>
      </c>
      <c r="J148" s="751"/>
      <c r="K148" s="1345" t="str">
        <f>IF(H148&lt;1," ",IF(J148&lt;1," ",(J148-H148)/H148))</f>
        <v xml:space="preserve"> </v>
      </c>
    </row>
    <row r="149" spans="1:11" ht="16.5" thickBot="1">
      <c r="A149" s="286"/>
      <c r="B149" s="146"/>
      <c r="C149" s="1675" t="s">
        <v>349</v>
      </c>
      <c r="D149" s="1760"/>
      <c r="E149" s="1360">
        <f>SUM(E146:E148)</f>
        <v>407422</v>
      </c>
      <c r="F149" s="1360">
        <f>SUM(F146:F148)</f>
        <v>497550</v>
      </c>
      <c r="G149" s="1409"/>
      <c r="H149" s="1360">
        <f>SUM(H146:H148)</f>
        <v>512447</v>
      </c>
      <c r="I149" s="1409"/>
      <c r="J149" s="1360">
        <f>SUM(J146:J148)</f>
        <v>527851</v>
      </c>
      <c r="K149" s="1410"/>
    </row>
    <row r="150" spans="1:11" ht="17.25" thickTop="1" thickBot="1">
      <c r="A150" s="287"/>
      <c r="B150" s="1758" t="s">
        <v>350</v>
      </c>
      <c r="C150" s="1758"/>
      <c r="D150" s="1758"/>
      <c r="E150" s="1304"/>
      <c r="F150" s="1268"/>
      <c r="G150" s="1407" t="str">
        <f>IF(E150&lt;1," ",IF(F150&lt;1," ",(F150-E150)/E150))</f>
        <v xml:space="preserve"> </v>
      </c>
      <c r="H150" s="1268"/>
      <c r="I150" s="1407" t="str">
        <f>IF(F150&lt;1," ",IF(H150&lt;1," ",(H150-F150)/F150))</f>
        <v xml:space="preserve"> </v>
      </c>
      <c r="J150" s="1269"/>
      <c r="K150" s="1408" t="str">
        <f>IF(H150&lt;1," ",IF(J150&lt;1," ",(J150-H150)/H150))</f>
        <v xml:space="preserve"> </v>
      </c>
    </row>
    <row r="151" spans="1:11" ht="15.75">
      <c r="A151" s="2"/>
      <c r="B151" s="2"/>
      <c r="C151" s="2"/>
      <c r="D151" s="2"/>
      <c r="E151" s="2"/>
      <c r="F151" s="2"/>
      <c r="G151" s="31"/>
      <c r="H151" s="2"/>
      <c r="I151" s="31"/>
      <c r="J151" s="2"/>
      <c r="K151" s="31"/>
    </row>
    <row r="152" spans="1:11" ht="15.75">
      <c r="A152" s="2"/>
      <c r="B152" s="2"/>
      <c r="C152" s="2"/>
      <c r="D152" s="2"/>
      <c r="E152" s="2"/>
      <c r="F152" s="2"/>
      <c r="G152" s="31"/>
      <c r="H152" s="2"/>
      <c r="I152" s="31"/>
      <c r="J152" s="2"/>
      <c r="K152" s="31"/>
    </row>
    <row r="153" spans="1:11" ht="15.75">
      <c r="A153" s="2"/>
      <c r="B153" s="2"/>
      <c r="C153" s="2"/>
      <c r="D153" s="2"/>
      <c r="E153" s="2"/>
      <c r="F153" s="2"/>
      <c r="G153" s="31"/>
      <c r="H153" s="2"/>
      <c r="I153" s="31"/>
      <c r="J153" s="2"/>
      <c r="K153" s="31"/>
    </row>
    <row r="154" spans="1:11" ht="15.75">
      <c r="A154" s="2"/>
      <c r="B154" s="2"/>
      <c r="C154" s="2"/>
      <c r="D154" s="2"/>
      <c r="E154" s="2"/>
      <c r="F154" s="2"/>
      <c r="G154" s="31"/>
      <c r="H154" s="2"/>
      <c r="I154" s="31"/>
      <c r="J154" s="2"/>
      <c r="K154" s="31"/>
    </row>
    <row r="155" spans="1:11" ht="15.75">
      <c r="A155" s="2"/>
      <c r="B155" s="2"/>
      <c r="C155" s="2"/>
      <c r="D155" s="2"/>
      <c r="E155" s="2"/>
      <c r="F155" s="2"/>
      <c r="G155" s="31"/>
      <c r="H155" s="2"/>
      <c r="I155" s="31"/>
      <c r="J155" s="2"/>
      <c r="K155" s="31"/>
    </row>
    <row r="156" spans="1:11" ht="15.75">
      <c r="A156" s="2"/>
      <c r="B156" s="2"/>
      <c r="C156" s="2"/>
      <c r="D156" s="2"/>
      <c r="E156" s="2"/>
      <c r="F156" s="2"/>
      <c r="G156" s="31"/>
      <c r="H156" s="2"/>
      <c r="I156" s="31"/>
      <c r="J156" s="2"/>
      <c r="K156" s="31"/>
    </row>
    <row r="157" spans="1:11" ht="15.75">
      <c r="A157" s="2"/>
      <c r="B157" s="2"/>
      <c r="C157" s="2"/>
      <c r="D157" s="2"/>
      <c r="E157" s="2"/>
      <c r="F157" s="2"/>
      <c r="G157" s="31"/>
      <c r="H157" s="2"/>
      <c r="I157" s="31"/>
      <c r="J157" s="2"/>
      <c r="K157" s="31"/>
    </row>
    <row r="158" spans="1:11" ht="15.75">
      <c r="A158" s="2"/>
      <c r="B158" s="2"/>
      <c r="C158" s="2"/>
      <c r="D158" s="2"/>
      <c r="E158" s="2"/>
      <c r="F158" s="2"/>
      <c r="G158" s="31"/>
      <c r="H158" s="2"/>
      <c r="I158" s="31"/>
      <c r="J158" s="2"/>
      <c r="K158" s="31"/>
    </row>
    <row r="159" spans="1:11" ht="15.75">
      <c r="A159" s="2"/>
      <c r="B159" s="2"/>
      <c r="C159" s="2"/>
      <c r="D159" s="2"/>
      <c r="E159" s="2"/>
      <c r="F159" s="2"/>
      <c r="G159" s="31"/>
      <c r="H159" s="2"/>
      <c r="I159" s="31"/>
      <c r="J159" s="2"/>
      <c r="K159" s="31"/>
    </row>
    <row r="160" spans="1:11" ht="15.75">
      <c r="A160" s="2"/>
      <c r="B160" s="2"/>
      <c r="C160" s="2"/>
      <c r="D160" s="2"/>
      <c r="E160" s="2"/>
      <c r="F160" s="2"/>
      <c r="G160" s="31"/>
      <c r="H160" s="2"/>
      <c r="I160" s="31"/>
      <c r="J160" s="2"/>
      <c r="K160" s="31"/>
    </row>
    <row r="161" spans="1:11" ht="15.75">
      <c r="A161" s="2"/>
      <c r="B161" s="2"/>
      <c r="C161" s="2"/>
      <c r="D161" s="2"/>
      <c r="E161" s="2"/>
      <c r="F161" s="2"/>
      <c r="G161" s="31"/>
      <c r="H161" s="2"/>
      <c r="I161" s="31"/>
      <c r="J161" s="2"/>
      <c r="K161" s="31"/>
    </row>
    <row r="162" spans="1:11" ht="15.75">
      <c r="A162" s="2"/>
      <c r="B162" s="2"/>
      <c r="C162" s="2"/>
      <c r="D162" s="2"/>
      <c r="E162" s="2"/>
      <c r="F162" s="2"/>
      <c r="G162" s="31"/>
      <c r="H162" s="2"/>
      <c r="I162" s="31"/>
      <c r="J162" s="2"/>
      <c r="K162" s="31"/>
    </row>
    <row r="163" spans="1:11" ht="15.75">
      <c r="A163" s="2"/>
      <c r="B163" s="2"/>
      <c r="C163" s="2"/>
      <c r="D163" s="2"/>
      <c r="E163" s="2"/>
      <c r="F163" s="2"/>
      <c r="G163" s="31"/>
      <c r="H163" s="2"/>
      <c r="I163" s="31"/>
      <c r="J163" s="2"/>
      <c r="K163" s="31"/>
    </row>
    <row r="164" spans="1:11" ht="15.75">
      <c r="A164" s="2"/>
      <c r="B164" s="2"/>
      <c r="C164" s="2"/>
      <c r="D164" s="2"/>
      <c r="E164" s="2"/>
      <c r="F164" s="2"/>
      <c r="G164" s="31"/>
      <c r="H164" s="2"/>
      <c r="I164" s="31"/>
      <c r="J164" s="2"/>
      <c r="K164" s="31"/>
    </row>
    <row r="165" spans="1:11" ht="15.75">
      <c r="A165" s="2"/>
      <c r="B165" s="2"/>
      <c r="C165" s="2"/>
      <c r="D165" s="2"/>
      <c r="E165" s="2"/>
      <c r="F165" s="2"/>
      <c r="G165" s="31"/>
      <c r="H165" s="2"/>
      <c r="I165" s="31"/>
      <c r="J165" s="2"/>
      <c r="K165" s="31"/>
    </row>
    <row r="166" spans="1:11" ht="15.75">
      <c r="A166" s="2"/>
      <c r="B166" s="2"/>
      <c r="C166" s="2"/>
      <c r="D166" s="2"/>
      <c r="E166" s="2"/>
      <c r="F166" s="2"/>
      <c r="G166" s="31"/>
      <c r="H166" s="2"/>
      <c r="I166" s="31"/>
      <c r="J166" s="2"/>
      <c r="K166" s="31"/>
    </row>
    <row r="167" spans="1:11" ht="15.75">
      <c r="A167" s="2"/>
      <c r="B167" s="2"/>
      <c r="C167" s="2"/>
      <c r="D167" s="2"/>
      <c r="E167" s="2"/>
      <c r="F167" s="2"/>
      <c r="G167" s="31"/>
      <c r="H167" s="2"/>
      <c r="I167" s="31"/>
      <c r="J167" s="2"/>
      <c r="K167" s="31"/>
    </row>
    <row r="168" spans="1:11" ht="15.75">
      <c r="A168" s="2"/>
      <c r="B168" s="2"/>
      <c r="C168" s="2"/>
      <c r="D168" s="2"/>
      <c r="E168" s="2"/>
      <c r="F168" s="2"/>
      <c r="G168" s="31"/>
      <c r="H168" s="2"/>
      <c r="I168" s="31"/>
      <c r="J168" s="2"/>
      <c r="K168" s="31"/>
    </row>
    <row r="169" spans="1:11" ht="15.75">
      <c r="A169" s="2"/>
      <c r="B169" s="2"/>
      <c r="C169" s="2"/>
      <c r="D169" s="2"/>
      <c r="E169" s="2"/>
      <c r="F169" s="2"/>
      <c r="G169" s="31"/>
      <c r="H169" s="2"/>
      <c r="I169" s="31"/>
      <c r="J169" s="2"/>
      <c r="K169" s="31"/>
    </row>
    <row r="170" spans="1:11" ht="15.75">
      <c r="A170" s="2"/>
      <c r="B170" s="2"/>
      <c r="C170" s="2"/>
      <c r="D170" s="2"/>
      <c r="E170" s="2"/>
      <c r="F170" s="2"/>
      <c r="G170" s="31"/>
      <c r="H170" s="2"/>
      <c r="I170" s="31"/>
      <c r="J170" s="2"/>
      <c r="K170" s="31"/>
    </row>
    <row r="171" spans="1:11" ht="15.75">
      <c r="A171" s="2"/>
      <c r="B171" s="2"/>
      <c r="C171" s="2"/>
      <c r="D171" s="2"/>
      <c r="E171" s="2"/>
      <c r="F171" s="2"/>
      <c r="G171" s="31"/>
      <c r="H171" s="2"/>
      <c r="I171" s="31"/>
      <c r="J171" s="2"/>
      <c r="K171" s="31"/>
    </row>
    <row r="172" spans="1:11" ht="15.75">
      <c r="A172" s="2"/>
      <c r="B172" s="2"/>
      <c r="C172" s="2"/>
      <c r="D172" s="2"/>
      <c r="E172" s="2"/>
      <c r="F172" s="2"/>
      <c r="G172" s="31"/>
      <c r="H172" s="2"/>
      <c r="I172" s="31"/>
      <c r="J172" s="2"/>
      <c r="K172" s="31"/>
    </row>
    <row r="173" spans="1:11" ht="15.75">
      <c r="A173" s="2"/>
      <c r="B173" s="2"/>
      <c r="C173" s="2"/>
      <c r="D173" s="2"/>
      <c r="E173" s="2"/>
      <c r="F173" s="2"/>
      <c r="G173" s="31"/>
      <c r="H173" s="2"/>
      <c r="I173" s="31"/>
      <c r="J173" s="2"/>
      <c r="K173" s="31"/>
    </row>
    <row r="174" spans="1:11" ht="15.75">
      <c r="A174" s="2"/>
      <c r="B174" s="2"/>
      <c r="C174" s="2"/>
      <c r="D174" s="2"/>
      <c r="E174" s="2"/>
      <c r="F174" s="2"/>
      <c r="G174" s="31"/>
      <c r="H174" s="2"/>
      <c r="I174" s="31"/>
      <c r="J174" s="2"/>
      <c r="K174" s="31"/>
    </row>
    <row r="175" spans="1:11" ht="15.75">
      <c r="A175" s="2"/>
      <c r="B175" s="2"/>
      <c r="C175" s="2"/>
      <c r="D175" s="2"/>
      <c r="E175" s="2"/>
      <c r="F175" s="2"/>
      <c r="G175" s="31"/>
      <c r="H175" s="2"/>
      <c r="I175" s="31"/>
      <c r="J175" s="2"/>
      <c r="K175" s="31"/>
    </row>
    <row r="176" spans="1:11" ht="15.75">
      <c r="A176" s="2"/>
      <c r="B176" s="2"/>
      <c r="C176" s="2"/>
      <c r="D176" s="2"/>
      <c r="E176" s="2"/>
      <c r="F176" s="2"/>
      <c r="G176" s="31"/>
      <c r="H176" s="2"/>
      <c r="I176" s="31"/>
      <c r="J176" s="2"/>
      <c r="K176" s="31"/>
    </row>
    <row r="177" spans="1:11" ht="15.75">
      <c r="A177" s="2"/>
      <c r="B177" s="2"/>
      <c r="C177" s="2"/>
      <c r="D177" s="2"/>
      <c r="E177" s="2"/>
      <c r="F177" s="2"/>
      <c r="G177" s="31"/>
      <c r="H177" s="2"/>
      <c r="I177" s="31"/>
      <c r="J177" s="2"/>
      <c r="K177" s="31"/>
    </row>
    <row r="178" spans="1:11" ht="15.75">
      <c r="A178" s="2"/>
      <c r="B178" s="2"/>
      <c r="C178" s="2"/>
      <c r="D178" s="2"/>
      <c r="E178" s="2"/>
      <c r="F178" s="2"/>
      <c r="G178" s="31"/>
      <c r="H178" s="2"/>
      <c r="I178" s="31"/>
      <c r="J178" s="2"/>
      <c r="K178" s="31"/>
    </row>
    <row r="179" spans="1:11" ht="15.75">
      <c r="A179" s="2"/>
      <c r="B179" s="2"/>
      <c r="C179" s="2"/>
      <c r="D179" s="2"/>
      <c r="E179" s="2"/>
      <c r="F179" s="2"/>
      <c r="G179" s="31"/>
      <c r="H179" s="2"/>
      <c r="I179" s="31"/>
      <c r="J179" s="2"/>
      <c r="K179" s="31"/>
    </row>
    <row r="180" spans="1:11" ht="15.75">
      <c r="A180" s="2"/>
      <c r="B180" s="2"/>
      <c r="C180" s="2"/>
      <c r="D180" s="2"/>
      <c r="E180" s="2"/>
      <c r="F180" s="2"/>
      <c r="G180" s="31"/>
      <c r="H180" s="2"/>
      <c r="I180" s="31"/>
      <c r="J180" s="2"/>
      <c r="K180" s="31"/>
    </row>
    <row r="181" spans="1:11" ht="15.75">
      <c r="A181" s="2"/>
      <c r="B181" s="2"/>
      <c r="C181" s="2"/>
      <c r="D181" s="2"/>
      <c r="E181" s="2"/>
      <c r="F181" s="2"/>
      <c r="G181" s="31"/>
      <c r="H181" s="2"/>
      <c r="I181" s="31"/>
      <c r="J181" s="2"/>
      <c r="K181" s="31"/>
    </row>
    <row r="182" spans="1:11" ht="15.75">
      <c r="A182" s="2"/>
      <c r="B182" s="2"/>
      <c r="C182" s="2"/>
      <c r="D182" s="2"/>
      <c r="E182" s="2"/>
      <c r="F182" s="2"/>
      <c r="G182" s="31"/>
      <c r="H182" s="2"/>
      <c r="I182" s="31"/>
      <c r="J182" s="2"/>
      <c r="K182" s="31"/>
    </row>
    <row r="183" spans="1:11" ht="15.75">
      <c r="A183" s="2"/>
      <c r="B183" s="2"/>
      <c r="C183" s="2"/>
      <c r="D183" s="2"/>
      <c r="E183" s="2"/>
      <c r="F183" s="2"/>
      <c r="G183" s="31"/>
      <c r="H183" s="2"/>
      <c r="I183" s="31"/>
      <c r="J183" s="2"/>
      <c r="K183" s="31"/>
    </row>
    <row r="184" spans="1:11" ht="15.75">
      <c r="A184" s="2"/>
      <c r="B184" s="2"/>
      <c r="C184" s="2"/>
      <c r="D184" s="2"/>
      <c r="E184" s="2"/>
      <c r="F184" s="2"/>
      <c r="G184" s="31"/>
      <c r="H184" s="2"/>
      <c r="I184" s="31"/>
      <c r="J184" s="2"/>
      <c r="K184" s="31"/>
    </row>
    <row r="185" spans="1:11" ht="15.75">
      <c r="A185" s="2"/>
      <c r="B185" s="2"/>
      <c r="C185" s="2"/>
      <c r="D185" s="2"/>
      <c r="E185" s="2"/>
      <c r="F185" s="2"/>
      <c r="G185" s="31"/>
      <c r="H185" s="2"/>
      <c r="I185" s="31"/>
      <c r="J185" s="2"/>
      <c r="K185" s="31"/>
    </row>
    <row r="186" spans="1:11" ht="15.75">
      <c r="A186" s="2"/>
      <c r="B186" s="2"/>
      <c r="C186" s="2"/>
      <c r="D186" s="2"/>
      <c r="E186" s="2"/>
      <c r="F186" s="2"/>
      <c r="G186" s="31"/>
      <c r="H186" s="2"/>
      <c r="I186" s="31"/>
      <c r="J186" s="2"/>
      <c r="K186" s="31"/>
    </row>
    <row r="187" spans="1:11" ht="15.75">
      <c r="A187" s="2"/>
      <c r="B187" s="2"/>
      <c r="C187" s="2"/>
      <c r="D187" s="2"/>
      <c r="E187" s="2"/>
      <c r="F187" s="2"/>
      <c r="G187" s="31"/>
      <c r="H187" s="2"/>
      <c r="I187" s="31"/>
      <c r="J187" s="2"/>
      <c r="K187" s="31"/>
    </row>
    <row r="188" spans="1:11" ht="15.75">
      <c r="A188" s="2"/>
      <c r="B188" s="2"/>
      <c r="C188" s="2"/>
      <c r="D188" s="2"/>
      <c r="E188" s="2"/>
      <c r="F188" s="2"/>
      <c r="G188" s="31"/>
      <c r="H188" s="2"/>
      <c r="I188" s="31"/>
      <c r="J188" s="2"/>
      <c r="K188" s="31"/>
    </row>
    <row r="189" spans="1:11" ht="15.75">
      <c r="A189" s="2"/>
      <c r="B189" s="2"/>
      <c r="C189" s="2"/>
      <c r="D189" s="2"/>
      <c r="E189" s="2"/>
      <c r="F189" s="2"/>
      <c r="G189" s="31"/>
      <c r="H189" s="2"/>
      <c r="I189" s="31"/>
      <c r="J189" s="2"/>
      <c r="K189" s="31"/>
    </row>
    <row r="190" spans="1:11" ht="15.75">
      <c r="A190" s="2"/>
      <c r="B190" s="2"/>
      <c r="C190" s="2"/>
      <c r="D190" s="2"/>
      <c r="E190" s="2"/>
      <c r="F190" s="2"/>
      <c r="G190" s="31"/>
      <c r="H190" s="2"/>
      <c r="I190" s="31"/>
      <c r="J190" s="2"/>
      <c r="K190" s="31"/>
    </row>
    <row r="191" spans="1:11" ht="15.75">
      <c r="A191" s="2"/>
      <c r="B191" s="2"/>
      <c r="C191" s="2"/>
      <c r="D191" s="2"/>
      <c r="E191" s="2"/>
      <c r="F191" s="2"/>
      <c r="G191" s="31"/>
      <c r="H191" s="2"/>
      <c r="I191" s="31"/>
      <c r="J191" s="2"/>
      <c r="K191" s="31"/>
    </row>
    <row r="192" spans="1:11" ht="15.75">
      <c r="A192" s="2"/>
      <c r="B192" s="2"/>
      <c r="C192" s="2"/>
      <c r="D192" s="2"/>
      <c r="E192" s="2"/>
      <c r="F192" s="2"/>
      <c r="G192" s="31"/>
      <c r="H192" s="2"/>
      <c r="I192" s="31"/>
      <c r="J192" s="2"/>
      <c r="K192" s="31"/>
    </row>
    <row r="193" spans="1:11" ht="15.75">
      <c r="A193" s="2"/>
      <c r="B193" s="2"/>
      <c r="C193" s="2"/>
      <c r="D193" s="2"/>
      <c r="E193" s="2"/>
      <c r="F193" s="2"/>
      <c r="G193" s="31"/>
      <c r="H193" s="2"/>
      <c r="I193" s="31"/>
      <c r="J193" s="2"/>
      <c r="K193" s="31"/>
    </row>
    <row r="194" spans="1:11" ht="15.75">
      <c r="A194" s="2"/>
      <c r="B194" s="2"/>
      <c r="C194" s="2"/>
      <c r="D194" s="2"/>
      <c r="E194" s="2"/>
      <c r="F194" s="2"/>
      <c r="G194" s="31"/>
      <c r="H194" s="2"/>
      <c r="I194" s="31"/>
      <c r="J194" s="2"/>
      <c r="K194" s="31"/>
    </row>
    <row r="195" spans="1:11" ht="15.75">
      <c r="A195" s="2"/>
      <c r="B195" s="2"/>
      <c r="C195" s="2"/>
      <c r="D195" s="2"/>
      <c r="E195" s="2"/>
      <c r="F195" s="2"/>
      <c r="G195" s="31"/>
      <c r="H195" s="2"/>
      <c r="I195" s="31"/>
      <c r="J195" s="2"/>
      <c r="K195" s="31"/>
    </row>
    <row r="196" spans="1:11" ht="15.75">
      <c r="A196" s="2"/>
      <c r="B196" s="2"/>
      <c r="C196" s="2"/>
      <c r="D196" s="2"/>
      <c r="E196" s="2"/>
      <c r="F196" s="2"/>
      <c r="G196" s="31"/>
      <c r="H196" s="2"/>
      <c r="I196" s="31"/>
      <c r="J196" s="2"/>
      <c r="K196" s="31"/>
    </row>
    <row r="197" spans="1:11" ht="15.75">
      <c r="A197" s="2"/>
      <c r="B197" s="2"/>
      <c r="C197" s="2"/>
      <c r="D197" s="2"/>
      <c r="E197" s="2"/>
      <c r="F197" s="2"/>
      <c r="G197" s="31"/>
      <c r="H197" s="2"/>
      <c r="I197" s="31"/>
      <c r="J197" s="2"/>
      <c r="K197" s="31"/>
    </row>
    <row r="198" spans="1:11" ht="15.75">
      <c r="A198" s="2"/>
      <c r="B198" s="2"/>
      <c r="C198" s="2"/>
      <c r="D198" s="2"/>
      <c r="E198" s="2"/>
      <c r="F198" s="2"/>
      <c r="G198" s="31"/>
      <c r="H198" s="2"/>
      <c r="I198" s="31"/>
      <c r="J198" s="2"/>
      <c r="K198" s="31"/>
    </row>
    <row r="199" spans="1:11" ht="15.75">
      <c r="A199" s="2"/>
      <c r="B199" s="2"/>
      <c r="C199" s="2"/>
      <c r="D199" s="2"/>
      <c r="E199" s="2"/>
      <c r="F199" s="2"/>
      <c r="G199" s="31"/>
      <c r="H199" s="2"/>
      <c r="I199" s="31"/>
      <c r="J199" s="2"/>
      <c r="K199" s="31"/>
    </row>
    <row r="200" spans="1:11" ht="15.75">
      <c r="A200" s="2"/>
      <c r="B200" s="2"/>
      <c r="C200" s="2"/>
      <c r="D200" s="2"/>
      <c r="E200" s="2"/>
      <c r="F200" s="2"/>
      <c r="G200" s="31"/>
      <c r="H200" s="2"/>
      <c r="I200" s="31"/>
      <c r="J200" s="2"/>
      <c r="K200" s="31"/>
    </row>
    <row r="201" spans="1:11" ht="15.75">
      <c r="A201" s="2"/>
      <c r="B201" s="2"/>
      <c r="C201" s="2"/>
      <c r="D201" s="2"/>
      <c r="E201" s="2"/>
      <c r="F201" s="2"/>
      <c r="G201" s="31"/>
      <c r="H201" s="2"/>
      <c r="I201" s="31"/>
      <c r="J201" s="2"/>
      <c r="K201" s="31"/>
    </row>
    <row r="202" spans="1:11" ht="15.75">
      <c r="A202" s="2"/>
      <c r="B202" s="2"/>
      <c r="C202" s="2"/>
      <c r="D202" s="2"/>
      <c r="E202" s="2"/>
      <c r="F202" s="2"/>
      <c r="G202" s="31"/>
      <c r="H202" s="2"/>
      <c r="I202" s="31"/>
      <c r="J202" s="2"/>
      <c r="K202" s="31"/>
    </row>
    <row r="203" spans="1:11" ht="15.75">
      <c r="A203" s="2"/>
      <c r="B203" s="2"/>
      <c r="C203" s="2"/>
      <c r="D203" s="2"/>
      <c r="E203" s="2"/>
      <c r="F203" s="2"/>
      <c r="G203" s="31"/>
      <c r="H203" s="2"/>
      <c r="I203" s="31"/>
      <c r="J203" s="2"/>
      <c r="K203" s="31"/>
    </row>
    <row r="204" spans="1:11" ht="15.75">
      <c r="A204" s="2"/>
      <c r="B204" s="2"/>
      <c r="C204" s="2"/>
      <c r="D204" s="2"/>
      <c r="E204" s="2"/>
      <c r="F204" s="2"/>
      <c r="G204" s="31"/>
      <c r="H204" s="2"/>
      <c r="I204" s="31"/>
      <c r="J204" s="2"/>
      <c r="K204" s="31"/>
    </row>
    <row r="205" spans="1:11" ht="15.75">
      <c r="A205" s="2"/>
      <c r="B205" s="2"/>
      <c r="C205" s="2"/>
      <c r="D205" s="2"/>
      <c r="E205" s="2"/>
      <c r="F205" s="2"/>
      <c r="G205" s="31"/>
      <c r="H205" s="2"/>
      <c r="I205" s="31"/>
      <c r="J205" s="2"/>
      <c r="K205" s="31"/>
    </row>
    <row r="206" spans="1:11" ht="15.75">
      <c r="A206" s="2"/>
      <c r="B206" s="2"/>
      <c r="C206" s="2"/>
      <c r="D206" s="2"/>
      <c r="E206" s="2"/>
      <c r="F206" s="2"/>
      <c r="G206" s="31"/>
      <c r="H206" s="2"/>
      <c r="I206" s="31"/>
      <c r="J206" s="2"/>
      <c r="K206" s="31"/>
    </row>
    <row r="207" spans="1:11" ht="15.75">
      <c r="A207" s="2"/>
      <c r="B207" s="2"/>
      <c r="C207" s="2"/>
      <c r="D207" s="2"/>
      <c r="E207" s="2"/>
      <c r="F207" s="2"/>
      <c r="G207" s="31"/>
      <c r="H207" s="2"/>
      <c r="I207" s="31"/>
      <c r="J207" s="2"/>
      <c r="K207" s="31"/>
    </row>
    <row r="208" spans="1:11" ht="15.75">
      <c r="A208" s="2"/>
      <c r="B208" s="2"/>
      <c r="C208" s="2"/>
      <c r="D208" s="2"/>
      <c r="E208" s="2"/>
      <c r="F208" s="2"/>
      <c r="G208" s="31"/>
      <c r="H208" s="2"/>
      <c r="I208" s="31"/>
      <c r="J208" s="2"/>
      <c r="K208" s="31"/>
    </row>
    <row r="209" spans="1:11" ht="15.75">
      <c r="A209" s="2"/>
      <c r="B209" s="2"/>
      <c r="C209" s="2"/>
      <c r="D209" s="2"/>
      <c r="E209" s="2"/>
      <c r="F209" s="2"/>
      <c r="G209" s="31"/>
      <c r="H209" s="2"/>
      <c r="I209" s="31"/>
      <c r="J209" s="2"/>
      <c r="K209" s="31"/>
    </row>
    <row r="210" spans="1:11" ht="15.75">
      <c r="A210" s="2"/>
      <c r="B210" s="2"/>
      <c r="C210" s="2"/>
      <c r="D210" s="2"/>
      <c r="E210" s="2"/>
      <c r="F210" s="2"/>
      <c r="G210" s="31"/>
      <c r="H210" s="2"/>
      <c r="I210" s="31"/>
      <c r="J210" s="2"/>
      <c r="K210" s="31"/>
    </row>
    <row r="211" spans="1:11" ht="15.75">
      <c r="A211" s="2"/>
      <c r="B211" s="2"/>
      <c r="C211" s="2"/>
      <c r="D211" s="2"/>
      <c r="E211" s="2"/>
      <c r="F211" s="2"/>
      <c r="G211" s="31"/>
      <c r="H211" s="2"/>
      <c r="I211" s="31"/>
      <c r="J211" s="2"/>
      <c r="K211" s="31"/>
    </row>
    <row r="212" spans="1:11" ht="15.75">
      <c r="A212" s="2"/>
      <c r="B212" s="2"/>
      <c r="C212" s="2"/>
      <c r="D212" s="2"/>
      <c r="E212" s="2"/>
      <c r="F212" s="2"/>
      <c r="G212" s="31"/>
      <c r="H212" s="2"/>
      <c r="I212" s="31"/>
      <c r="J212" s="2"/>
      <c r="K212" s="31"/>
    </row>
    <row r="213" spans="1:11" ht="15.75">
      <c r="A213" s="2"/>
      <c r="B213" s="2"/>
      <c r="C213" s="2"/>
      <c r="D213" s="2"/>
      <c r="E213" s="2"/>
      <c r="F213" s="2"/>
      <c r="G213" s="31"/>
      <c r="H213" s="2"/>
      <c r="I213" s="31"/>
      <c r="J213" s="2"/>
      <c r="K213" s="31"/>
    </row>
    <row r="214" spans="1:11" ht="15.75">
      <c r="A214" s="2"/>
      <c r="B214" s="2"/>
      <c r="C214" s="2"/>
      <c r="D214" s="2"/>
      <c r="E214" s="2"/>
      <c r="F214" s="2"/>
      <c r="G214" s="31"/>
      <c r="H214" s="2"/>
      <c r="I214" s="31"/>
      <c r="J214" s="2"/>
      <c r="K214" s="31"/>
    </row>
    <row r="215" spans="1:11" ht="15.75">
      <c r="A215" s="2"/>
      <c r="B215" s="2"/>
      <c r="C215" s="2"/>
      <c r="D215" s="2"/>
      <c r="E215" s="2"/>
      <c r="F215" s="2"/>
      <c r="G215" s="31"/>
      <c r="H215" s="2"/>
      <c r="I215" s="31"/>
      <c r="J215" s="2"/>
      <c r="K215" s="31"/>
    </row>
    <row r="216" spans="1:11" ht="15.75">
      <c r="A216" s="2"/>
      <c r="B216" s="2"/>
      <c r="C216" s="2"/>
      <c r="D216" s="2"/>
      <c r="E216" s="2"/>
      <c r="F216" s="2"/>
      <c r="G216" s="31"/>
      <c r="H216" s="2"/>
      <c r="I216" s="31"/>
      <c r="J216" s="2"/>
      <c r="K216" s="31"/>
    </row>
    <row r="217" spans="1:11" ht="15.75">
      <c r="A217" s="2"/>
      <c r="B217" s="2"/>
      <c r="C217" s="2"/>
      <c r="D217" s="2"/>
      <c r="E217" s="2"/>
      <c r="F217" s="2"/>
      <c r="G217" s="31"/>
      <c r="H217" s="2"/>
      <c r="I217" s="31"/>
      <c r="J217" s="2"/>
      <c r="K217" s="31"/>
    </row>
    <row r="218" spans="1:11" ht="15.75">
      <c r="A218" s="2"/>
      <c r="B218" s="2"/>
      <c r="C218" s="2"/>
      <c r="D218" s="2"/>
      <c r="E218" s="2"/>
      <c r="F218" s="2"/>
      <c r="G218" s="31"/>
      <c r="H218" s="2"/>
      <c r="I218" s="31"/>
      <c r="J218" s="2"/>
      <c r="K218" s="31"/>
    </row>
    <row r="219" spans="1:11" ht="15.75">
      <c r="A219" s="2"/>
      <c r="B219" s="2"/>
      <c r="C219" s="2"/>
      <c r="D219" s="2"/>
      <c r="E219" s="2"/>
      <c r="F219" s="2"/>
      <c r="G219" s="31"/>
      <c r="H219" s="2"/>
      <c r="I219" s="31"/>
      <c r="J219" s="2"/>
      <c r="K219" s="31"/>
    </row>
    <row r="220" spans="1:11" ht="15.75">
      <c r="A220" s="2"/>
      <c r="B220" s="2"/>
      <c r="C220" s="2"/>
      <c r="D220" s="2"/>
      <c r="E220" s="2"/>
      <c r="F220" s="2"/>
      <c r="G220" s="31"/>
      <c r="H220" s="2"/>
      <c r="I220" s="31"/>
      <c r="J220" s="2"/>
      <c r="K220" s="31"/>
    </row>
    <row r="221" spans="1:11" ht="15.75">
      <c r="A221" s="2"/>
      <c r="B221" s="2"/>
      <c r="C221" s="2"/>
      <c r="D221" s="2"/>
      <c r="E221" s="2"/>
      <c r="F221" s="2"/>
      <c r="G221" s="31"/>
      <c r="H221" s="2"/>
      <c r="I221" s="31"/>
      <c r="J221" s="2"/>
      <c r="K221" s="31"/>
    </row>
    <row r="222" spans="1:11" ht="15.75">
      <c r="A222" s="2"/>
      <c r="B222" s="2"/>
      <c r="C222" s="2"/>
      <c r="D222" s="2"/>
      <c r="E222" s="2"/>
      <c r="F222" s="2"/>
      <c r="G222" s="31"/>
      <c r="H222" s="2"/>
      <c r="I222" s="31"/>
      <c r="J222" s="2"/>
      <c r="K222" s="31"/>
    </row>
    <row r="223" spans="1:11" ht="15.75">
      <c r="A223" s="2"/>
      <c r="B223" s="2"/>
      <c r="C223" s="2"/>
      <c r="D223" s="2"/>
      <c r="E223" s="2"/>
      <c r="F223" s="2"/>
      <c r="G223" s="31"/>
      <c r="H223" s="2"/>
      <c r="I223" s="31"/>
      <c r="J223" s="2"/>
      <c r="K223" s="31"/>
    </row>
    <row r="224" spans="1:11" ht="15.75">
      <c r="A224" s="2"/>
      <c r="B224" s="2"/>
      <c r="C224" s="2"/>
      <c r="D224" s="2"/>
      <c r="E224" s="2"/>
      <c r="F224" s="2"/>
      <c r="G224" s="31"/>
      <c r="H224" s="2"/>
      <c r="I224" s="31"/>
      <c r="J224" s="2"/>
      <c r="K224" s="31"/>
    </row>
    <row r="225" spans="1:11" ht="15.75">
      <c r="A225" s="2"/>
      <c r="B225" s="2"/>
      <c r="C225" s="2"/>
      <c r="D225" s="2"/>
      <c r="E225" s="2"/>
      <c r="F225" s="2"/>
      <c r="G225" s="31"/>
      <c r="H225" s="2"/>
      <c r="I225" s="31"/>
      <c r="J225" s="2"/>
      <c r="K225" s="31"/>
    </row>
    <row r="226" spans="1:11" ht="15.75">
      <c r="A226" s="2"/>
      <c r="B226" s="2"/>
      <c r="C226" s="2"/>
      <c r="D226" s="2"/>
      <c r="E226" s="2"/>
      <c r="F226" s="2"/>
      <c r="G226" s="31"/>
      <c r="H226" s="2"/>
      <c r="I226" s="31"/>
      <c r="J226" s="2"/>
      <c r="K226" s="31"/>
    </row>
    <row r="227" spans="1:11" ht="15.75">
      <c r="A227" s="2"/>
      <c r="B227" s="2"/>
      <c r="C227" s="2"/>
      <c r="D227" s="2"/>
      <c r="E227" s="2"/>
      <c r="F227" s="2"/>
      <c r="G227" s="31"/>
      <c r="H227" s="2"/>
      <c r="I227" s="31"/>
      <c r="J227" s="2"/>
      <c r="K227" s="31"/>
    </row>
    <row r="228" spans="1:11" ht="15.75">
      <c r="A228" s="2"/>
      <c r="B228" s="2"/>
      <c r="C228" s="2"/>
      <c r="D228" s="2"/>
      <c r="E228" s="2"/>
      <c r="F228" s="2"/>
      <c r="G228" s="31"/>
      <c r="H228" s="2"/>
      <c r="I228" s="31"/>
      <c r="J228" s="2"/>
      <c r="K228" s="31"/>
    </row>
    <row r="229" spans="1:11" ht="15.75">
      <c r="A229" s="2"/>
      <c r="B229" s="2"/>
      <c r="C229" s="2"/>
      <c r="D229" s="2"/>
      <c r="E229" s="2"/>
      <c r="F229" s="2"/>
      <c r="G229" s="31"/>
      <c r="H229" s="2"/>
      <c r="I229" s="31"/>
      <c r="J229" s="2"/>
      <c r="K229" s="31"/>
    </row>
    <row r="230" spans="1:11" ht="15.75">
      <c r="A230" s="2"/>
      <c r="B230" s="2"/>
      <c r="C230" s="2"/>
      <c r="D230" s="2"/>
      <c r="E230" s="2"/>
      <c r="F230" s="2"/>
      <c r="G230" s="31"/>
      <c r="H230" s="2"/>
      <c r="I230" s="31"/>
      <c r="J230" s="2"/>
      <c r="K230" s="31"/>
    </row>
    <row r="231" spans="1:11" ht="15.75">
      <c r="A231" s="2"/>
      <c r="B231" s="2"/>
      <c r="C231" s="2"/>
      <c r="D231" s="2"/>
      <c r="E231" s="2"/>
      <c r="F231" s="2"/>
      <c r="G231" s="31"/>
      <c r="H231" s="2"/>
      <c r="I231" s="31"/>
      <c r="J231" s="2"/>
      <c r="K231" s="31"/>
    </row>
    <row r="232" spans="1:11" ht="15.75">
      <c r="A232" s="2"/>
      <c r="B232" s="2"/>
      <c r="C232" s="2"/>
      <c r="D232" s="2"/>
      <c r="E232" s="2"/>
      <c r="F232" s="2"/>
      <c r="G232" s="31"/>
      <c r="H232" s="2"/>
      <c r="I232" s="31"/>
      <c r="J232" s="2"/>
      <c r="K232" s="31"/>
    </row>
    <row r="233" spans="1:11" ht="15.75">
      <c r="A233" s="2"/>
      <c r="B233" s="2"/>
      <c r="C233" s="2"/>
      <c r="D233" s="2"/>
      <c r="E233" s="2"/>
      <c r="F233" s="2"/>
      <c r="G233" s="31"/>
      <c r="H233" s="2"/>
      <c r="I233" s="31"/>
      <c r="J233" s="2"/>
      <c r="K233" s="31"/>
    </row>
    <row r="234" spans="1:11" ht="15.75">
      <c r="A234" s="2"/>
      <c r="B234" s="2"/>
      <c r="C234" s="2"/>
      <c r="D234" s="2"/>
      <c r="E234" s="2"/>
      <c r="F234" s="2"/>
      <c r="G234" s="31"/>
      <c r="H234" s="2"/>
      <c r="I234" s="31"/>
      <c r="J234" s="2"/>
      <c r="K234" s="31"/>
    </row>
    <row r="235" spans="1:11" ht="15.75">
      <c r="A235" s="2"/>
      <c r="B235" s="2"/>
      <c r="C235" s="2"/>
      <c r="D235" s="2"/>
      <c r="E235" s="2"/>
      <c r="F235" s="2"/>
      <c r="G235" s="31"/>
      <c r="H235" s="2"/>
      <c r="I235" s="31"/>
      <c r="J235" s="2"/>
      <c r="K235" s="31"/>
    </row>
    <row r="236" spans="1:11" ht="15.75">
      <c r="A236" s="2"/>
      <c r="B236" s="2"/>
      <c r="C236" s="2"/>
      <c r="D236" s="2"/>
      <c r="E236" s="2"/>
      <c r="F236" s="2"/>
      <c r="G236" s="31"/>
      <c r="H236" s="2"/>
      <c r="I236" s="31"/>
      <c r="J236" s="2"/>
      <c r="K236" s="31"/>
    </row>
    <row r="237" spans="1:11" ht="15.75">
      <c r="A237" s="2"/>
      <c r="B237" s="2"/>
      <c r="C237" s="2"/>
      <c r="D237" s="2"/>
      <c r="E237" s="2"/>
      <c r="F237" s="2"/>
      <c r="G237" s="31"/>
      <c r="H237" s="2"/>
      <c r="I237" s="31"/>
      <c r="J237" s="2"/>
      <c r="K237" s="31"/>
    </row>
    <row r="238" spans="1:11" ht="15.75">
      <c r="A238" s="2"/>
      <c r="B238" s="2"/>
      <c r="C238" s="2"/>
      <c r="D238" s="2"/>
      <c r="E238" s="2"/>
      <c r="F238" s="2"/>
      <c r="G238" s="31"/>
      <c r="H238" s="2"/>
      <c r="I238" s="31"/>
      <c r="J238" s="2"/>
      <c r="K238" s="31"/>
    </row>
    <row r="239" spans="1:11" ht="15.75">
      <c r="A239" s="2"/>
      <c r="B239" s="2"/>
      <c r="C239" s="2"/>
      <c r="D239" s="2"/>
      <c r="E239" s="2"/>
      <c r="F239" s="2"/>
      <c r="G239" s="31"/>
      <c r="H239" s="2"/>
      <c r="I239" s="31"/>
    </row>
    <row r="240" spans="1:11" ht="15.75">
      <c r="A240" s="2"/>
      <c r="B240" s="2"/>
      <c r="C240" s="2"/>
      <c r="D240" s="2"/>
      <c r="E240" s="2"/>
      <c r="F240" s="2"/>
      <c r="G240" s="31"/>
      <c r="H240" s="2"/>
      <c r="I240" s="31"/>
    </row>
    <row r="241" spans="1:9" ht="15.75">
      <c r="A241" s="2"/>
      <c r="B241" s="2"/>
      <c r="C241" s="2"/>
      <c r="D241" s="2"/>
      <c r="E241" s="2"/>
      <c r="F241" s="2"/>
      <c r="G241" s="31"/>
      <c r="H241" s="2"/>
      <c r="I241" s="31"/>
    </row>
    <row r="242" spans="1:9" ht="15.75">
      <c r="A242" s="2"/>
      <c r="B242" s="2"/>
      <c r="C242" s="2"/>
      <c r="D242" s="2"/>
      <c r="E242" s="2"/>
      <c r="F242" s="2"/>
      <c r="G242" s="31"/>
      <c r="H242" s="2"/>
      <c r="I242" s="31"/>
    </row>
    <row r="243" spans="1:9" ht="15.75">
      <c r="A243" s="2"/>
      <c r="B243" s="2"/>
      <c r="C243" s="2"/>
      <c r="D243" s="2"/>
      <c r="E243" s="2"/>
      <c r="F243" s="2"/>
      <c r="G243" s="31"/>
      <c r="H243" s="2"/>
      <c r="I243" s="31"/>
    </row>
    <row r="244" spans="1:9" ht="15.75">
      <c r="A244" s="2"/>
      <c r="B244" s="2"/>
      <c r="C244" s="2"/>
      <c r="D244" s="2"/>
      <c r="E244" s="2"/>
      <c r="F244" s="2"/>
      <c r="G244" s="31"/>
      <c r="H244" s="2"/>
      <c r="I244" s="31"/>
    </row>
    <row r="245" spans="1:9" ht="15.75">
      <c r="A245" s="2"/>
      <c r="B245" s="2"/>
      <c r="C245" s="2"/>
      <c r="D245" s="2"/>
      <c r="E245" s="2"/>
      <c r="F245" s="2"/>
      <c r="G245" s="31"/>
      <c r="H245" s="2"/>
      <c r="I245" s="31"/>
    </row>
    <row r="246" spans="1:9" ht="15.75">
      <c r="A246" s="2"/>
      <c r="B246" s="2"/>
      <c r="C246" s="2"/>
      <c r="D246" s="2"/>
      <c r="E246" s="2"/>
      <c r="F246" s="2"/>
      <c r="G246" s="31"/>
      <c r="H246" s="2"/>
      <c r="I246" s="31"/>
    </row>
    <row r="247" spans="1:9" ht="15.75">
      <c r="A247" s="2"/>
      <c r="B247" s="2"/>
      <c r="C247" s="2"/>
      <c r="D247" s="2"/>
      <c r="E247" s="2"/>
      <c r="F247" s="2"/>
      <c r="G247" s="31"/>
      <c r="H247" s="2"/>
      <c r="I247" s="31"/>
    </row>
    <row r="248" spans="1:9" ht="15.75">
      <c r="A248" s="2"/>
      <c r="B248" s="2"/>
      <c r="C248" s="2"/>
      <c r="D248" s="2"/>
      <c r="E248" s="2"/>
      <c r="F248" s="2"/>
      <c r="G248" s="31"/>
      <c r="H248" s="2"/>
      <c r="I248" s="31"/>
    </row>
    <row r="249" spans="1:9" ht="15.75">
      <c r="A249" s="2"/>
      <c r="B249" s="2"/>
      <c r="C249" s="2"/>
      <c r="D249" s="2"/>
      <c r="E249" s="2"/>
      <c r="F249" s="2"/>
      <c r="G249" s="31"/>
      <c r="H249" s="2"/>
      <c r="I249" s="31"/>
    </row>
    <row r="250" spans="1:9" ht="15.75">
      <c r="A250" s="2"/>
      <c r="B250" s="2"/>
      <c r="C250" s="2"/>
      <c r="D250" s="2"/>
      <c r="E250" s="2"/>
      <c r="F250" s="2"/>
      <c r="G250" s="31"/>
      <c r="H250" s="2"/>
      <c r="I250" s="31"/>
    </row>
    <row r="251" spans="1:9" ht="15.75">
      <c r="A251" s="2"/>
      <c r="B251" s="2"/>
      <c r="C251" s="2"/>
      <c r="D251" s="2"/>
      <c r="E251" s="2"/>
      <c r="F251" s="2"/>
      <c r="G251" s="31"/>
      <c r="H251" s="2"/>
      <c r="I251" s="31"/>
    </row>
    <row r="252" spans="1:9" ht="15.75">
      <c r="A252" s="2"/>
      <c r="B252" s="2"/>
      <c r="C252" s="2"/>
      <c r="D252" s="2"/>
      <c r="E252" s="2"/>
      <c r="F252" s="2"/>
      <c r="G252" s="31"/>
      <c r="H252" s="2"/>
      <c r="I252" s="31"/>
    </row>
    <row r="253" spans="1:9" ht="15.75">
      <c r="A253" s="2"/>
      <c r="B253" s="2"/>
      <c r="C253" s="2"/>
      <c r="D253" s="2"/>
      <c r="E253" s="2"/>
      <c r="F253" s="2"/>
      <c r="G253" s="31"/>
      <c r="H253" s="2"/>
      <c r="I253" s="31"/>
    </row>
    <row r="254" spans="1:9" ht="15.75">
      <c r="A254" s="2"/>
      <c r="B254" s="2"/>
      <c r="C254" s="2"/>
      <c r="D254" s="2"/>
      <c r="E254" s="2"/>
      <c r="F254" s="2"/>
      <c r="G254" s="31"/>
      <c r="H254" s="2"/>
      <c r="I254" s="31"/>
    </row>
    <row r="255" spans="1:9" ht="15.75">
      <c r="A255" s="2"/>
      <c r="B255" s="2"/>
      <c r="C255" s="2"/>
      <c r="D255" s="2"/>
      <c r="E255" s="2"/>
      <c r="F255" s="2"/>
      <c r="G255" s="31"/>
      <c r="H255" s="2"/>
      <c r="I255" s="31"/>
    </row>
    <row r="256" spans="1:9" ht="15.75">
      <c r="A256" s="2"/>
      <c r="B256" s="2"/>
      <c r="C256" s="2"/>
      <c r="D256" s="2"/>
      <c r="E256" s="2"/>
      <c r="F256" s="2"/>
      <c r="G256" s="31"/>
      <c r="H256" s="2"/>
      <c r="I256" s="31"/>
    </row>
    <row r="257" spans="1:9" ht="15.75">
      <c r="A257" s="2"/>
      <c r="B257" s="2"/>
      <c r="C257" s="2"/>
      <c r="D257" s="2"/>
      <c r="E257" s="2"/>
      <c r="F257" s="2"/>
      <c r="G257" s="31"/>
      <c r="H257" s="2"/>
      <c r="I257" s="31"/>
    </row>
    <row r="258" spans="1:9" ht="15.75">
      <c r="A258" s="2"/>
      <c r="B258" s="2"/>
      <c r="C258" s="2"/>
      <c r="D258" s="2"/>
      <c r="E258" s="2"/>
      <c r="F258" s="2"/>
      <c r="G258" s="31"/>
      <c r="H258" s="2"/>
      <c r="I258" s="31"/>
    </row>
    <row r="259" spans="1:9" ht="15.75">
      <c r="A259" s="2"/>
      <c r="B259" s="2"/>
      <c r="C259" s="2"/>
      <c r="D259" s="2"/>
      <c r="E259" s="2"/>
      <c r="F259" s="2"/>
      <c r="G259" s="31"/>
      <c r="H259" s="2"/>
      <c r="I259" s="31"/>
    </row>
    <row r="260" spans="1:9" ht="15.75">
      <c r="A260" s="2"/>
      <c r="B260" s="2"/>
      <c r="C260" s="2"/>
      <c r="D260" s="2"/>
      <c r="E260" s="2"/>
      <c r="F260" s="2"/>
      <c r="G260" s="31"/>
      <c r="H260" s="2"/>
      <c r="I260" s="31"/>
    </row>
    <row r="261" spans="1:9" ht="15.75">
      <c r="A261" s="2"/>
      <c r="B261" s="2"/>
      <c r="C261" s="2"/>
      <c r="D261" s="2"/>
      <c r="E261" s="2"/>
      <c r="F261" s="2"/>
      <c r="G261" s="31"/>
      <c r="H261" s="2"/>
      <c r="I261" s="31"/>
    </row>
    <row r="262" spans="1:9" ht="15.75">
      <c r="A262" s="2"/>
      <c r="B262" s="2"/>
      <c r="C262" s="2"/>
      <c r="D262" s="2"/>
      <c r="E262" s="2"/>
      <c r="F262" s="2"/>
      <c r="G262" s="31"/>
      <c r="H262" s="2"/>
      <c r="I262" s="31"/>
    </row>
    <row r="263" spans="1:9" ht="15.75">
      <c r="A263" s="2"/>
      <c r="B263" s="2"/>
      <c r="C263" s="2"/>
      <c r="D263" s="2"/>
      <c r="E263" s="2"/>
      <c r="F263" s="2"/>
      <c r="G263" s="31"/>
      <c r="H263" s="2"/>
      <c r="I263" s="31"/>
    </row>
    <row r="264" spans="1:9" ht="15.75">
      <c r="A264" s="2"/>
      <c r="B264" s="2"/>
      <c r="C264" s="2"/>
      <c r="D264" s="2"/>
      <c r="E264" s="2"/>
      <c r="F264" s="2"/>
      <c r="G264" s="31"/>
      <c r="H264" s="2"/>
      <c r="I264" s="31"/>
    </row>
    <row r="265" spans="1:9" ht="15.75">
      <c r="A265" s="2"/>
      <c r="B265" s="2"/>
      <c r="C265" s="2"/>
      <c r="D265" s="2"/>
      <c r="E265" s="2"/>
      <c r="F265" s="2"/>
      <c r="G265" s="31"/>
      <c r="H265" s="2"/>
      <c r="I265" s="31"/>
    </row>
    <row r="266" spans="1:9" ht="15.75">
      <c r="A266" s="2"/>
      <c r="B266" s="2"/>
      <c r="C266" s="2"/>
      <c r="D266" s="2"/>
      <c r="E266" s="2"/>
      <c r="F266" s="2"/>
      <c r="G266" s="31"/>
      <c r="H266" s="2"/>
      <c r="I266" s="31"/>
    </row>
  </sheetData>
  <sheetProtection password="CC5F" sheet="1" objects="1" scenarios="1"/>
  <mergeCells count="76">
    <mergeCell ref="F113:K113"/>
    <mergeCell ref="F47:K47"/>
    <mergeCell ref="C91:D91"/>
    <mergeCell ref="B37:D37"/>
    <mergeCell ref="A39:D39"/>
    <mergeCell ref="B44:D44"/>
    <mergeCell ref="A46:D46"/>
    <mergeCell ref="B51:D51"/>
    <mergeCell ref="B54:D54"/>
    <mergeCell ref="C83:D83"/>
    <mergeCell ref="C74:D74"/>
    <mergeCell ref="F109:K109"/>
    <mergeCell ref="C108:D108"/>
    <mergeCell ref="C104:D104"/>
    <mergeCell ref="F40:K40"/>
    <mergeCell ref="F11:K11"/>
    <mergeCell ref="F12:K12"/>
    <mergeCell ref="F27:K27"/>
    <mergeCell ref="F28:K28"/>
    <mergeCell ref="F38:K38"/>
    <mergeCell ref="C133:D133"/>
    <mergeCell ref="C119:D119"/>
    <mergeCell ref="C120:D120"/>
    <mergeCell ref="C121:D121"/>
    <mergeCell ref="A1:D1"/>
    <mergeCell ref="A2:D2"/>
    <mergeCell ref="A3:D3"/>
    <mergeCell ref="C88:D88"/>
    <mergeCell ref="A8:C8"/>
    <mergeCell ref="A28:C28"/>
    <mergeCell ref="B26:D26"/>
    <mergeCell ref="C105:D105"/>
    <mergeCell ref="C89:D89"/>
    <mergeCell ref="C90:D90"/>
    <mergeCell ref="C102:D102"/>
    <mergeCell ref="C103:D103"/>
    <mergeCell ref="C123:D123"/>
    <mergeCell ref="C124:D124"/>
    <mergeCell ref="C125:D125"/>
    <mergeCell ref="C126:D126"/>
    <mergeCell ref="C132:D132"/>
    <mergeCell ref="C127:D127"/>
    <mergeCell ref="C129:D129"/>
    <mergeCell ref="C130:D130"/>
    <mergeCell ref="C131:D131"/>
    <mergeCell ref="C122:D122"/>
    <mergeCell ref="C128:D128"/>
    <mergeCell ref="F41:K41"/>
    <mergeCell ref="F86:K86"/>
    <mergeCell ref="F87:K87"/>
    <mergeCell ref="C79:D79"/>
    <mergeCell ref="C80:D80"/>
    <mergeCell ref="F48:K48"/>
    <mergeCell ref="F58:K58"/>
    <mergeCell ref="C106:D106"/>
    <mergeCell ref="C107:D107"/>
    <mergeCell ref="C78:D78"/>
    <mergeCell ref="C82:D82"/>
    <mergeCell ref="C75:D75"/>
    <mergeCell ref="C76:D76"/>
    <mergeCell ref="C77:D77"/>
    <mergeCell ref="F134:K134"/>
    <mergeCell ref="C137:D137"/>
    <mergeCell ref="C139:D139"/>
    <mergeCell ref="B144:D144"/>
    <mergeCell ref="B145:D145"/>
    <mergeCell ref="C140:D140"/>
    <mergeCell ref="C136:D136"/>
    <mergeCell ref="C135:D135"/>
    <mergeCell ref="C141:D141"/>
    <mergeCell ref="C138:D138"/>
    <mergeCell ref="B147:D147"/>
    <mergeCell ref="B148:D148"/>
    <mergeCell ref="B150:D150"/>
    <mergeCell ref="B146:D146"/>
    <mergeCell ref="C149:D149"/>
  </mergeCells>
  <conditionalFormatting sqref="A1:D3">
    <cfRule type="containsText" dxfId="348" priority="2" stopIfTrue="1" operator="containsText" text="Enter">
      <formula>NOT(ISERROR(SEARCH("Enter",A1)))</formula>
    </cfRule>
  </conditionalFormatting>
  <conditionalFormatting sqref="E84:F84 H84 J84">
    <cfRule type="containsText" dxfId="347" priority="1" stopIfTrue="1" operator="containsText" text="Total must equal amount in Cell E63 Above">
      <formula>NOT(ISERROR(SEARCH("Total must equal amount in Cell E63 Above",E84)))</formula>
    </cfRule>
  </conditionalFormatting>
  <pageMargins left="0.7" right="0.7" top="0.75" bottom="0.75" header="0.3" footer="0.3"/>
  <pageSetup scale="62" fitToHeight="0" orientation="landscape" r:id="rId1"/>
  <headerFooter>
    <oddFooter>Page &amp;P of &amp;N</oddFooter>
  </headerFooter>
  <rowBreaks count="3" manualBreakCount="3">
    <brk id="47" max="10" man="1"/>
    <brk id="85" max="10" man="1"/>
    <brk id="133" max="16383" man="1"/>
  </rowBreaks>
  <customProperties>
    <customPr name="DrillPoint.FROID" r:id="rId2"/>
    <customPr name="DrillPoint.Mode" r:id="rId3"/>
    <customPr name="DrillPoint.Subsheet" r:id="rId4"/>
  </customProperties>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tabColor theme="6" tint="-0.249977111117893"/>
    <pageSetUpPr autoPageBreaks="0" fitToPage="1"/>
  </sheetPr>
  <dimension ref="A1:AC85"/>
  <sheetViews>
    <sheetView showGridLines="0" zoomScaleNormal="100" zoomScaleSheetLayoutView="100" workbookViewId="0">
      <pane xSplit="4" ySplit="10" topLeftCell="E37" activePane="bottomRight" state="frozen"/>
      <selection pane="topRight" activeCell="H25" sqref="H25"/>
      <selection pane="bottomLeft" activeCell="H25" sqref="H25"/>
      <selection pane="bottomRight" activeCell="F49" sqref="F49"/>
    </sheetView>
  </sheetViews>
  <sheetFormatPr defaultRowHeight="12.75"/>
  <cols>
    <col min="1" max="1" width="5.42578125" customWidth="1"/>
    <col min="2" max="2" width="3.85546875" customWidth="1"/>
    <col min="3" max="3" width="82" customWidth="1"/>
    <col min="4" max="4" width="10.42578125" customWidth="1"/>
    <col min="5" max="6" width="14.5703125" customWidth="1"/>
    <col min="7" max="7" width="10.5703125" customWidth="1"/>
    <col min="8" max="8" width="14.5703125" customWidth="1"/>
    <col min="9" max="9" width="10.5703125" customWidth="1"/>
    <col min="10" max="10" width="14.5703125" customWidth="1"/>
    <col min="11" max="11" width="10.5703125" customWidth="1"/>
    <col min="12" max="12" width="4" style="1212" customWidth="1"/>
    <col min="13" max="13" width="3.7109375" customWidth="1"/>
    <col min="14" max="14" width="3.140625" customWidth="1"/>
    <col min="15" max="22" width="9.140625" customWidth="1"/>
    <col min="23" max="23" width="3.7109375" customWidth="1"/>
    <col min="24" max="24" width="3.140625" customWidth="1"/>
    <col min="25" max="35" width="9.140625" customWidth="1"/>
  </cols>
  <sheetData>
    <row r="1" spans="1:19" ht="15.75">
      <c r="A1" s="1636" t="str">
        <f>IF('BUDGET-CERTIFICATION'!$H$1="","CHARTER NAME: Enter Charter Name on BUDGET-CERTIFICATION Worksheet",(CONCATENATE("CHARTER NAME: ",'BUDGET-CERTIFICATION'!$H$1)))</f>
        <v>CHARTER NAME: Encore High School -</v>
      </c>
      <c r="B1" s="1636"/>
      <c r="C1" s="1636"/>
      <c r="D1" s="1636"/>
      <c r="E1" s="11"/>
      <c r="F1" s="11"/>
      <c r="G1" s="157"/>
      <c r="H1" s="11"/>
      <c r="I1" s="156"/>
      <c r="J1" s="1"/>
      <c r="K1" s="158"/>
      <c r="M1" s="1212"/>
      <c r="N1" s="1212"/>
      <c r="O1" s="1212"/>
      <c r="P1" s="1212"/>
      <c r="Q1" s="1212"/>
      <c r="R1" s="1212"/>
      <c r="S1" s="1212"/>
    </row>
    <row r="2" spans="1:19" ht="15.75">
      <c r="A2" s="1636" t="str">
        <f>IF('BUDGET-CERTIFICATION'!$H$2="","CDS #: Enter Charter CDS # on BUDGET-CERTIFICATION Worksheet",(_xlfn.CONCAT("CDS #: ",'BUDGET-CERTIFICATION'!$H$2)))</f>
        <v>CDS #: 35-75044-01166707</v>
      </c>
      <c r="B2" s="1636"/>
      <c r="C2" s="1636"/>
      <c r="D2" s="1636"/>
      <c r="E2" s="11"/>
      <c r="F2" s="81"/>
      <c r="G2" s="157"/>
      <c r="H2" s="81"/>
      <c r="I2" s="157"/>
      <c r="J2" s="1"/>
      <c r="K2" s="158"/>
      <c r="M2" s="1212"/>
      <c r="N2" s="1212"/>
      <c r="O2" s="1212"/>
      <c r="P2" s="1212"/>
      <c r="Q2" s="1212"/>
      <c r="R2" s="1212"/>
      <c r="S2" s="1212"/>
    </row>
    <row r="3" spans="1:19" ht="15.75">
      <c r="A3" s="1636" t="str">
        <f>IF('BUDGET-CERTIFICATION'!$H$5="","CHARTER #: Enter Charter # on BUDGET-CERTIFICATION Worksheet",(_xlfn.CONCAT("CHARTER #: ",'BUDGET-CERTIFICATION'!$H$5)))</f>
        <v>CHARTER #: 971</v>
      </c>
      <c r="B3" s="1636"/>
      <c r="C3" s="1636"/>
      <c r="D3" s="1636"/>
      <c r="E3" s="11"/>
      <c r="F3" s="11"/>
      <c r="G3" s="156"/>
      <c r="H3" s="11"/>
      <c r="I3" s="156"/>
      <c r="J3" s="1"/>
      <c r="K3" s="158"/>
      <c r="M3" s="1212"/>
      <c r="N3" s="1212"/>
      <c r="O3" s="1212"/>
      <c r="P3" s="1212"/>
      <c r="Q3" s="1212"/>
      <c r="R3" s="1212"/>
      <c r="S3" s="1212"/>
    </row>
    <row r="4" spans="1:19" ht="15.75">
      <c r="A4" s="2"/>
      <c r="B4" s="52"/>
      <c r="C4" s="52"/>
      <c r="D4" s="159" t="str">
        <f>'Budget-ADA'!I4</f>
        <v>Fiscal Year 2021-22 Budget</v>
      </c>
      <c r="E4" s="52"/>
      <c r="F4" s="52"/>
      <c r="G4" s="52"/>
      <c r="H4" s="52"/>
      <c r="I4" s="52"/>
      <c r="J4" s="52"/>
      <c r="K4" s="52"/>
      <c r="M4" s="1212"/>
      <c r="N4" s="1212"/>
      <c r="O4" s="1212"/>
      <c r="P4" s="1212"/>
      <c r="Q4" s="1212"/>
      <c r="R4" s="1212"/>
      <c r="S4" s="1212"/>
    </row>
    <row r="5" spans="1:19" ht="15.75">
      <c r="A5" s="11"/>
      <c r="B5" s="11"/>
      <c r="C5" s="52"/>
      <c r="D5" s="159" t="s">
        <v>351</v>
      </c>
      <c r="E5" s="52"/>
      <c r="F5" s="52"/>
      <c r="G5" s="160"/>
      <c r="H5" s="52"/>
      <c r="I5" s="160"/>
      <c r="J5" s="1"/>
      <c r="K5" s="161"/>
      <c r="M5" s="1212"/>
      <c r="N5" s="1212"/>
      <c r="O5" s="1212"/>
      <c r="P5" s="1212"/>
      <c r="Q5" s="1212"/>
      <c r="R5" s="1212"/>
      <c r="S5" s="1212"/>
    </row>
    <row r="6" spans="1:19" ht="16.5" thickBot="1">
      <c r="A6" s="1089" t="str">
        <f>Instructions!H1</f>
        <v>Rev. 5/28/2021</v>
      </c>
      <c r="B6" s="11"/>
      <c r="C6" s="11"/>
      <c r="D6" s="11"/>
      <c r="E6" s="11"/>
      <c r="F6" s="11"/>
      <c r="G6" s="156"/>
      <c r="H6" s="11"/>
      <c r="I6" s="156"/>
      <c r="J6" s="1"/>
      <c r="K6" s="158"/>
      <c r="M6" s="1212"/>
      <c r="N6" s="1212"/>
      <c r="O6" s="1212"/>
      <c r="P6" s="1212"/>
      <c r="Q6" s="1212"/>
      <c r="R6" s="1212"/>
      <c r="S6" s="1212"/>
    </row>
    <row r="7" spans="1:19" ht="15.75">
      <c r="A7" s="241"/>
      <c r="B7" s="236"/>
      <c r="C7" s="236"/>
      <c r="D7" s="298"/>
      <c r="E7" s="299"/>
      <c r="F7" s="299"/>
      <c r="G7" s="300"/>
      <c r="H7" s="299" t="s">
        <v>103</v>
      </c>
      <c r="I7" s="300"/>
      <c r="J7" s="299" t="s">
        <v>103</v>
      </c>
      <c r="K7" s="301"/>
      <c r="M7" s="1212"/>
      <c r="N7" s="1212"/>
      <c r="O7" s="1212"/>
      <c r="P7" s="1212"/>
      <c r="Q7" s="1212"/>
      <c r="R7" s="1212"/>
      <c r="S7" s="1212"/>
    </row>
    <row r="8" spans="1:19" ht="15.75">
      <c r="A8" s="1696" t="s">
        <v>228</v>
      </c>
      <c r="B8" s="1697"/>
      <c r="C8" s="1697"/>
      <c r="D8" s="53"/>
      <c r="E8" s="13" t="s">
        <v>229</v>
      </c>
      <c r="F8" s="13" t="s">
        <v>230</v>
      </c>
      <c r="G8" s="162" t="s">
        <v>231</v>
      </c>
      <c r="H8" s="13" t="s">
        <v>232</v>
      </c>
      <c r="I8" s="162" t="s">
        <v>231</v>
      </c>
      <c r="J8" s="13" t="s">
        <v>232</v>
      </c>
      <c r="K8" s="302" t="s">
        <v>231</v>
      </c>
      <c r="M8" s="1212"/>
      <c r="N8" s="1212"/>
      <c r="O8" s="1212"/>
      <c r="P8" s="1212"/>
      <c r="Q8" s="1212"/>
      <c r="R8" s="1212"/>
      <c r="S8" s="1212"/>
    </row>
    <row r="9" spans="1:19" ht="15.75">
      <c r="A9" s="67"/>
      <c r="B9" s="1"/>
      <c r="C9" s="1"/>
      <c r="D9" s="53"/>
      <c r="E9" s="13" t="s">
        <v>233</v>
      </c>
      <c r="F9" s="13" t="s">
        <v>234</v>
      </c>
      <c r="G9" s="162" t="s">
        <v>161</v>
      </c>
      <c r="H9" s="13" t="s">
        <v>234</v>
      </c>
      <c r="I9" s="162" t="s">
        <v>161</v>
      </c>
      <c r="J9" s="13" t="s">
        <v>234</v>
      </c>
      <c r="K9" s="302" t="s">
        <v>161</v>
      </c>
      <c r="M9" s="1212"/>
      <c r="N9" s="1212"/>
      <c r="O9" s="1212"/>
      <c r="P9" s="1212"/>
      <c r="Q9" s="1212"/>
      <c r="R9" s="1212"/>
      <c r="S9" s="1212"/>
    </row>
    <row r="10" spans="1:19" ht="16.5" thickBot="1">
      <c r="A10" s="303"/>
      <c r="B10" s="163"/>
      <c r="C10" s="163"/>
      <c r="D10" s="54"/>
      <c r="E10" s="14" t="str">
        <f>'Budget-Restricted MYP'!E10</f>
        <v>2020-21</v>
      </c>
      <c r="F10" s="14" t="str">
        <f>'Budget-Restricted MYP'!F10</f>
        <v>2021-22</v>
      </c>
      <c r="G10" s="164"/>
      <c r="H10" s="14" t="str">
        <f>'Budget-Restricted MYP'!H10</f>
        <v>2022-23</v>
      </c>
      <c r="I10" s="164"/>
      <c r="J10" s="14" t="str">
        <f>'Budget-Restricted MYP'!J10</f>
        <v>2023-24</v>
      </c>
      <c r="K10" s="304"/>
      <c r="M10" s="1212"/>
      <c r="N10" s="1212"/>
      <c r="O10" s="1212"/>
      <c r="P10" s="1212"/>
      <c r="Q10" s="1212"/>
      <c r="R10" s="1212"/>
      <c r="S10" s="1212"/>
    </row>
    <row r="11" spans="1:19" ht="16.5" thickTop="1">
      <c r="A11" s="305" t="s">
        <v>235</v>
      </c>
      <c r="B11" s="1"/>
      <c r="C11" s="1"/>
      <c r="D11" s="336"/>
      <c r="E11" s="12"/>
      <c r="F11" s="1714"/>
      <c r="G11" s="1714"/>
      <c r="H11" s="1714"/>
      <c r="I11" s="1714"/>
      <c r="J11" s="1714"/>
      <c r="K11" s="1715"/>
      <c r="M11" s="1212"/>
      <c r="N11" s="1212"/>
      <c r="O11" s="1212"/>
      <c r="P11" s="1212"/>
      <c r="Q11" s="1212"/>
      <c r="R11" s="1212"/>
      <c r="S11" s="1212"/>
    </row>
    <row r="12" spans="1:19" ht="15.75">
      <c r="A12" s="305"/>
      <c r="B12" s="146" t="s">
        <v>236</v>
      </c>
      <c r="C12" s="140"/>
      <c r="D12" s="140"/>
      <c r="E12" s="364"/>
      <c r="F12" s="1746"/>
      <c r="G12" s="1746"/>
      <c r="H12" s="1746"/>
      <c r="I12" s="1746"/>
      <c r="J12" s="1746"/>
      <c r="K12" s="1747"/>
      <c r="M12" s="1212"/>
      <c r="N12" s="1212"/>
      <c r="O12" s="1212"/>
      <c r="P12" s="1212"/>
      <c r="Q12" s="1212"/>
      <c r="R12" s="1212"/>
      <c r="S12" s="1212"/>
    </row>
    <row r="13" spans="1:19" ht="15.75">
      <c r="A13" s="305"/>
      <c r="B13" s="146"/>
      <c r="C13" s="279" t="s">
        <v>237</v>
      </c>
      <c r="D13" s="345">
        <v>8011</v>
      </c>
      <c r="E13" s="758">
        <f>'Budget-Unrestricted MYP'!E13+'Budget-Restricted MYP'!E13</f>
        <v>6902334</v>
      </c>
      <c r="F13" s="759">
        <f>'Budget-Unrestricted MYP'!F13+'Budget-Restricted MYP'!F13</f>
        <v>6570869</v>
      </c>
      <c r="G13" s="49">
        <f>IF(E13&lt;1," ",IF(F13&lt;1," ",(F13-E13)/E13))</f>
        <v>-4.8022161778899716E-2</v>
      </c>
      <c r="H13" s="761">
        <f>'Budget-Unrestricted MYP'!H13+'Budget-Restricted MYP'!H13</f>
        <v>8812554</v>
      </c>
      <c r="I13" s="49">
        <f>IF(F13&lt;1," ",IF(H13&lt;1," ",(H13-F13)/F13))</f>
        <v>0.34115502835317518</v>
      </c>
      <c r="J13" s="761">
        <f>'Budget-Unrestricted MYP'!J13+'Budget-Restricted MYP'!J13</f>
        <v>9086438</v>
      </c>
      <c r="K13" s="365">
        <f>IF(H13&lt;1," ",IF(J13&lt;1," ",(J13-H13)/H13))</f>
        <v>3.1078845020410657E-2</v>
      </c>
      <c r="M13" s="1212"/>
      <c r="N13" s="1212"/>
      <c r="O13" s="1212"/>
      <c r="P13" s="1212"/>
      <c r="Q13" s="1212"/>
      <c r="R13" s="1212"/>
      <c r="S13" s="1212"/>
    </row>
    <row r="14" spans="1:19" ht="15.75">
      <c r="A14" s="305"/>
      <c r="B14" s="146"/>
      <c r="C14" s="279" t="s">
        <v>239</v>
      </c>
      <c r="D14" s="345">
        <v>8012</v>
      </c>
      <c r="E14" s="758">
        <f>'Budget-Unrestricted MYP'!E14+'Budget-Restricted MYP'!E14</f>
        <v>1969435</v>
      </c>
      <c r="F14" s="759">
        <f>'Budget-Unrestricted MYP'!F14+'Budget-Restricted MYP'!F14</f>
        <v>1743325</v>
      </c>
      <c r="G14" s="49">
        <f>IF(E14&lt;1," ",IF(F14&lt;1," ",(F14-E14)/E14))</f>
        <v>-0.11480957736609738</v>
      </c>
      <c r="H14" s="761">
        <f>'Budget-Unrestricted MYP'!H14+'Budget-Restricted MYP'!H14</f>
        <v>0</v>
      </c>
      <c r="I14" s="49" t="str">
        <f>IF(F14&lt;1," ",IF(H14&lt;1," ",(H14-F14)/F14))</f>
        <v xml:space="preserve"> </v>
      </c>
      <c r="J14" s="762">
        <f>'Budget-Unrestricted MYP'!J14+'Budget-Restricted MYP'!J14</f>
        <v>0</v>
      </c>
      <c r="K14" s="365" t="str">
        <f>IF(H14&lt;1," ",IF(J14&lt;1," ",(J14-H14)/H14))</f>
        <v xml:space="preserve"> </v>
      </c>
      <c r="M14" s="1212"/>
      <c r="N14" s="1212"/>
      <c r="O14" s="1212"/>
      <c r="P14" s="1212"/>
      <c r="Q14" s="1212"/>
      <c r="R14" s="1212"/>
      <c r="S14" s="1212"/>
    </row>
    <row r="15" spans="1:19" ht="15.75">
      <c r="A15" s="67"/>
      <c r="B15" s="146"/>
      <c r="C15" s="279" t="s">
        <v>240</v>
      </c>
      <c r="D15" s="345">
        <v>8019</v>
      </c>
      <c r="E15" s="758">
        <f>'Budget-Unrestricted MYP'!E15+'Budget-Restricted MYP'!E15</f>
        <v>-46472</v>
      </c>
      <c r="F15" s="759">
        <f>'Budget-Unrestricted MYP'!F15+'Budget-Restricted MYP'!F15</f>
        <v>0</v>
      </c>
      <c r="G15" s="49" t="str">
        <f>IF(E15&lt;1," ",IF(F15&lt;1," ",(F15-E15)/E15))</f>
        <v xml:space="preserve"> </v>
      </c>
      <c r="H15" s="761">
        <f>'Budget-Unrestricted MYP'!H15+'Budget-Restricted MYP'!H15</f>
        <v>0</v>
      </c>
      <c r="I15" s="49" t="str">
        <f>IF(F15&lt;1," ",IF(H15&lt;1," ",(H15-F15)/F15))</f>
        <v xml:space="preserve"> </v>
      </c>
      <c r="J15" s="762">
        <f>'Budget-Unrestricted MYP'!J15+'Budget-Restricted MYP'!J15</f>
        <v>0</v>
      </c>
      <c r="K15" s="365" t="str">
        <f>IF(H15&lt;1," ",IF(J15&lt;1," ",(J15-H15)/H15))</f>
        <v xml:space="preserve"> </v>
      </c>
      <c r="M15" s="1212"/>
      <c r="N15" s="1212"/>
      <c r="O15" s="1212"/>
      <c r="P15" s="1212"/>
      <c r="Q15" s="1212"/>
      <c r="R15" s="1212"/>
      <c r="S15" s="1212"/>
    </row>
    <row r="16" spans="1:19" ht="15.75">
      <c r="A16" s="67"/>
      <c r="B16" s="146"/>
      <c r="C16" s="279" t="s">
        <v>241</v>
      </c>
      <c r="D16" s="345">
        <v>8096</v>
      </c>
      <c r="E16" s="758">
        <f>'Budget-Unrestricted MYP'!E16+'Budget-Restricted MYP'!E16</f>
        <v>333656</v>
      </c>
      <c r="F16" s="759">
        <f>'Budget-Unrestricted MYP'!F16+'Budget-Restricted MYP'!F16</f>
        <v>295369</v>
      </c>
      <c r="G16" s="49">
        <f>IF(E16&lt;1," ",IF(F16&lt;1," ",(F16-E16)/E16))</f>
        <v>-0.11474992207543099</v>
      </c>
      <c r="H16" s="762">
        <f>'Budget-Unrestricted MYP'!H16+'Budget-Restricted MYP'!H16</f>
        <v>0</v>
      </c>
      <c r="I16" s="30" t="str">
        <f>IF(F16&lt;1," ",IF(H16&lt;1," ",(H16-F16)/F16))</f>
        <v xml:space="preserve"> </v>
      </c>
      <c r="J16" s="762">
        <f>'Budget-Unrestricted MYP'!J16+'Budget-Restricted MYP'!J16</f>
        <v>0</v>
      </c>
      <c r="K16" s="310" t="str">
        <f>IF(H16&lt;1," ",IF(J16&lt;1," ",(J16-H16)/H16))</f>
        <v xml:space="preserve"> </v>
      </c>
      <c r="M16" s="1212"/>
      <c r="N16" s="1212"/>
      <c r="O16" s="1212"/>
      <c r="P16" s="1212"/>
      <c r="Q16" s="1212"/>
      <c r="R16" s="1212"/>
      <c r="S16" s="1212"/>
    </row>
    <row r="17" spans="1:19" ht="15.75">
      <c r="A17" s="67"/>
      <c r="B17" s="146" t="s">
        <v>242</v>
      </c>
      <c r="C17" s="279"/>
      <c r="D17" s="345" t="s">
        <v>243</v>
      </c>
      <c r="E17" s="758">
        <f>'Budget-Unrestricted MYP'!E17+'Budget-Restricted MYP'!E17</f>
        <v>1209130.8400000001</v>
      </c>
      <c r="F17" s="760">
        <f>'Budget-Unrestricted MYP'!F17+'Budget-Restricted MYP'!F17</f>
        <v>1235086</v>
      </c>
      <c r="G17" s="49">
        <f>IF(E17&lt;1," ",IF(F17&lt;1," ",(F17-E17)/E17))</f>
        <v>2.1465964758619435E-2</v>
      </c>
      <c r="H17" s="758">
        <f>'Budget-Unrestricted MYP'!H17+'Budget-Restricted MYP'!H17</f>
        <v>1561693.3</v>
      </c>
      <c r="I17" s="30">
        <f>IF(F17&lt;1," ",IF(H17&lt;1," ",(H17-F17)/F17))</f>
        <v>0.26444093771607813</v>
      </c>
      <c r="J17" s="758">
        <f>'Budget-Unrestricted MYP'!J17+'Budget-Restricted MYP'!J17</f>
        <v>929257.3</v>
      </c>
      <c r="K17" s="310">
        <f>IF(H17&lt;1," ",IF(J17&lt;1," ",(J17-H17)/H17))</f>
        <v>-0.40496812018083189</v>
      </c>
      <c r="M17" s="1212"/>
      <c r="N17" s="1212"/>
      <c r="O17" s="1212"/>
      <c r="P17" s="1212"/>
      <c r="Q17" s="1212"/>
      <c r="R17" s="1212"/>
      <c r="S17" s="1212"/>
    </row>
    <row r="18" spans="1:19" ht="15.75">
      <c r="A18" s="67"/>
      <c r="B18" s="146" t="s">
        <v>244</v>
      </c>
      <c r="C18" s="140"/>
      <c r="D18" s="140"/>
      <c r="E18" s="80"/>
      <c r="F18" s="80"/>
      <c r="G18" s="633"/>
      <c r="H18" s="80"/>
      <c r="I18" s="633"/>
      <c r="J18" s="80"/>
      <c r="K18" s="637"/>
      <c r="M18" s="1212"/>
      <c r="N18" s="1212"/>
      <c r="O18" s="1212"/>
      <c r="P18" s="1212"/>
      <c r="Q18" s="1212"/>
      <c r="R18" s="1212"/>
      <c r="S18" s="1212"/>
    </row>
    <row r="19" spans="1:19" ht="15.75">
      <c r="A19" s="67"/>
      <c r="B19" s="146"/>
      <c r="C19" s="279" t="s">
        <v>245</v>
      </c>
      <c r="D19" s="345">
        <v>8560</v>
      </c>
      <c r="E19" s="758">
        <f>'Budget-Unrestricted MYP'!E19+'Budget-Restricted MYP'!E19</f>
        <v>134890.5</v>
      </c>
      <c r="F19" s="759">
        <f>'Budget-Unrestricted MYP'!F19+'Budget-Restricted MYP'!F19</f>
        <v>124721.05751999999</v>
      </c>
      <c r="G19" s="49">
        <f>IF(E19&lt;1," ",IF(F19&lt;1," ",(F19-E19)/E19))</f>
        <v>-7.5390353508957356E-2</v>
      </c>
      <c r="H19" s="764">
        <f>'Budget-Unrestricted MYP'!H19+'Budget-Restricted MYP'!H19</f>
        <v>124721.05751999999</v>
      </c>
      <c r="I19" s="30">
        <f>IF(F19&lt;1," ",IF(H19&lt;1," ",(H19-F19)/F19))</f>
        <v>0</v>
      </c>
      <c r="J19" s="762">
        <f>'Budget-Unrestricted MYP'!J19+'Budget-Restricted MYP'!J19</f>
        <v>124721.05751999999</v>
      </c>
      <c r="K19" s="310">
        <f>IF(H19&lt;1," ",IF(J19&lt;1," ",(J19-H19)/H19))</f>
        <v>0</v>
      </c>
      <c r="M19" s="1212"/>
      <c r="N19" s="1212"/>
      <c r="O19" s="1212"/>
      <c r="P19" s="1212"/>
      <c r="Q19" s="1212"/>
      <c r="R19" s="1212"/>
      <c r="S19" s="1212"/>
    </row>
    <row r="20" spans="1:19" ht="15.75">
      <c r="A20" s="67"/>
      <c r="B20" s="146"/>
      <c r="C20" s="279" t="s">
        <v>246</v>
      </c>
      <c r="D20" s="345">
        <v>8560</v>
      </c>
      <c r="E20" s="763">
        <f>'Budget-Unrestricted MYP'!E20+'Budget-Restricted MYP'!E20</f>
        <v>44064.23</v>
      </c>
      <c r="F20" s="760">
        <f>'Budget-Unrestricted MYP'!F20+'Budget-Restricted MYP'!F20</f>
        <v>40742.212123199999</v>
      </c>
      <c r="G20" s="30">
        <f>IF(E20&lt;1," ",IF(F20&lt;1," ",(F20-E20)/E20))</f>
        <v>-7.5390353508957356E-2</v>
      </c>
      <c r="H20" s="764">
        <f>'Budget-Unrestricted MYP'!H20+'Budget-Restricted MYP'!H20</f>
        <v>40742.212123199999</v>
      </c>
      <c r="I20" s="30">
        <f>IF(F20&lt;1," ",IF(H20&lt;1," ",(H20-F20)/F20))</f>
        <v>0</v>
      </c>
      <c r="J20" s="762">
        <f>'Budget-Unrestricted MYP'!J20+'Budget-Restricted MYP'!J20</f>
        <v>40742.212123199999</v>
      </c>
      <c r="K20" s="310">
        <f>IF(H20&lt;1," ",IF(J20&lt;1," ",(J20-H20)/H20))</f>
        <v>0</v>
      </c>
      <c r="M20" s="1212"/>
      <c r="N20" s="1212"/>
      <c r="O20" s="1212"/>
      <c r="P20" s="1212"/>
      <c r="Q20" s="1212"/>
      <c r="R20" s="1212"/>
      <c r="S20" s="1212"/>
    </row>
    <row r="21" spans="1:19" ht="15.75">
      <c r="A21" s="67"/>
      <c r="B21" s="146"/>
      <c r="C21" s="279" t="s">
        <v>247</v>
      </c>
      <c r="D21" s="345" t="s">
        <v>248</v>
      </c>
      <c r="E21" s="758">
        <f>'Budget-Unrestricted MYP'!E21+'Budget-Restricted MYP'!E21</f>
        <v>1396800.87</v>
      </c>
      <c r="F21" s="759">
        <f>'Budget-Unrestricted MYP'!F21+'Budget-Restricted MYP'!F21</f>
        <v>1411056.1600000001</v>
      </c>
      <c r="G21" s="49">
        <f>IF(E21&lt;1," ",IF(F21&lt;1," ",(F21-E21)/E21))</f>
        <v>1.0205670905688967E-2</v>
      </c>
      <c r="H21" s="761">
        <f>'Budget-Unrestricted MYP'!H21+'Budget-Restricted MYP'!H21</f>
        <v>987858.04</v>
      </c>
      <c r="I21" s="30">
        <f>IF(F21&lt;1," ",IF(H21&lt;1," ",(H21-F21)/F21))</f>
        <v>-0.29991585877063892</v>
      </c>
      <c r="J21" s="762">
        <f>'Budget-Unrestricted MYP'!J21+'Budget-Restricted MYP'!J21</f>
        <v>1122456.4800000002</v>
      </c>
      <c r="K21" s="310">
        <f>IF(H21&lt;1," ",IF(J21&lt;1," ",(J21-H21)/H21))</f>
        <v>0.13625281624473104</v>
      </c>
      <c r="M21" s="1212"/>
      <c r="N21" s="1212"/>
      <c r="O21" s="1212"/>
      <c r="P21" s="1212"/>
      <c r="Q21" s="1212"/>
      <c r="R21" s="1212"/>
      <c r="S21" s="1212"/>
    </row>
    <row r="22" spans="1:19" ht="15.75">
      <c r="A22" s="67"/>
      <c r="B22" s="146" t="s">
        <v>249</v>
      </c>
      <c r="C22" s="140"/>
      <c r="D22" s="140"/>
      <c r="E22" s="80"/>
      <c r="F22" s="80"/>
      <c r="G22" s="633"/>
      <c r="H22" s="80"/>
      <c r="I22" s="633"/>
      <c r="J22" s="80"/>
      <c r="K22" s="637"/>
      <c r="M22" s="1212"/>
      <c r="N22" s="1212"/>
      <c r="O22" s="1212"/>
      <c r="P22" s="1212"/>
      <c r="Q22" s="1212"/>
      <c r="R22" s="1212"/>
      <c r="S22" s="1212"/>
    </row>
    <row r="23" spans="1:19" ht="15.75">
      <c r="A23" s="67"/>
      <c r="B23" s="146"/>
      <c r="C23" s="279" t="s">
        <v>250</v>
      </c>
      <c r="D23" s="345">
        <v>8660</v>
      </c>
      <c r="E23" s="758">
        <f>'Budget-Unrestricted MYP'!E23+'Budget-Restricted MYP'!E23</f>
        <v>172708</v>
      </c>
      <c r="F23" s="760">
        <f>'Budget-Unrestricted MYP'!F23+'Budget-Restricted MYP'!F23</f>
        <v>0</v>
      </c>
      <c r="G23" s="49" t="str">
        <f>IF(E23&lt;1," ",IF(F23&lt;1," ",(F23-E23)/E23))</f>
        <v xml:space="preserve"> </v>
      </c>
      <c r="H23" s="761">
        <f>'Budget-Unrestricted MYP'!H23+'Budget-Restricted MYP'!H23</f>
        <v>0</v>
      </c>
      <c r="I23" s="30" t="str">
        <f>IF(F23&lt;1," ",IF(H23&lt;1," ",(H23-F23)/F23))</f>
        <v xml:space="preserve"> </v>
      </c>
      <c r="J23" s="762">
        <f>'Budget-Unrestricted MYP'!J23+'Budget-Restricted MYP'!J23</f>
        <v>0</v>
      </c>
      <c r="K23" s="310" t="str">
        <f>IF(H23&lt;1," ",IF(J23&lt;1," ",(J23-H23)/H23))</f>
        <v xml:space="preserve"> </v>
      </c>
      <c r="M23" s="1212"/>
      <c r="N23" s="1212"/>
      <c r="O23" s="1212"/>
      <c r="P23" s="1212"/>
      <c r="Q23" s="1212"/>
      <c r="R23" s="1212"/>
      <c r="S23" s="1212"/>
    </row>
    <row r="24" spans="1:19" ht="15.75">
      <c r="A24" s="67"/>
      <c r="B24" s="146"/>
      <c r="C24" s="279" t="s">
        <v>251</v>
      </c>
      <c r="D24" s="345">
        <v>8792</v>
      </c>
      <c r="E24" s="758">
        <f>'Budget-Unrestricted MYP'!E24+'Budget-Restricted MYP'!E24</f>
        <v>407422</v>
      </c>
      <c r="F24" s="758">
        <f>'Budget-Unrestricted MYP'!F24+'Budget-Restricted MYP'!F24</f>
        <v>497550</v>
      </c>
      <c r="G24" s="30">
        <f>IF(E24&lt;1," ",IF(F24&lt;1," ",(F24-E24)/E24))</f>
        <v>0.22121534919567426</v>
      </c>
      <c r="H24" s="761">
        <f>'Budget-Unrestricted MYP'!H24+'Budget-Restricted MYP'!H24</f>
        <v>512447</v>
      </c>
      <c r="I24" s="30">
        <f>IF(F24&lt;1," ",IF(H24&lt;1," ",(H24-F24)/F24))</f>
        <v>2.994070947643453E-2</v>
      </c>
      <c r="J24" s="762">
        <f>'Budget-Unrestricted MYP'!J24+'Budget-Restricted MYP'!J24</f>
        <v>527851</v>
      </c>
      <c r="K24" s="310">
        <f>IF(H24&lt;1," ",IF(J24&lt;1," ",(J24-H24)/H24))</f>
        <v>3.0059693978108957E-2</v>
      </c>
      <c r="M24" s="1212"/>
      <c r="N24" s="1212"/>
      <c r="O24" s="1212"/>
      <c r="P24" s="1212"/>
      <c r="Q24" s="1212"/>
      <c r="R24" s="1212"/>
      <c r="S24" s="1212"/>
    </row>
    <row r="25" spans="1:19" ht="16.5" thickBot="1">
      <c r="A25" s="67"/>
      <c r="B25" s="896"/>
      <c r="C25" s="929" t="s">
        <v>252</v>
      </c>
      <c r="D25" s="930" t="s">
        <v>253</v>
      </c>
      <c r="E25" s="812">
        <f>'Budget-Unrestricted MYP'!E25+'Budget-Restricted MYP'!E25</f>
        <v>170441.34</v>
      </c>
      <c r="F25" s="765">
        <f>'Budget-Unrestricted MYP'!F25+'Budget-Restricted MYP'!F25</f>
        <v>2007500</v>
      </c>
      <c r="G25" s="593">
        <f>IF(E25&lt;1," ",IF(F25&lt;1," ",(F25-E25)/E25))</f>
        <v>10.778245817593314</v>
      </c>
      <c r="H25" s="766">
        <f>'Budget-Unrestricted MYP'!H25+'Budget-Restricted MYP'!H25</f>
        <v>167725</v>
      </c>
      <c r="I25" s="95">
        <f>IF(F25&lt;1," ",IF(H25&lt;1," ",(H25-F25)/F25))</f>
        <v>-0.91645080946450808</v>
      </c>
      <c r="J25" s="766">
        <f>'Budget-Unrestricted MYP'!J25+'Budget-Restricted MYP'!J25</f>
        <v>172756.75</v>
      </c>
      <c r="K25" s="311">
        <f>IF(H25&lt;1," ",IF(J25&lt;1," ",(J25-H25)/H25))</f>
        <v>0.03</v>
      </c>
      <c r="M25" s="1212"/>
      <c r="N25" s="1212"/>
      <c r="O25" s="1212"/>
      <c r="P25" s="1212"/>
      <c r="Q25" s="1212"/>
      <c r="R25" s="1212"/>
      <c r="S25" s="1212"/>
    </row>
    <row r="26" spans="1:19" ht="17.25" thickTop="1" thickBot="1">
      <c r="A26" s="67"/>
      <c r="B26" s="1730" t="s">
        <v>254</v>
      </c>
      <c r="C26" s="1731"/>
      <c r="D26" s="1732"/>
      <c r="E26" s="897">
        <f>SUM(E13:E25)</f>
        <v>12694410.780000001</v>
      </c>
      <c r="F26" s="897">
        <f>SUM(F13:F25)</f>
        <v>13926218.429643201</v>
      </c>
      <c r="G26" s="898">
        <f>IF(E26&lt;1," ",IF(F26&lt;1," ",(F26-E26)/E26))</f>
        <v>9.7035433230497639E-2</v>
      </c>
      <c r="H26" s="897">
        <f>SUM(H13:H25)</f>
        <v>12207740.609643202</v>
      </c>
      <c r="I26" s="898">
        <f>IF(F26&lt;1," ",IF(H26&lt;1," ",(H26-F26)/F26))</f>
        <v>-0.12339874092036822</v>
      </c>
      <c r="J26" s="897">
        <f>SUM(J13:J25)</f>
        <v>12004222.799643202</v>
      </c>
      <c r="K26" s="899">
        <f>IF(H26&lt;1," ",IF(J26&lt;1," ",(J26-H26)/H26))</f>
        <v>-1.6671210218804671E-2</v>
      </c>
      <c r="M26" s="1212"/>
      <c r="N26" s="1212"/>
      <c r="O26" s="1212"/>
      <c r="P26" s="1212"/>
      <c r="Q26" s="1212"/>
      <c r="R26" s="1212"/>
      <c r="S26" s="1212"/>
    </row>
    <row r="27" spans="1:19" ht="16.5" thickTop="1">
      <c r="A27" s="67"/>
      <c r="B27" s="1"/>
      <c r="C27" s="1"/>
      <c r="D27" s="1"/>
      <c r="E27" s="268"/>
      <c r="F27" s="1723"/>
      <c r="G27" s="1723"/>
      <c r="H27" s="1723"/>
      <c r="I27" s="1723"/>
      <c r="J27" s="1723"/>
      <c r="K27" s="1724"/>
      <c r="M27" s="1212"/>
      <c r="N27" s="1212"/>
      <c r="O27" s="1212"/>
      <c r="P27" s="1212"/>
      <c r="Q27" s="1212"/>
      <c r="R27" s="1212"/>
      <c r="S27" s="1212"/>
    </row>
    <row r="28" spans="1:19" ht="15.75">
      <c r="A28" s="1739" t="s">
        <v>255</v>
      </c>
      <c r="B28" s="1740"/>
      <c r="C28" s="1740"/>
      <c r="D28" s="154"/>
      <c r="E28" s="82"/>
      <c r="F28" s="1721"/>
      <c r="G28" s="1721"/>
      <c r="H28" s="1721"/>
      <c r="I28" s="1721"/>
      <c r="J28" s="1721"/>
      <c r="K28" s="1722"/>
      <c r="M28" s="1212"/>
      <c r="N28" s="1212"/>
      <c r="O28" s="1212"/>
      <c r="P28" s="1212"/>
      <c r="Q28" s="1212"/>
      <c r="R28" s="1212"/>
      <c r="S28" s="1212"/>
    </row>
    <row r="29" spans="1:19" ht="15.75">
      <c r="A29" s="67"/>
      <c r="B29" s="146" t="s">
        <v>256</v>
      </c>
      <c r="C29" s="279"/>
      <c r="D29" s="278" t="s">
        <v>257</v>
      </c>
      <c r="E29" s="758">
        <f>'Budget-Unrestricted MYP'!E29+'Budget-Restricted MYP'!E29</f>
        <v>2662688.63</v>
      </c>
      <c r="F29" s="767">
        <f>'Budget-Unrestricted MYP'!F29+'Budget-Restricted MYP'!F29</f>
        <v>3107137.0799999996</v>
      </c>
      <c r="G29" s="49">
        <f t="shared" ref="G29:G37" si="0">IF(E29&lt;1," ",IF(F29&lt;1," ",(F29-E29)/E29))</f>
        <v>0.16691716973306028</v>
      </c>
      <c r="H29" s="761">
        <f>'Budget-Unrestricted MYP'!H29+'Budget-Restricted MYP'!H29</f>
        <v>3145351.1924000001</v>
      </c>
      <c r="I29" s="49">
        <f t="shared" ref="I29:I37" si="1">IF(F29&lt;1," ",IF(H29&lt;1," ",(H29-F29)/F29))</f>
        <v>1.2298817662721354E-2</v>
      </c>
      <c r="J29" s="761">
        <f>'Budget-Unrestricted MYP'!J29+'Budget-Restricted MYP'!J29</f>
        <v>3214711.728172001</v>
      </c>
      <c r="K29" s="365">
        <f t="shared" ref="K29:K37" si="2">IF(H29&lt;1," ",IF(J29&lt;1," ",(J29-H29)/H29))</f>
        <v>2.2051761958917115E-2</v>
      </c>
      <c r="M29" s="1212"/>
      <c r="N29" s="1212"/>
      <c r="O29" s="1212"/>
      <c r="P29" s="1212"/>
      <c r="Q29" s="1212"/>
      <c r="R29" s="1212"/>
      <c r="S29" s="1212"/>
    </row>
    <row r="30" spans="1:19" ht="15.75">
      <c r="A30" s="67"/>
      <c r="B30" s="146" t="s">
        <v>258</v>
      </c>
      <c r="C30" s="279"/>
      <c r="D30" s="278" t="s">
        <v>259</v>
      </c>
      <c r="E30" s="758">
        <f>'Budget-Unrestricted MYP'!E30+'Budget-Restricted MYP'!E30</f>
        <v>2088901.56</v>
      </c>
      <c r="F30" s="767">
        <f>'Budget-Unrestricted MYP'!F30+'Budget-Restricted MYP'!F30</f>
        <v>2000593.7250000001</v>
      </c>
      <c r="G30" s="49">
        <f t="shared" si="0"/>
        <v>-4.2274770956655307E-2</v>
      </c>
      <c r="H30" s="761">
        <f>'Budget-Unrestricted MYP'!H30+'Budget-Restricted MYP'!H30</f>
        <v>2035611.5367500002</v>
      </c>
      <c r="I30" s="49">
        <f t="shared" si="1"/>
        <v>1.7503709679985179E-2</v>
      </c>
      <c r="J30" s="761">
        <f>'Budget-Unrestricted MYP'!J30+'Budget-Restricted MYP'!J30</f>
        <v>2096679.8828525003</v>
      </c>
      <c r="K30" s="365">
        <f t="shared" si="2"/>
        <v>3.0000000000000047E-2</v>
      </c>
      <c r="M30" s="1212"/>
      <c r="N30" s="1212"/>
      <c r="O30" s="1212"/>
      <c r="P30" s="1212"/>
      <c r="Q30" s="1212"/>
      <c r="R30" s="1212"/>
      <c r="S30" s="1212"/>
    </row>
    <row r="31" spans="1:19" ht="15.75">
      <c r="A31" s="67"/>
      <c r="B31" s="146" t="s">
        <v>260</v>
      </c>
      <c r="C31" s="279"/>
      <c r="D31" s="278" t="s">
        <v>261</v>
      </c>
      <c r="E31" s="758">
        <f>'Budget-Unrestricted MYP'!E31+'Budget-Restricted MYP'!E31</f>
        <v>1730092</v>
      </c>
      <c r="F31" s="767">
        <f>'Budget-Unrestricted MYP'!F31+'Budget-Restricted MYP'!F31</f>
        <v>1932412.9765118002</v>
      </c>
      <c r="G31" s="49">
        <f t="shared" si="0"/>
        <v>0.11694232243822883</v>
      </c>
      <c r="H31" s="761">
        <f>'Budget-Unrestricted MYP'!H31+'Budget-Restricted MYP'!H31</f>
        <v>2056253.617264003</v>
      </c>
      <c r="I31" s="49">
        <f t="shared" si="1"/>
        <v>6.4086011767395423E-2</v>
      </c>
      <c r="J31" s="761">
        <f>'Budget-Unrestricted MYP'!J31+'Budget-Restricted MYP'!J31</f>
        <v>2151358.5376446149</v>
      </c>
      <c r="K31" s="365">
        <f t="shared" si="2"/>
        <v>4.6251551648164885E-2</v>
      </c>
      <c r="M31" s="1212"/>
      <c r="N31" s="1212"/>
      <c r="O31" s="1212"/>
      <c r="P31" s="1212"/>
      <c r="Q31" s="1212"/>
      <c r="R31" s="1212"/>
      <c r="S31" s="1212"/>
    </row>
    <row r="32" spans="1:19" ht="15.75">
      <c r="A32" s="67"/>
      <c r="B32" s="146" t="s">
        <v>262</v>
      </c>
      <c r="C32" s="279"/>
      <c r="D32" s="278" t="s">
        <v>263</v>
      </c>
      <c r="E32" s="758">
        <f>'Budget-Unrestricted MYP'!E32+'Budget-Restricted MYP'!E32</f>
        <v>943530.02</v>
      </c>
      <c r="F32" s="767">
        <f>'Budget-Unrestricted MYP'!F32+'Budget-Restricted MYP'!F32</f>
        <v>741252.35</v>
      </c>
      <c r="G32" s="49">
        <f t="shared" si="0"/>
        <v>-0.21438392601435197</v>
      </c>
      <c r="H32" s="761">
        <f>'Budget-Unrestricted MYP'!H32+'Budget-Restricted MYP'!H32</f>
        <v>435489.92049999995</v>
      </c>
      <c r="I32" s="49">
        <f t="shared" si="1"/>
        <v>-0.412494381299432</v>
      </c>
      <c r="J32" s="761">
        <f>'Budget-Unrestricted MYP'!J32+'Budget-Restricted MYP'!J32</f>
        <v>448554.61811499996</v>
      </c>
      <c r="K32" s="365">
        <f t="shared" si="2"/>
        <v>3.000000000000003E-2</v>
      </c>
      <c r="M32" s="1212"/>
      <c r="N32" s="1212"/>
      <c r="O32" s="1212"/>
      <c r="P32" s="1212"/>
      <c r="Q32" s="1212"/>
      <c r="R32" s="1212"/>
      <c r="S32" s="1212"/>
    </row>
    <row r="33" spans="1:19" ht="15.75">
      <c r="A33" s="67"/>
      <c r="B33" s="146" t="s">
        <v>264</v>
      </c>
      <c r="C33" s="279"/>
      <c r="D33" s="278" t="s">
        <v>265</v>
      </c>
      <c r="E33" s="758">
        <f>'Budget-Unrestricted MYP'!E33+'Budget-Restricted MYP'!E33</f>
        <v>2975060.83</v>
      </c>
      <c r="F33" s="767">
        <f>'Budget-Unrestricted MYP'!F33+'Budget-Restricted MYP'!F33</f>
        <v>4365488.45</v>
      </c>
      <c r="G33" s="49">
        <f t="shared" si="0"/>
        <v>0.46736107241208918</v>
      </c>
      <c r="H33" s="761">
        <f>'Budget-Unrestricted MYP'!H33+'Budget-Restricted MYP'!H33</f>
        <v>3821453.1035000002</v>
      </c>
      <c r="I33" s="49">
        <f t="shared" si="1"/>
        <v>-0.12462187283991095</v>
      </c>
      <c r="J33" s="761">
        <f>'Budget-Unrestricted MYP'!J33+'Budget-Restricted MYP'!J33</f>
        <v>3801871.6966049992</v>
      </c>
      <c r="K33" s="365">
        <f t="shared" si="2"/>
        <v>-5.1240735826554289E-3</v>
      </c>
      <c r="M33" s="1212"/>
      <c r="N33" s="1212"/>
      <c r="O33" s="1212"/>
      <c r="P33" s="1212"/>
      <c r="Q33" s="1212"/>
      <c r="R33" s="1212"/>
      <c r="S33" s="1212"/>
    </row>
    <row r="34" spans="1:19" ht="15.75">
      <c r="A34" s="67"/>
      <c r="B34" s="146" t="s">
        <v>266</v>
      </c>
      <c r="C34" s="279"/>
      <c r="D34" s="278" t="s">
        <v>267</v>
      </c>
      <c r="E34" s="758">
        <f>'Budget-Unrestricted MYP'!E34+'Budget-Restricted MYP'!E34</f>
        <v>168526</v>
      </c>
      <c r="F34" s="767">
        <f>'Budget-Unrestricted MYP'!F34+'Budget-Restricted MYP'!F34</f>
        <v>204240.28571428571</v>
      </c>
      <c r="G34" s="49">
        <f t="shared" si="0"/>
        <v>0.21192151783277186</v>
      </c>
      <c r="H34" s="761">
        <f>'Budget-Unrestricted MYP'!H34+'Budget-Restricted MYP'!H34</f>
        <v>210367.49428571429</v>
      </c>
      <c r="I34" s="49">
        <f t="shared" si="1"/>
        <v>3.0000000000000037E-2</v>
      </c>
      <c r="J34" s="761">
        <f>'Budget-Unrestricted MYP'!J34+'Budget-Restricted MYP'!J34</f>
        <v>216678.51911428574</v>
      </c>
      <c r="K34" s="365">
        <f t="shared" si="2"/>
        <v>3.0000000000000093E-2</v>
      </c>
      <c r="M34" s="1212"/>
      <c r="N34" s="1212"/>
      <c r="O34" s="1212"/>
      <c r="P34" s="1212"/>
      <c r="Q34" s="1212"/>
      <c r="R34" s="1212"/>
      <c r="S34" s="1212"/>
    </row>
    <row r="35" spans="1:19" ht="15.75">
      <c r="A35" s="67"/>
      <c r="B35" s="146" t="s">
        <v>268</v>
      </c>
      <c r="C35" s="279"/>
      <c r="D35" s="278" t="s">
        <v>269</v>
      </c>
      <c r="E35" s="758">
        <f>'Budget-Unrestricted MYP'!E35+'Budget-Restricted MYP'!E35</f>
        <v>0</v>
      </c>
      <c r="F35" s="767">
        <f>'Budget-Unrestricted MYP'!F35+'Budget-Restricted MYP'!F35</f>
        <v>0</v>
      </c>
      <c r="G35" s="49" t="str">
        <f t="shared" si="0"/>
        <v xml:space="preserve"> </v>
      </c>
      <c r="H35" s="761">
        <f>'Budget-Unrestricted MYP'!H35+'Budget-Restricted MYP'!H35</f>
        <v>53711.667500000003</v>
      </c>
      <c r="I35" s="49" t="str">
        <f t="shared" si="1"/>
        <v xml:space="preserve"> </v>
      </c>
      <c r="J35" s="761">
        <f>'Budget-Unrestricted MYP'!J35+'Budget-Restricted MYP'!J35</f>
        <v>55323.017525000003</v>
      </c>
      <c r="K35" s="365">
        <f t="shared" si="2"/>
        <v>2.9999999999999992E-2</v>
      </c>
      <c r="M35" s="1212"/>
      <c r="N35" s="1212"/>
      <c r="O35" s="1212"/>
      <c r="P35" s="1212"/>
      <c r="Q35" s="1212"/>
      <c r="R35" s="1212"/>
      <c r="S35" s="1212"/>
    </row>
    <row r="36" spans="1:19" ht="16.5" thickBot="1">
      <c r="A36" s="67"/>
      <c r="B36" s="896" t="s">
        <v>270</v>
      </c>
      <c r="C36" s="929"/>
      <c r="D36" s="626" t="s">
        <v>271</v>
      </c>
      <c r="E36" s="892">
        <f>'Budget-Unrestricted MYP'!E36+'Budget-Restricted MYP'!E36</f>
        <v>49603.07</v>
      </c>
      <c r="F36" s="939">
        <f>'Budget-Unrestricted MYP'!F36+'Budget-Restricted MYP'!F36</f>
        <v>52147</v>
      </c>
      <c r="G36" s="95">
        <f t="shared" si="0"/>
        <v>5.1285736951362092E-2</v>
      </c>
      <c r="H36" s="811">
        <f>'Budget-Unrestricted MYP'!H36+'Budget-Restricted MYP'!H36</f>
        <v>0</v>
      </c>
      <c r="I36" s="95" t="str">
        <f t="shared" si="1"/>
        <v xml:space="preserve"> </v>
      </c>
      <c r="J36" s="812">
        <f>'Budget-Unrestricted MYP'!J36+'Budget-Restricted MYP'!J36</f>
        <v>0</v>
      </c>
      <c r="K36" s="311" t="str">
        <f t="shared" si="2"/>
        <v xml:space="preserve"> </v>
      </c>
      <c r="M36" s="1212"/>
      <c r="N36" s="1212"/>
      <c r="O36" s="1212"/>
      <c r="P36" s="1212"/>
      <c r="Q36" s="1212"/>
      <c r="R36" s="1212"/>
      <c r="S36" s="1212"/>
    </row>
    <row r="37" spans="1:19" ht="17.25" thickTop="1" thickBot="1">
      <c r="A37" s="67"/>
      <c r="B37" s="1766" t="s">
        <v>272</v>
      </c>
      <c r="C37" s="1767"/>
      <c r="D37" s="1767"/>
      <c r="E37" s="897">
        <f>SUM(E29:E36)</f>
        <v>10618402.109999999</v>
      </c>
      <c r="F37" s="897">
        <f>ROUND(SUM(F29:F36),3)</f>
        <v>12403271.867000001</v>
      </c>
      <c r="G37" s="898">
        <f t="shared" si="0"/>
        <v>0.16809212332607748</v>
      </c>
      <c r="H37" s="897">
        <f>SUM(H29:H36)</f>
        <v>11758238.532199718</v>
      </c>
      <c r="I37" s="898">
        <f t="shared" si="1"/>
        <v>-5.2005095245590043E-2</v>
      </c>
      <c r="J37" s="897">
        <f>SUM(J29:J36)</f>
        <v>11985178.000028402</v>
      </c>
      <c r="K37" s="899">
        <f t="shared" si="2"/>
        <v>1.9300464708826414E-2</v>
      </c>
      <c r="M37" s="1212"/>
      <c r="N37" s="1212"/>
      <c r="O37" s="1212"/>
      <c r="P37" s="1212"/>
      <c r="Q37" s="1212"/>
      <c r="R37" s="1212"/>
      <c r="S37" s="1212"/>
    </row>
    <row r="38" spans="1:19" ht="17.25" thickTop="1" thickBot="1">
      <c r="A38" s="67"/>
      <c r="B38" s="1"/>
      <c r="C38" s="1"/>
      <c r="D38" s="167"/>
      <c r="E38" s="276"/>
      <c r="F38" s="1748"/>
      <c r="G38" s="1748"/>
      <c r="H38" s="1748"/>
      <c r="I38" s="1748"/>
      <c r="J38" s="1748"/>
      <c r="K38" s="1749"/>
      <c r="M38" s="1212"/>
      <c r="N38" s="1212"/>
      <c r="O38" s="1212"/>
      <c r="P38" s="1212"/>
      <c r="Q38" s="1212"/>
      <c r="R38" s="1212"/>
      <c r="S38" s="1212"/>
    </row>
    <row r="39" spans="1:19" ht="17.25" thickTop="1" thickBot="1">
      <c r="A39" s="1727" t="s">
        <v>273</v>
      </c>
      <c r="B39" s="1728"/>
      <c r="C39" s="1728"/>
      <c r="D39" s="1729"/>
      <c r="E39" s="914">
        <f>SUM(E26-E37)</f>
        <v>2076008.6700000018</v>
      </c>
      <c r="F39" s="914">
        <f>SUM(F26-F37)</f>
        <v>1522946.5626432002</v>
      </c>
      <c r="G39" s="915">
        <f>IF(E39&lt;1," ",IF(F39&lt;1," ",(F39-E39)/E39))</f>
        <v>-0.26640645357073639</v>
      </c>
      <c r="H39" s="914">
        <f>SUM(H26-H37)</f>
        <v>449502.07744348422</v>
      </c>
      <c r="I39" s="915">
        <f>IF(F39&lt;1," ",IF(H39&lt;1," ",(H39-F39)/F39))</f>
        <v>-0.70484711120570376</v>
      </c>
      <c r="J39" s="914">
        <f>SUM(J26-J37)</f>
        <v>19044.79961480014</v>
      </c>
      <c r="K39" s="916">
        <f>IF(H39&lt;1," ",IF(J39&lt;1," ",(J39-H39)/H39))</f>
        <v>-0.95763134238863523</v>
      </c>
      <c r="M39" s="1212"/>
      <c r="N39" s="1212"/>
      <c r="O39" s="1212"/>
      <c r="P39" s="1212"/>
      <c r="Q39" s="1212"/>
      <c r="R39" s="1212"/>
      <c r="S39" s="1212"/>
    </row>
    <row r="40" spans="1:19" ht="16.5" thickTop="1">
      <c r="A40" s="67"/>
      <c r="B40" s="1"/>
      <c r="C40" s="1"/>
      <c r="D40" s="343"/>
      <c r="E40" s="83"/>
      <c r="F40" s="1719"/>
      <c r="G40" s="1719"/>
      <c r="H40" s="1719"/>
      <c r="I40" s="1719"/>
      <c r="J40" s="1719"/>
      <c r="K40" s="1720"/>
      <c r="M40" s="1212"/>
      <c r="N40" s="1212"/>
      <c r="O40" s="1212"/>
      <c r="P40" s="1212"/>
      <c r="Q40" s="1212"/>
      <c r="R40" s="1212"/>
      <c r="S40" s="1212"/>
    </row>
    <row r="41" spans="1:19" ht="15.75">
      <c r="A41" s="305" t="s">
        <v>274</v>
      </c>
      <c r="B41" s="1"/>
      <c r="C41" s="154"/>
      <c r="D41" s="344"/>
      <c r="E41" s="82"/>
      <c r="F41" s="1721"/>
      <c r="G41" s="1721"/>
      <c r="H41" s="1721"/>
      <c r="I41" s="1721"/>
      <c r="J41" s="1721"/>
      <c r="K41" s="1722"/>
      <c r="M41" s="1212"/>
      <c r="N41" s="1212"/>
      <c r="O41" s="1212"/>
      <c r="P41" s="1212"/>
      <c r="Q41" s="1212"/>
      <c r="R41" s="1212"/>
      <c r="S41" s="1212"/>
    </row>
    <row r="42" spans="1:19" ht="15.75">
      <c r="A42" s="67"/>
      <c r="B42" s="146" t="s">
        <v>275</v>
      </c>
      <c r="C42" s="279"/>
      <c r="D42" s="309">
        <v>8900</v>
      </c>
      <c r="E42" s="829">
        <f>'Budget-Unrestricted MYP'!E42+'Budget-Restricted MYP'!E42</f>
        <v>0</v>
      </c>
      <c r="F42" s="767">
        <f>'Budget-Unrestricted MYP'!F42+'Budget-Restricted MYP'!F42</f>
        <v>0</v>
      </c>
      <c r="G42" s="49" t="str">
        <f>IF(E42&lt;1," ",IF(F42&lt;1," ",(F42-E42)/E42))</f>
        <v xml:space="preserve"> </v>
      </c>
      <c r="H42" s="761">
        <f>'Budget-Unrestricted MYP'!H42+'Budget-Restricted MYP'!H42</f>
        <v>0</v>
      </c>
      <c r="I42" s="49" t="str">
        <f>IF(F42&lt;1," ",IF(H42&lt;1," ",(H42-F42)/F42))</f>
        <v xml:space="preserve"> </v>
      </c>
      <c r="J42" s="761">
        <f>'Budget-Unrestricted MYP'!J42+'Budget-Restricted MYP'!J42</f>
        <v>0</v>
      </c>
      <c r="K42" s="365" t="str">
        <f>IF(H42&lt;1," ",IF(J42&lt;1," ",(J42-H42)/H42))</f>
        <v xml:space="preserve"> </v>
      </c>
      <c r="M42" s="1212"/>
      <c r="N42" s="1212"/>
      <c r="O42" s="1212"/>
      <c r="P42" s="1212"/>
      <c r="Q42" s="1212"/>
      <c r="R42" s="1212"/>
      <c r="S42" s="1212"/>
    </row>
    <row r="43" spans="1:19" ht="16.5" thickBot="1">
      <c r="A43" s="67"/>
      <c r="B43" s="896" t="s">
        <v>276</v>
      </c>
      <c r="C43" s="929"/>
      <c r="D43" s="925">
        <v>7600</v>
      </c>
      <c r="E43" s="940">
        <f>'Budget-Unrestricted MYP'!E43+'Budget-Restricted MYP'!E43</f>
        <v>0</v>
      </c>
      <c r="F43" s="939">
        <f>'Budget-Unrestricted MYP'!F43+'Budget-Restricted MYP'!F43</f>
        <v>0</v>
      </c>
      <c r="G43" s="95" t="str">
        <f>IF(E43&lt;1," ",IF(F43&lt;1," ",(F43-E43)/E43))</f>
        <v xml:space="preserve"> </v>
      </c>
      <c r="H43" s="811">
        <f>'Budget-Unrestricted MYP'!H43+'Budget-Restricted MYP'!H43</f>
        <v>0</v>
      </c>
      <c r="I43" s="95" t="str">
        <f>IF(F43&lt;1," ",IF(H43&lt;1," ",(H43-F43)/F43))</f>
        <v xml:space="preserve"> </v>
      </c>
      <c r="J43" s="812">
        <f>'Budget-Unrestricted MYP'!J43+'Budget-Restricted MYP'!J43</f>
        <v>0</v>
      </c>
      <c r="K43" s="311" t="str">
        <f>IF(H43&lt;1," ",IF(J43&lt;1," ",(J43-H43)/H43))</f>
        <v xml:space="preserve"> </v>
      </c>
      <c r="M43" s="1212"/>
      <c r="N43" s="1212"/>
      <c r="O43" s="1212"/>
      <c r="P43" s="1212"/>
      <c r="Q43" s="1212"/>
      <c r="R43" s="1212"/>
      <c r="S43" s="1212"/>
    </row>
    <row r="44" spans="1:19" ht="17.25" thickTop="1" thickBot="1">
      <c r="A44" s="67"/>
      <c r="B44" s="1766" t="s">
        <v>277</v>
      </c>
      <c r="C44" s="1767"/>
      <c r="D44" s="1767"/>
      <c r="E44" s="897">
        <f>E42-E43</f>
        <v>0</v>
      </c>
      <c r="F44" s="897">
        <f>F42-F43</f>
        <v>0</v>
      </c>
      <c r="G44" s="898" t="str">
        <f>IF(E44&lt;1," ",IF(F44&lt;1," ",(F44-E44)/E44))</f>
        <v xml:space="preserve"> </v>
      </c>
      <c r="H44" s="897">
        <f>H42-H43</f>
        <v>0</v>
      </c>
      <c r="I44" s="898" t="str">
        <f>IF(F44&lt;1," ",IF(H44&lt;1," ",(H44-F44)/F44))</f>
        <v xml:space="preserve"> </v>
      </c>
      <c r="J44" s="897">
        <f>J42-J43</f>
        <v>0</v>
      </c>
      <c r="K44" s="899" t="str">
        <f>IF(H44&lt;1," ",IF(J44&lt;1," ",(J44-H44)/H44))</f>
        <v xml:space="preserve"> </v>
      </c>
      <c r="M44" s="1212"/>
      <c r="N44" s="1212"/>
      <c r="O44" s="1212"/>
      <c r="P44" s="1212"/>
      <c r="Q44" s="1212"/>
      <c r="R44" s="1212"/>
      <c r="S44" s="1212"/>
    </row>
    <row r="45" spans="1:19" ht="17.25" thickTop="1" thickBot="1">
      <c r="A45" s="67"/>
      <c r="B45" s="1"/>
      <c r="C45" s="924"/>
      <c r="D45" s="553"/>
      <c r="E45" s="268"/>
      <c r="F45" s="268"/>
      <c r="G45" s="51"/>
      <c r="H45" s="268"/>
      <c r="I45" s="51"/>
      <c r="J45" s="268"/>
      <c r="K45" s="312"/>
      <c r="M45" s="1212"/>
      <c r="N45" s="1212"/>
      <c r="O45" s="1212"/>
      <c r="P45" s="1212"/>
      <c r="Q45" s="1212"/>
      <c r="R45" s="1212"/>
      <c r="S45" s="1212"/>
    </row>
    <row r="46" spans="1:19" ht="17.25" thickTop="1" thickBot="1">
      <c r="A46" s="1768" t="s">
        <v>278</v>
      </c>
      <c r="B46" s="1769"/>
      <c r="C46" s="1769"/>
      <c r="D46" s="1769"/>
      <c r="E46" s="914">
        <f>E39+E44</f>
        <v>2076008.6700000018</v>
      </c>
      <c r="F46" s="914">
        <f>ROUND(F39+F44,0)</f>
        <v>1522947</v>
      </c>
      <c r="G46" s="915">
        <f>IF(E46&lt;1," ",IF(F46&lt;1," ",(F46-E46)/E46))</f>
        <v>-0.2664062428987839</v>
      </c>
      <c r="H46" s="914">
        <f>H39+H44</f>
        <v>449502.07744348422</v>
      </c>
      <c r="I46" s="915">
        <f>IF(F46&lt;1," ",IF(H46&lt;1," ",(H46-F46)/F46))</f>
        <v>-0.70484719596710577</v>
      </c>
      <c r="J46" s="914">
        <f>J39+J44</f>
        <v>19044.79961480014</v>
      </c>
      <c r="K46" s="916">
        <f>IF(H46&lt;1," ",IF(J46&lt;1," ",(J46-H46)/H46))</f>
        <v>-0.95763134238863523</v>
      </c>
      <c r="M46" s="1212"/>
      <c r="N46" s="1212"/>
      <c r="O46" s="1212"/>
      <c r="P46" s="1212"/>
      <c r="Q46" s="1212"/>
      <c r="R46" s="1212"/>
      <c r="S46" s="1212"/>
    </row>
    <row r="47" spans="1:19" ht="16.5" thickTop="1">
      <c r="A47" s="305"/>
      <c r="B47" s="81"/>
      <c r="C47" s="1244"/>
      <c r="D47" s="1244"/>
      <c r="E47" s="1245"/>
      <c r="F47" s="1245"/>
      <c r="G47" s="1052"/>
      <c r="H47" s="1245"/>
      <c r="I47" s="1052"/>
      <c r="J47" s="1245"/>
      <c r="K47" s="312"/>
      <c r="M47" s="1212"/>
      <c r="N47" s="1212"/>
      <c r="O47" s="1212"/>
      <c r="P47" s="1212"/>
      <c r="Q47" s="1212"/>
      <c r="R47" s="1212"/>
      <c r="S47" s="1212"/>
    </row>
    <row r="48" spans="1:19" ht="15.75">
      <c r="A48" s="305" t="s">
        <v>279</v>
      </c>
      <c r="B48" s="1"/>
      <c r="C48" s="154"/>
      <c r="D48" s="344"/>
      <c r="E48" s="268"/>
      <c r="F48" s="1723"/>
      <c r="G48" s="1723"/>
      <c r="H48" s="1723"/>
      <c r="I48" s="1723"/>
      <c r="J48" s="1723"/>
      <c r="K48" s="1724"/>
      <c r="M48" s="1212"/>
      <c r="N48" s="1212"/>
      <c r="O48" s="1212"/>
      <c r="P48" s="1212"/>
      <c r="Q48" s="1212"/>
      <c r="R48" s="1212"/>
      <c r="S48" s="1212"/>
    </row>
    <row r="49" spans="1:19" ht="15.75">
      <c r="A49" s="67"/>
      <c r="B49" s="292" t="s">
        <v>280</v>
      </c>
      <c r="C49" s="293"/>
      <c r="D49" s="294">
        <v>9791</v>
      </c>
      <c r="E49" s="821">
        <f>'Budget-Unrestricted MYP'!E49+'Budget-Restricted MYP'!E49</f>
        <v>5401.8499999999767</v>
      </c>
      <c r="F49" s="710">
        <f>'Budget-Unrestricted MYP'!F49+'Budget-Restricted MYP'!F49</f>
        <v>2088155.2500000005</v>
      </c>
      <c r="G49" s="275">
        <f t="shared" ref="G49:G55" si="3">IF(E49&lt;1," ",IF(F49&lt;1," ",(F49-E49)/E49))</f>
        <v>385.56298305210424</v>
      </c>
      <c r="H49" s="711">
        <f>'Budget-Unrestricted MYP'!H49+'Budget-Restricted MYP'!H49</f>
        <v>3611101.8078057151</v>
      </c>
      <c r="I49" s="275">
        <f t="shared" ref="I49:I55" si="4">IF(F49&lt;1," ",IF(H49&lt;1," ",(H49-F49)/F49))</f>
        <v>0.72932630742168925</v>
      </c>
      <c r="J49" s="711">
        <f>'Budget-Unrestricted MYP'!J49+'Budget-Restricted MYP'!J49</f>
        <v>4060603.8885552674</v>
      </c>
      <c r="K49" s="313">
        <f t="shared" ref="K49:K55" si="5">IF(H49&lt;1," ",IF(J49&lt;1," ",(J49-H49)/H49))</f>
        <v>0.12447781997669349</v>
      </c>
      <c r="M49" s="1212"/>
      <c r="N49" s="1212"/>
      <c r="O49" s="1212"/>
      <c r="P49" s="1212"/>
      <c r="Q49" s="1212"/>
      <c r="R49" s="1212"/>
      <c r="S49" s="1212"/>
    </row>
    <row r="50" spans="1:19" ht="15.75">
      <c r="A50" s="67"/>
      <c r="B50" s="314" t="s">
        <v>281</v>
      </c>
      <c r="C50" s="315"/>
      <c r="D50" s="316">
        <v>9792</v>
      </c>
      <c r="E50" s="758">
        <f>'Budget-Unrestricted MYP'!E50+'Budget-Restricted MYP'!E50</f>
        <v>0</v>
      </c>
      <c r="F50" s="762">
        <f>'Budget-Unrestricted MYP'!F50+'Budget-Restricted MYP'!F50</f>
        <v>0</v>
      </c>
      <c r="G50" s="30" t="str">
        <f t="shared" si="3"/>
        <v xml:space="preserve"> </v>
      </c>
      <c r="H50" s="762">
        <f>'Budget-Unrestricted MYP'!H50+'Budget-Restricted MYP'!H50</f>
        <v>0</v>
      </c>
      <c r="I50" s="30" t="str">
        <f t="shared" si="4"/>
        <v xml:space="preserve"> </v>
      </c>
      <c r="J50" s="762">
        <f>'Budget-Unrestricted MYP'!J50+'Budget-Restricted MYP'!J50</f>
        <v>0</v>
      </c>
      <c r="K50" s="310" t="str">
        <f t="shared" si="5"/>
        <v xml:space="preserve"> </v>
      </c>
      <c r="M50" s="1212"/>
      <c r="N50" s="1212"/>
      <c r="O50" s="1212"/>
      <c r="P50" s="1212"/>
      <c r="Q50" s="1212"/>
      <c r="R50" s="1212"/>
      <c r="S50" s="1212"/>
    </row>
    <row r="51" spans="1:19" ht="15.75">
      <c r="A51" s="67"/>
      <c r="B51" s="1733" t="str">
        <f>'Budget-Restricted MYP'!B51</f>
        <v xml:space="preserve">  Beg Fund Balance at Unaudited Actuals</v>
      </c>
      <c r="C51" s="1734"/>
      <c r="D51" s="1780"/>
      <c r="E51" s="758">
        <f>'Budget-Unrestricted MYP'!E51+'Budget-Restricted MYP'!E51</f>
        <v>0</v>
      </c>
      <c r="F51" s="762">
        <f>'Budget-Unrestricted MYP'!F51+'Budget-Restricted MYP'!F51</f>
        <v>0</v>
      </c>
      <c r="G51" s="30" t="str">
        <f t="shared" si="3"/>
        <v xml:space="preserve"> </v>
      </c>
      <c r="H51" s="762">
        <f>'Budget-Unrestricted MYP'!H51+'Budget-Restricted MYP'!H51</f>
        <v>0</v>
      </c>
      <c r="I51" s="30" t="str">
        <f t="shared" si="4"/>
        <v xml:space="preserve"> </v>
      </c>
      <c r="J51" s="762">
        <f>'Budget-Unrestricted MYP'!J51+'Budget-Restricted MYP'!J51</f>
        <v>0</v>
      </c>
      <c r="K51" s="310" t="str">
        <f t="shared" si="5"/>
        <v xml:space="preserve"> </v>
      </c>
      <c r="M51" s="1212"/>
      <c r="N51" s="1212"/>
      <c r="O51" s="1212"/>
      <c r="P51" s="1212"/>
      <c r="Q51" s="1212"/>
      <c r="R51" s="1212"/>
      <c r="S51" s="1212"/>
    </row>
    <row r="52" spans="1:19" ht="15.75">
      <c r="A52" s="67"/>
      <c r="B52" s="314" t="s">
        <v>283</v>
      </c>
      <c r="C52" s="315"/>
      <c r="D52" s="316">
        <v>9793</v>
      </c>
      <c r="E52" s="758">
        <f>'Budget-Unrestricted MYP'!E52+'Budget-Restricted MYP'!E52</f>
        <v>0</v>
      </c>
      <c r="F52" s="762">
        <f>'Budget-Unrestricted MYP'!F52+'Budget-Restricted MYP'!F52</f>
        <v>0</v>
      </c>
      <c r="G52" s="30" t="str">
        <f t="shared" si="3"/>
        <v xml:space="preserve"> </v>
      </c>
      <c r="H52" s="762">
        <f>'Budget-Unrestricted MYP'!H52+'Budget-Restricted MYP'!H52</f>
        <v>0</v>
      </c>
      <c r="I52" s="30" t="str">
        <f t="shared" si="4"/>
        <v xml:space="preserve"> </v>
      </c>
      <c r="J52" s="762">
        <f>'Budget-Unrestricted MYP'!J52+'Budget-Restricted MYP'!J52</f>
        <v>0</v>
      </c>
      <c r="K52" s="310" t="str">
        <f t="shared" si="5"/>
        <v xml:space="preserve"> </v>
      </c>
      <c r="M52" s="1212"/>
      <c r="N52" s="1212"/>
      <c r="O52" s="1212"/>
      <c r="P52" s="1212"/>
      <c r="Q52" s="1212"/>
      <c r="R52" s="1212"/>
      <c r="S52" s="1212"/>
    </row>
    <row r="53" spans="1:19" ht="15.75">
      <c r="A53" s="67"/>
      <c r="B53" s="314" t="s">
        <v>284</v>
      </c>
      <c r="C53" s="315"/>
      <c r="D53" s="316">
        <v>9795</v>
      </c>
      <c r="E53" s="758">
        <f>'Budget-Unrestricted MYP'!E53+'Budget-Restricted MYP'!E53</f>
        <v>6745</v>
      </c>
      <c r="F53" s="762">
        <f>'Budget-Unrestricted MYP'!F53+'Budget-Restricted MYP'!F53</f>
        <v>0</v>
      </c>
      <c r="G53" s="30" t="str">
        <f t="shared" si="3"/>
        <v xml:space="preserve"> </v>
      </c>
      <c r="H53" s="762">
        <f>'Budget-Unrestricted MYP'!H53+'Budget-Restricted MYP'!H53</f>
        <v>0</v>
      </c>
      <c r="I53" s="30" t="str">
        <f t="shared" si="4"/>
        <v xml:space="preserve"> </v>
      </c>
      <c r="J53" s="762">
        <f>'Budget-Unrestricted MYP'!J53+'Budget-Restricted MYP'!J53</f>
        <v>0</v>
      </c>
      <c r="K53" s="310" t="str">
        <f t="shared" si="5"/>
        <v xml:space="preserve"> </v>
      </c>
      <c r="M53" s="1212"/>
      <c r="N53" s="1212"/>
      <c r="O53" s="1212"/>
      <c r="P53" s="1212"/>
      <c r="Q53" s="1212"/>
      <c r="R53" s="1212"/>
      <c r="S53" s="1212"/>
    </row>
    <row r="54" spans="1:19" ht="16.5" thickBot="1">
      <c r="A54" s="67"/>
      <c r="B54" s="907" t="str">
        <f>'Budget-Restricted MYP'!B54</f>
        <v xml:space="preserve">  Beginning Fund Balance as per Audit Report +/- Restatements</v>
      </c>
      <c r="C54" s="501"/>
      <c r="D54" s="908"/>
      <c r="E54" s="892">
        <f>'Budget-Unrestricted MYP'!E54+'Budget-Restricted MYP'!E54</f>
        <v>12146.849999999977</v>
      </c>
      <c r="F54" s="812">
        <f>'Budget-Unrestricted MYP'!F54+'Budget-Restricted MYP'!F54</f>
        <v>0</v>
      </c>
      <c r="G54" s="95" t="str">
        <f t="shared" si="3"/>
        <v xml:space="preserve"> </v>
      </c>
      <c r="H54" s="812">
        <f>'Budget-Unrestricted MYP'!H54+'Budget-Restricted MYP'!H54</f>
        <v>0</v>
      </c>
      <c r="I54" s="95" t="str">
        <f t="shared" si="4"/>
        <v xml:space="preserve"> </v>
      </c>
      <c r="J54" s="812">
        <f>'Budget-Unrestricted MYP'!J54+'Budget-Restricted MYP'!J54</f>
        <v>0</v>
      </c>
      <c r="K54" s="311" t="str">
        <f t="shared" si="5"/>
        <v xml:space="preserve"> </v>
      </c>
      <c r="M54" s="1212"/>
      <c r="N54" s="1212"/>
      <c r="O54" s="1212"/>
      <c r="P54" s="1212"/>
      <c r="Q54" s="1212"/>
      <c r="R54" s="1212"/>
      <c r="S54" s="1212"/>
    </row>
    <row r="55" spans="1:19" ht="17.25" thickTop="1" thickBot="1">
      <c r="A55" s="67"/>
      <c r="B55" s="909" t="s">
        <v>286</v>
      </c>
      <c r="C55" s="910"/>
      <c r="D55" s="911">
        <v>9790</v>
      </c>
      <c r="E55" s="897">
        <f>'Budget-Unrestricted MYP'!E55+'Budget-Restricted MYP'!E55</f>
        <v>2088155.2500000005</v>
      </c>
      <c r="F55" s="897">
        <f>'Budget-Unrestricted MYP'!F55+'Budget-Restricted MYP'!F55</f>
        <v>3611101.8078057151</v>
      </c>
      <c r="G55" s="898">
        <f t="shared" si="3"/>
        <v>0.72932630742168925</v>
      </c>
      <c r="H55" s="897">
        <f>'Budget-Unrestricted MYP'!H55+'Budget-Restricted MYP'!H55</f>
        <v>4060603.8885552674</v>
      </c>
      <c r="I55" s="898">
        <f t="shared" si="4"/>
        <v>0.12447781997669349</v>
      </c>
      <c r="J55" s="897">
        <f>'Budget-Unrestricted MYP'!J55+'Budget-Restricted MYP'!J55</f>
        <v>4079648.6879839157</v>
      </c>
      <c r="K55" s="899">
        <f t="shared" si="5"/>
        <v>4.6901396815202069E-3</v>
      </c>
      <c r="M55" s="1212"/>
      <c r="N55" s="1212"/>
      <c r="O55" s="1212"/>
      <c r="P55" s="1212"/>
      <c r="Q55" s="1212"/>
      <c r="R55" s="1212"/>
      <c r="S55" s="1212"/>
    </row>
    <row r="56" spans="1:19" ht="16.5" thickTop="1">
      <c r="A56" s="67"/>
      <c r="B56" s="1"/>
      <c r="C56" s="1"/>
      <c r="D56" s="167"/>
      <c r="E56" s="168"/>
      <c r="F56" s="168"/>
      <c r="G56" s="51"/>
      <c r="H56" s="168"/>
      <c r="I56" s="51"/>
      <c r="J56" s="168"/>
      <c r="K56" s="312"/>
      <c r="M56" s="1212"/>
      <c r="N56" s="1212"/>
      <c r="O56" s="1212"/>
      <c r="P56" s="1212"/>
      <c r="Q56" s="1212"/>
      <c r="R56" s="1212"/>
      <c r="S56" s="1212"/>
    </row>
    <row r="57" spans="1:19" ht="15.75">
      <c r="A57" s="323" t="s">
        <v>287</v>
      </c>
      <c r="B57" s="151"/>
      <c r="C57" s="98"/>
      <c r="D57" s="554" t="s">
        <v>103</v>
      </c>
      <c r="E57" s="555"/>
      <c r="F57" s="295"/>
      <c r="G57" s="51"/>
      <c r="H57" s="168"/>
      <c r="I57" s="51"/>
      <c r="J57" s="168"/>
      <c r="K57" s="312"/>
      <c r="M57" s="1212"/>
      <c r="N57" s="1212"/>
      <c r="O57" s="1212"/>
      <c r="P57" s="1212"/>
      <c r="Q57" s="1212"/>
      <c r="R57" s="1212"/>
      <c r="S57" s="1212"/>
    </row>
    <row r="58" spans="1:19" ht="15.75">
      <c r="A58" s="67"/>
      <c r="B58" s="347" t="s">
        <v>288</v>
      </c>
      <c r="C58" s="502" t="s">
        <v>289</v>
      </c>
      <c r="D58" s="353"/>
      <c r="E58" s="366"/>
      <c r="F58" s="1778"/>
      <c r="G58" s="1778"/>
      <c r="H58" s="1778"/>
      <c r="I58" s="1778"/>
      <c r="J58" s="1778"/>
      <c r="K58" s="1779"/>
      <c r="M58" s="1212"/>
      <c r="N58" s="1212"/>
      <c r="O58" s="1212"/>
      <c r="P58" s="1212"/>
      <c r="Q58" s="1212"/>
      <c r="R58" s="1212"/>
      <c r="S58" s="1212"/>
    </row>
    <row r="59" spans="1:19" ht="15.75">
      <c r="A59" s="67"/>
      <c r="B59" s="1620"/>
      <c r="C59" s="348" t="s">
        <v>290</v>
      </c>
      <c r="D59" s="288">
        <v>9711</v>
      </c>
      <c r="E59" s="762">
        <f>'Budget-Unrestricted MYP'!E59+'Budget-Restricted MYP'!E59</f>
        <v>0</v>
      </c>
      <c r="F59" s="762">
        <f>'Budget-Unrestricted MYP'!F59+'Budget-Restricted MYP'!F59</f>
        <v>0</v>
      </c>
      <c r="G59" s="30" t="str">
        <f>IF(E59&lt;1," ",IF(F59&lt;1," ",(F59-E59)/E59))</f>
        <v xml:space="preserve"> </v>
      </c>
      <c r="H59" s="762">
        <f>'Budget-Unrestricted MYP'!H59+'Budget-Restricted MYP'!H59</f>
        <v>0</v>
      </c>
      <c r="I59" s="30" t="str">
        <f>IF(F59&lt;1," ",IF(H59&lt;1," ",(H59-F59)/F59))</f>
        <v xml:space="preserve"> </v>
      </c>
      <c r="J59" s="762">
        <f>'Budget-Unrestricted MYP'!J59+'Budget-Restricted MYP'!J59</f>
        <v>0</v>
      </c>
      <c r="K59" s="310" t="str">
        <f>IF(H59&lt;1," ",IF(J59&lt;1," ",(J59-H59)/H59))</f>
        <v xml:space="preserve"> </v>
      </c>
      <c r="M59" s="1212"/>
      <c r="N59" s="1212"/>
      <c r="O59" s="1212"/>
      <c r="P59" s="1212"/>
      <c r="Q59" s="1212"/>
      <c r="R59" s="1212"/>
      <c r="S59" s="1212"/>
    </row>
    <row r="60" spans="1:19" ht="15.75">
      <c r="A60" s="67"/>
      <c r="B60" s="347"/>
      <c r="C60" s="348" t="s">
        <v>291</v>
      </c>
      <c r="D60" s="288">
        <v>9712</v>
      </c>
      <c r="E60" s="762">
        <f>'Budget-Unrestricted MYP'!E60+'Budget-Restricted MYP'!E60</f>
        <v>0</v>
      </c>
      <c r="F60" s="762">
        <f>'Budget-Unrestricted MYP'!F60+'Budget-Restricted MYP'!F60</f>
        <v>0</v>
      </c>
      <c r="G60" s="30" t="str">
        <f>IF(E60&lt;1," ",IF(F60&lt;1," ",(F60-E60)/E60))</f>
        <v xml:space="preserve"> </v>
      </c>
      <c r="H60" s="762">
        <f>'Budget-Unrestricted MYP'!H60+'Budget-Restricted MYP'!H60</f>
        <v>0</v>
      </c>
      <c r="I60" s="30" t="str">
        <f>IF(F60&lt;1," ",IF(H60&lt;1," ",(H60-F60)/F60))</f>
        <v xml:space="preserve"> </v>
      </c>
      <c r="J60" s="762">
        <f>'Budget-Unrestricted MYP'!J60+'Budget-Restricted MYP'!J60</f>
        <v>0</v>
      </c>
      <c r="K60" s="310" t="str">
        <f>IF(H60&lt;1," ",IF(J60&lt;1," ",(J60-H60)/H60))</f>
        <v xml:space="preserve"> </v>
      </c>
      <c r="M60" s="1212"/>
      <c r="N60" s="1212"/>
      <c r="O60" s="1212"/>
      <c r="P60" s="1212"/>
      <c r="Q60" s="1212"/>
      <c r="R60" s="1212"/>
      <c r="S60" s="1212"/>
    </row>
    <row r="61" spans="1:19" ht="15.75">
      <c r="A61" s="67"/>
      <c r="B61" s="347"/>
      <c r="C61" s="348" t="s">
        <v>292</v>
      </c>
      <c r="D61" s="288">
        <v>9713</v>
      </c>
      <c r="E61" s="762">
        <f>'Budget-Unrestricted MYP'!E61+'Budget-Restricted MYP'!E61</f>
        <v>0</v>
      </c>
      <c r="F61" s="762">
        <f>'Budget-Unrestricted MYP'!F61+'Budget-Restricted MYP'!F61</f>
        <v>0</v>
      </c>
      <c r="G61" s="30" t="str">
        <f>IF(E61&lt;1," ",IF(F61&lt;1," ",(F61-E61)/E61))</f>
        <v xml:space="preserve"> </v>
      </c>
      <c r="H61" s="762">
        <f>'Budget-Unrestricted MYP'!H61+'Budget-Restricted MYP'!H61</f>
        <v>0</v>
      </c>
      <c r="I61" s="30" t="str">
        <f>IF(F61&lt;1," ",IF(H61&lt;1," ",(H61-F61)/F61))</f>
        <v xml:space="preserve"> </v>
      </c>
      <c r="J61" s="762">
        <f>'Budget-Unrestricted MYP'!J61+'Budget-Restricted MYP'!J61</f>
        <v>0</v>
      </c>
      <c r="K61" s="310" t="str">
        <f>IF(H61&lt;1," ",IF(J61&lt;1," ",(J61-H61)/H61))</f>
        <v xml:space="preserve"> </v>
      </c>
      <c r="M61" s="1212"/>
      <c r="N61" s="1212"/>
      <c r="O61" s="1212"/>
      <c r="P61" s="1212"/>
      <c r="Q61" s="1212"/>
      <c r="R61" s="1212"/>
      <c r="S61" s="1212"/>
    </row>
    <row r="62" spans="1:19" ht="15.75">
      <c r="A62" s="67"/>
      <c r="B62" s="347"/>
      <c r="C62" s="348" t="s">
        <v>293</v>
      </c>
      <c r="D62" s="288">
        <v>9719</v>
      </c>
      <c r="E62" s="875">
        <f>'Budget-Unrestricted MYP'!E62+'Budget-Restricted MYP'!E62</f>
        <v>0</v>
      </c>
      <c r="F62" s="875">
        <f>'Budget-Unrestricted MYP'!F62+'Budget-Restricted MYP'!F62</f>
        <v>0</v>
      </c>
      <c r="G62" s="50" t="str">
        <f>IF(E62&lt;1," ",IF(F62&lt;1," ",(F62-E62)/E62))</f>
        <v xml:space="preserve"> </v>
      </c>
      <c r="H62" s="875">
        <f>'Budget-Unrestricted MYP'!H62+'Budget-Restricted MYP'!H62</f>
        <v>0</v>
      </c>
      <c r="I62" s="50" t="str">
        <f>IF(F62&lt;1," ",IF(H62&lt;1," ",(H62-F62)/F62))</f>
        <v xml:space="preserve"> </v>
      </c>
      <c r="J62" s="875">
        <f>'Budget-Unrestricted MYP'!J62+'Budget-Restricted MYP'!J62</f>
        <v>0</v>
      </c>
      <c r="K62" s="324" t="str">
        <f>IF(H62&lt;1," ",IF(J62&lt;1," ",(J62-H62)/H62))</f>
        <v xml:space="preserve"> </v>
      </c>
      <c r="M62" s="1212"/>
      <c r="N62" s="1212"/>
      <c r="O62" s="1212"/>
      <c r="P62" s="1212"/>
      <c r="Q62" s="1212"/>
      <c r="R62" s="1212"/>
      <c r="S62" s="1212"/>
    </row>
    <row r="63" spans="1:19" ht="15.75">
      <c r="A63" s="67"/>
      <c r="B63" s="347" t="s">
        <v>294</v>
      </c>
      <c r="C63" s="349" t="s">
        <v>295</v>
      </c>
      <c r="D63" s="288">
        <v>9740</v>
      </c>
      <c r="E63" s="875">
        <f>'Budget-Unrestricted MYP'!E63+'Budget-Restricted MYP'!E63</f>
        <v>0</v>
      </c>
      <c r="F63" s="875">
        <f>'Budget-Unrestricted MYP'!F63+'Budget-Restricted MYP'!F63</f>
        <v>0</v>
      </c>
      <c r="G63" s="50" t="str">
        <f>IF(E63&lt;1," ",IF(F63&lt;1," ",(F63-E63)/E63))</f>
        <v xml:space="preserve"> </v>
      </c>
      <c r="H63" s="875">
        <f>'Budget-Unrestricted MYP'!H63+'Budget-Restricted MYP'!H63</f>
        <v>0</v>
      </c>
      <c r="I63" s="50" t="str">
        <f>IF(F63&lt;1," ",IF(H63&lt;1," ",(H63-F63)/F63))</f>
        <v xml:space="preserve"> </v>
      </c>
      <c r="J63" s="875">
        <f>'Budget-Unrestricted MYP'!J63+'Budget-Restricted MYP'!J63</f>
        <v>0</v>
      </c>
      <c r="K63" s="324" t="str">
        <f>IF(H63&lt;1," ",IF(J63&lt;1," ",(J63-H63)/H63))</f>
        <v xml:space="preserve"> </v>
      </c>
      <c r="M63" s="1212"/>
      <c r="N63" s="1212"/>
      <c r="O63" s="1212"/>
      <c r="P63" s="1212"/>
      <c r="Q63" s="1212"/>
      <c r="R63" s="1212"/>
      <c r="S63" s="1212"/>
    </row>
    <row r="64" spans="1:19" ht="15.75">
      <c r="A64" s="67"/>
      <c r="B64" s="347" t="s">
        <v>296</v>
      </c>
      <c r="C64" s="352" t="s">
        <v>297</v>
      </c>
      <c r="D64" s="986"/>
      <c r="E64" s="829"/>
      <c r="F64" s="829"/>
      <c r="G64" s="633"/>
      <c r="H64" s="829"/>
      <c r="I64" s="633"/>
      <c r="J64" s="829"/>
      <c r="K64" s="637"/>
      <c r="M64" s="1212"/>
      <c r="N64" s="1212"/>
      <c r="O64" s="1212"/>
      <c r="P64" s="1212"/>
      <c r="Q64" s="1212"/>
      <c r="R64" s="1212"/>
      <c r="S64" s="1212"/>
    </row>
    <row r="65" spans="1:29" ht="15.75">
      <c r="A65" s="67"/>
      <c r="B65" s="347"/>
      <c r="C65" s="348" t="s">
        <v>298</v>
      </c>
      <c r="D65" s="289">
        <v>9750</v>
      </c>
      <c r="E65" s="875">
        <f>'Budget-Unrestricted MYP'!E65+'Budget-Restricted MYP'!E65</f>
        <v>0</v>
      </c>
      <c r="F65" s="875">
        <f>'Budget-Unrestricted MYP'!F65+'Budget-Restricted MYP'!F65</f>
        <v>0</v>
      </c>
      <c r="G65" s="50" t="str">
        <f>IF(E65&lt;1," ",IF(F65&lt;1," ",(F65-E65)/E65))</f>
        <v xml:space="preserve"> </v>
      </c>
      <c r="H65" s="875">
        <f>'Budget-Unrestricted MYP'!H65+'Budget-Restricted MYP'!H65</f>
        <v>0</v>
      </c>
      <c r="I65" s="50" t="str">
        <f>IF(F65&lt;1," ",IF(H65&lt;1," ",(H65-F65)/F65))</f>
        <v xml:space="preserve"> </v>
      </c>
      <c r="J65" s="875">
        <f>'Budget-Unrestricted MYP'!J65+'Budget-Restricted MYP'!J65</f>
        <v>0</v>
      </c>
      <c r="K65" s="324" t="str">
        <f>IF(H65&lt;1," ",IF(J65&lt;1," ",(J65-H65)/H65))</f>
        <v xml:space="preserve"> </v>
      </c>
      <c r="M65" s="1212"/>
      <c r="N65" s="1212"/>
      <c r="O65" s="1212"/>
      <c r="P65" s="1212"/>
      <c r="Q65" s="1212"/>
      <c r="R65" s="1212"/>
      <c r="S65" s="1212"/>
    </row>
    <row r="66" spans="1:29" ht="15.75">
      <c r="A66" s="67"/>
      <c r="B66" s="347"/>
      <c r="C66" s="348" t="s">
        <v>299</v>
      </c>
      <c r="D66" s="289">
        <v>9760</v>
      </c>
      <c r="E66" s="875">
        <f>'Budget-Unrestricted MYP'!E66+'Budget-Restricted MYP'!E66</f>
        <v>0</v>
      </c>
      <c r="F66" s="875">
        <f>'Budget-Unrestricted MYP'!F66+'Budget-Restricted MYP'!F66</f>
        <v>0</v>
      </c>
      <c r="G66" s="50" t="str">
        <f>IF(E66&lt;1," ",IF(F66&lt;1," ",(F66-E66)/E66))</f>
        <v xml:space="preserve"> </v>
      </c>
      <c r="H66" s="875">
        <f>'Budget-Unrestricted MYP'!H66+'Budget-Restricted MYP'!H66</f>
        <v>0</v>
      </c>
      <c r="I66" s="50" t="str">
        <f>IF(F66&lt;1," ",IF(H66&lt;1," ",(H66-F66)/F66))</f>
        <v xml:space="preserve"> </v>
      </c>
      <c r="J66" s="875">
        <f>'Budget-Unrestricted MYP'!J66+'Budget-Restricted MYP'!J66</f>
        <v>0</v>
      </c>
      <c r="K66" s="324" t="str">
        <f>IF(H66&lt;1," ",IF(J66&lt;1," ",(J66-H66)/H66))</f>
        <v xml:space="preserve"> </v>
      </c>
      <c r="M66" s="1212"/>
      <c r="N66" s="1212"/>
      <c r="O66" s="1212"/>
      <c r="P66" s="1212"/>
      <c r="Q66" s="1212"/>
      <c r="R66" s="1212"/>
      <c r="S66" s="1212"/>
    </row>
    <row r="67" spans="1:29" ht="15.75">
      <c r="A67" s="67"/>
      <c r="B67" s="347" t="s">
        <v>300</v>
      </c>
      <c r="C67" s="349" t="s">
        <v>301</v>
      </c>
      <c r="D67" s="288">
        <v>9780</v>
      </c>
      <c r="E67" s="875">
        <f>'Budget-Unrestricted MYP'!E67+'Budget-Restricted MYP'!E67</f>
        <v>0</v>
      </c>
      <c r="F67" s="875">
        <f>'Budget-Unrestricted MYP'!F67+'Budget-Restricted MYP'!F67</f>
        <v>0</v>
      </c>
      <c r="G67" s="50" t="str">
        <f>IF(E67&lt;1," ",IF(F67&lt;1," ",(F67-E67)/E67))</f>
        <v xml:space="preserve"> </v>
      </c>
      <c r="H67" s="875">
        <f>'Budget-Unrestricted MYP'!H67+'Budget-Restricted MYP'!H67</f>
        <v>0</v>
      </c>
      <c r="I67" s="50" t="str">
        <f>IF(F67&lt;1," ",IF(H67&lt;1," ",(H67-F67)/F67))</f>
        <v xml:space="preserve"> </v>
      </c>
      <c r="J67" s="875">
        <f>'Budget-Unrestricted MYP'!J67+'Budget-Restricted MYP'!J67</f>
        <v>0</v>
      </c>
      <c r="K67" s="324" t="str">
        <f>IF(H67&lt;1," ",IF(J67&lt;1," ",(J67-H67)/H67))</f>
        <v xml:space="preserve"> </v>
      </c>
      <c r="M67" s="1212"/>
      <c r="N67" s="1212"/>
      <c r="O67" s="1212"/>
      <c r="P67" s="1212"/>
      <c r="Q67" s="1212"/>
      <c r="R67" s="1212"/>
      <c r="S67" s="1212"/>
    </row>
    <row r="68" spans="1:29" ht="15.75">
      <c r="A68" s="67"/>
      <c r="B68" s="347" t="s">
        <v>302</v>
      </c>
      <c r="C68" s="352" t="s">
        <v>303</v>
      </c>
      <c r="D68" s="601"/>
      <c r="E68" s="829"/>
      <c r="F68" s="829"/>
      <c r="G68" s="633"/>
      <c r="H68" s="829"/>
      <c r="I68" s="633"/>
      <c r="J68" s="829"/>
      <c r="K68" s="637"/>
      <c r="M68" s="133" t="s">
        <v>352</v>
      </c>
    </row>
    <row r="69" spans="1:29" ht="15.75">
      <c r="A69" s="67"/>
      <c r="B69" s="347"/>
      <c r="C69" s="348" t="s">
        <v>304</v>
      </c>
      <c r="D69" s="289">
        <v>9789</v>
      </c>
      <c r="E69" s="875">
        <f>'Budget-Unrestricted MYP'!E69+'Budget-Restricted MYP'!E69</f>
        <v>0</v>
      </c>
      <c r="F69" s="875">
        <f>'Budget-Unrestricted MYP'!F69+'Budget-Restricted MYP'!F69</f>
        <v>0</v>
      </c>
      <c r="G69" s="50" t="str">
        <f>IF(E69&lt;1," ",IF(F69&lt;1," ",(F69-E69)/E69))</f>
        <v xml:space="preserve"> </v>
      </c>
      <c r="H69" s="875">
        <f>'Budget-Unrestricted MYP'!H69+'Budget-Restricted MYP'!H69</f>
        <v>0</v>
      </c>
      <c r="I69" s="50" t="str">
        <f>IF(F69&lt;1," ",IF(H69&lt;1," ",(H69-F69)/F69))</f>
        <v xml:space="preserve"> </v>
      </c>
      <c r="J69" s="875">
        <f>'Budget-Unrestricted MYP'!J69+'Budget-Restricted MYP'!J69</f>
        <v>0</v>
      </c>
      <c r="K69" s="324" t="str">
        <f>IF(H69&lt;1," ",IF(J69&lt;1," ",(J69-H69)/H69))</f>
        <v xml:space="preserve"> </v>
      </c>
      <c r="M69" s="1773" t="s">
        <v>353</v>
      </c>
      <c r="N69" s="1773"/>
      <c r="O69" s="1773"/>
      <c r="P69" s="1773"/>
      <c r="Q69" s="1773" t="s">
        <v>354</v>
      </c>
      <c r="R69" s="1773"/>
      <c r="S69" s="1773"/>
    </row>
    <row r="70" spans="1:29" ht="16.5" thickBot="1">
      <c r="A70" s="67"/>
      <c r="B70" s="896"/>
      <c r="C70" s="902" t="s">
        <v>305</v>
      </c>
      <c r="D70" s="626">
        <v>9790</v>
      </c>
      <c r="E70" s="875">
        <f>'Budget-Unrestricted MYP'!E70+'Budget-Restricted MYP'!E70</f>
        <v>2328491.2500000005</v>
      </c>
      <c r="F70" s="875">
        <f>'Budget-Unrestricted MYP'!F70+'Budget-Restricted MYP'!F70</f>
        <v>3964597.6578057152</v>
      </c>
      <c r="G70" s="50">
        <f>IF(E70&lt;1," ",IF(F70&lt;1," ",(F70-E70)/E70))</f>
        <v>0.70264657760930582</v>
      </c>
      <c r="H70" s="875">
        <f>'Budget-Unrestricted MYP'!H70+'Budget-Restricted MYP'!H70</f>
        <v>4450833.9985552672</v>
      </c>
      <c r="I70" s="50">
        <f>IF(F70&lt;1," ",IF(H70&lt;1," ",(H70-F70)/F70))</f>
        <v>0.12264456136985893</v>
      </c>
      <c r="J70" s="875">
        <f>'Budget-Unrestricted MYP'!J70+'Budget-Restricted MYP'!J70</f>
        <v>5056918.7579839155</v>
      </c>
      <c r="K70" s="324">
        <f>IF(H70&lt;1," ",IF(J70&lt;1," ",(J70-H70)/H70))</f>
        <v>0.13617330136899788</v>
      </c>
      <c r="M70" s="1364">
        <v>0.05</v>
      </c>
      <c r="N70" s="135" t="s">
        <v>355</v>
      </c>
      <c r="O70" s="1365">
        <v>71000</v>
      </c>
      <c r="P70" s="135" t="s">
        <v>356</v>
      </c>
      <c r="Q70" s="1366">
        <v>0</v>
      </c>
      <c r="R70" s="203" t="s">
        <v>357</v>
      </c>
      <c r="S70" s="1366">
        <v>300</v>
      </c>
      <c r="W70" s="133" t="s">
        <v>352</v>
      </c>
    </row>
    <row r="71" spans="1:29" ht="17.25" thickTop="1" thickBot="1">
      <c r="A71" s="239"/>
      <c r="B71" s="1774" t="s">
        <v>358</v>
      </c>
      <c r="C71" s="1775"/>
      <c r="D71" s="1775"/>
      <c r="E71" s="941">
        <f>(E69+E70)/(+E37+E43)</f>
        <v>0.21928829082552051</v>
      </c>
      <c r="F71" s="941">
        <f>(F69+F70)/(+F37+F43)</f>
        <v>0.31964127694031097</v>
      </c>
      <c r="G71" s="905"/>
      <c r="H71" s="941">
        <f>(H69+H70)/(+H37+H43)</f>
        <v>0.3785289766291729</v>
      </c>
      <c r="I71" s="905"/>
      <c r="J71" s="941">
        <f>(J69+J70)/(+J37+J43)</f>
        <v>0.42193105166831329</v>
      </c>
      <c r="K71" s="1093"/>
      <c r="M71" s="1364">
        <v>0.04</v>
      </c>
      <c r="N71" s="135" t="s">
        <v>355</v>
      </c>
      <c r="O71" s="1365">
        <v>71000</v>
      </c>
      <c r="P71" s="135" t="s">
        <v>356</v>
      </c>
      <c r="Q71" s="1366">
        <v>301</v>
      </c>
      <c r="R71" s="203" t="s">
        <v>357</v>
      </c>
      <c r="S71" s="1366">
        <v>1000</v>
      </c>
      <c r="W71" s="1773" t="s">
        <v>353</v>
      </c>
      <c r="X71" s="1773"/>
      <c r="Y71" s="1773"/>
      <c r="Z71" s="1773"/>
      <c r="AA71" s="1773" t="s">
        <v>354</v>
      </c>
      <c r="AB71" s="1773"/>
      <c r="AC71" s="1773"/>
    </row>
    <row r="72" spans="1:29" ht="15.75">
      <c r="A72" s="1"/>
      <c r="B72" s="1"/>
      <c r="C72" s="1"/>
      <c r="D72" s="1"/>
      <c r="E72" s="24"/>
      <c r="F72" s="24"/>
      <c r="G72" s="51"/>
      <c r="H72" s="24"/>
      <c r="I72" s="51"/>
      <c r="J72" s="24"/>
      <c r="K72" s="51"/>
      <c r="M72" s="1364">
        <v>0.03</v>
      </c>
      <c r="Q72" s="1366">
        <v>1001</v>
      </c>
      <c r="R72" s="203" t="s">
        <v>357</v>
      </c>
      <c r="S72" s="1366">
        <v>30000</v>
      </c>
      <c r="W72" s="1364">
        <v>0.05</v>
      </c>
      <c r="X72" s="135" t="s">
        <v>355</v>
      </c>
      <c r="Y72" s="1365">
        <v>71000</v>
      </c>
      <c r="Z72" s="135" t="s">
        <v>356</v>
      </c>
      <c r="AA72" s="1366">
        <v>0</v>
      </c>
      <c r="AB72" s="203" t="s">
        <v>357</v>
      </c>
      <c r="AC72" s="1366">
        <v>300</v>
      </c>
    </row>
    <row r="73" spans="1:29" ht="15.75">
      <c r="A73" s="1"/>
      <c r="B73" s="135" t="s">
        <v>359</v>
      </c>
      <c r="C73" s="133"/>
      <c r="D73" s="133"/>
      <c r="E73" s="1242">
        <f>IF('Budget-ADA'!J76&lt;300.99,0.05,(IF(AND('Budget-ADA'!J76 &gt;=301,'Budget-ADA'!J76&lt;=1000.99),0.04,IF(AND('Budget-ADA'!J76 &gt;=1001,'Budget-ADA'!J76&lt;=30000.99),0.03,0.02))))</f>
        <v>0.04</v>
      </c>
      <c r="F73" s="1242">
        <f>IF('Budget-ADA'!L76&lt;300.99,0.05,(IF(AND('Budget-ADA'!L76 &gt;=301,'Budget-ADA'!L76&lt;=1000.99),0.04,IF(AND('Budget-ADA'!L76 &gt;=1001,'Budget-ADA'!L76&lt;=30000.99),0.03,0.02))))</f>
        <v>0.04</v>
      </c>
      <c r="G73" s="133"/>
      <c r="H73" s="1242">
        <f>IF('Budget-ADA'!O76&lt;300.99,0.05,(IF(AND('Budget-ADA'!O76 &gt;=301,'Budget-ADA'!O76&lt;=1000.99),0.04,IF(AND('Budget-ADA'!O76 &gt;=1001,'Budget-ADA'!O76&lt;=30000.99),0.03,0.02))))</f>
        <v>0.04</v>
      </c>
      <c r="I73" s="133"/>
      <c r="J73" s="1242">
        <f>IF('Budget-ADA'!R76&lt;300.99,0.05,(IF(AND('Budget-ADA'!R76 &gt;=301,'Budget-ADA'!R76&lt;=1000.99),0.04,IF(AND('Budget-ADA'!R76 &gt;=1001,'Budget-ADA'!R76&lt;=30000.99),0.03,0.02))))</f>
        <v>0.04</v>
      </c>
      <c r="K73" s="133"/>
      <c r="M73" s="1364">
        <v>0.02</v>
      </c>
      <c r="Q73" s="1366">
        <v>30001</v>
      </c>
      <c r="R73" s="203" t="s">
        <v>357</v>
      </c>
      <c r="S73" s="1366">
        <v>400000</v>
      </c>
      <c r="W73" s="1364"/>
      <c r="X73" s="135"/>
      <c r="Y73" s="1365"/>
      <c r="Z73" s="135"/>
      <c r="AA73" s="1366"/>
      <c r="AB73" s="203"/>
      <c r="AC73" s="1366"/>
    </row>
    <row r="74" spans="1:29">
      <c r="B74" s="135" t="s">
        <v>360</v>
      </c>
      <c r="C74" s="133"/>
      <c r="E74" s="1438"/>
      <c r="F74" s="1438"/>
      <c r="G74" s="133"/>
      <c r="H74" s="1438"/>
      <c r="I74" s="133"/>
      <c r="J74" s="1438"/>
      <c r="M74" s="1364">
        <v>0.01</v>
      </c>
      <c r="Q74" s="1366">
        <v>400001</v>
      </c>
      <c r="R74" s="203" t="s">
        <v>361</v>
      </c>
      <c r="S74" s="1367"/>
      <c r="W74" s="1364">
        <v>0.04</v>
      </c>
      <c r="X74" s="135" t="s">
        <v>355</v>
      </c>
      <c r="Y74" s="1365">
        <v>71000</v>
      </c>
      <c r="Z74" s="135" t="s">
        <v>356</v>
      </c>
      <c r="AA74" s="1366">
        <v>301</v>
      </c>
      <c r="AB74" s="203" t="s">
        <v>357</v>
      </c>
      <c r="AC74" s="1366">
        <v>1000</v>
      </c>
    </row>
    <row r="75" spans="1:29">
      <c r="B75" s="133" t="s">
        <v>362</v>
      </c>
      <c r="C75" s="133"/>
      <c r="D75" s="133"/>
      <c r="E75" s="1243" t="str">
        <f>IF(E74="",IF(E71&gt;=E73,"Met","Not Met"),IF(E71&gt;=E74,"Met","Not Met"))</f>
        <v>Met</v>
      </c>
      <c r="F75" s="1243" t="str">
        <f>IF(F74="",IF(F71&gt;=F73,"Met","Not Met"),IF(F71&gt;=F74,"Met","Not Met"))</f>
        <v>Met</v>
      </c>
      <c r="G75" s="133"/>
      <c r="H75" s="1243" t="str">
        <f>IF(H74="",IF(H71&gt;=H73,"Met","Not Met"),IF(H71&gt;=H74,"Met","Not Met"))</f>
        <v>Met</v>
      </c>
      <c r="I75" s="133"/>
      <c r="J75" s="1243" t="str">
        <f>IF(J74="",IF(J71&gt;=J73,"Met","Not Met"),IF(J71&gt;=J74,"Met","Not Met"))</f>
        <v>Met</v>
      </c>
      <c r="K75" s="133"/>
      <c r="M75" s="1364"/>
      <c r="Q75" s="1366"/>
      <c r="R75" s="203"/>
      <c r="S75" s="1367"/>
      <c r="W75" s="1364">
        <v>0.03</v>
      </c>
      <c r="AA75" s="1366">
        <v>1001</v>
      </c>
      <c r="AB75" s="203" t="s">
        <v>357</v>
      </c>
      <c r="AC75" s="1366">
        <v>30000</v>
      </c>
    </row>
    <row r="76" spans="1:29" ht="9" customHeight="1" thickBot="1">
      <c r="B76" s="133"/>
      <c r="C76" s="133"/>
      <c r="D76" s="133"/>
      <c r="E76" s="1243"/>
      <c r="F76" s="1243"/>
      <c r="G76" s="133"/>
      <c r="H76" s="1243"/>
      <c r="I76" s="133"/>
      <c r="J76" s="1243"/>
      <c r="K76" s="133"/>
      <c r="M76" s="1364"/>
      <c r="Q76" s="1366"/>
      <c r="R76" s="203"/>
      <c r="S76" s="1367"/>
      <c r="W76" s="1364"/>
      <c r="AA76" s="1366"/>
      <c r="AB76" s="203"/>
      <c r="AC76" s="1366"/>
    </row>
    <row r="77" spans="1:29" s="2" customFormat="1" ht="16.5" thickBot="1">
      <c r="A77"/>
      <c r="B77" s="1787" t="s">
        <v>363</v>
      </c>
      <c r="C77" s="1788"/>
      <c r="D77" s="1788"/>
      <c r="E77" s="1788"/>
      <c r="F77" s="1788"/>
      <c r="G77" s="1788"/>
      <c r="H77" s="1788"/>
      <c r="I77" s="1788"/>
      <c r="J77" s="1788"/>
      <c r="K77" s="1789"/>
      <c r="M77" s="1364"/>
      <c r="N77"/>
      <c r="O77"/>
      <c r="P77"/>
      <c r="Q77" s="1366"/>
      <c r="R77" s="203"/>
      <c r="S77" s="1367"/>
    </row>
    <row r="78" spans="1:29" s="2" customFormat="1" ht="42" customHeight="1">
      <c r="A78"/>
      <c r="B78" s="1784"/>
      <c r="C78" s="1785"/>
      <c r="D78" s="1785"/>
      <c r="E78" s="1785"/>
      <c r="F78" s="1785"/>
      <c r="G78" s="1785"/>
      <c r="H78" s="1785"/>
      <c r="I78" s="1785"/>
      <c r="J78" s="1785"/>
      <c r="K78" s="1786"/>
      <c r="M78" s="1364"/>
      <c r="N78"/>
      <c r="O78"/>
      <c r="P78"/>
      <c r="Q78" s="1366"/>
      <c r="R78" s="203"/>
      <c r="S78" s="1367"/>
    </row>
    <row r="79" spans="1:29">
      <c r="M79" s="1364"/>
      <c r="N79" s="135"/>
      <c r="O79" s="1365"/>
      <c r="P79" s="135"/>
      <c r="Q79" s="1366"/>
      <c r="R79" s="203"/>
      <c r="S79" s="1366"/>
      <c r="W79" s="1364">
        <v>0.02</v>
      </c>
      <c r="AA79" s="1366">
        <v>30001</v>
      </c>
      <c r="AB79" s="203" t="s">
        <v>357</v>
      </c>
      <c r="AC79" s="1366">
        <v>400000</v>
      </c>
    </row>
    <row r="80" spans="1:29">
      <c r="B80" s="135" t="s">
        <v>364</v>
      </c>
      <c r="E80" s="1286">
        <f>ROUND(-MIN('Budget-Unrestricted MYP'!E46/('Budget-Unrestricted MYP'!E37+'Budget-Unrestricted MYP'!E43),0),3)</f>
        <v>0</v>
      </c>
      <c r="F80" s="1286">
        <f>ROUND(-MIN('Budget-Unrestricted MYP'!F46/('Budget-Unrestricted MYP'!F37+'Budget-Unrestricted MYP'!F43),0),3)</f>
        <v>0</v>
      </c>
      <c r="H80" s="1286">
        <f>ROUND(-MIN('Budget-Unrestricted MYP'!H46/('Budget-Unrestricted MYP'!H37+'Budget-Unrestricted MYP'!H43),0),3)</f>
        <v>0</v>
      </c>
      <c r="I80" s="884"/>
      <c r="J80" s="1286">
        <f>ROUND(-MIN('Budget-Unrestricted MYP'!J46/('Budget-Unrestricted MYP'!J37+'Budget-Unrestricted MYP'!J43),0),3)</f>
        <v>0</v>
      </c>
      <c r="N80" s="135"/>
      <c r="O80" s="1365"/>
      <c r="P80" s="135"/>
      <c r="Q80" s="1366"/>
      <c r="R80" s="203"/>
      <c r="S80" s="1366"/>
      <c r="W80" s="1364">
        <v>0.01</v>
      </c>
      <c r="AA80" s="1366">
        <v>400001</v>
      </c>
      <c r="AB80" s="203" t="s">
        <v>361</v>
      </c>
      <c r="AC80" s="1367"/>
    </row>
    <row r="81" spans="2:29">
      <c r="B81" s="133" t="s">
        <v>365</v>
      </c>
      <c r="E81" s="1287">
        <f>ROUND(E71/3,3)</f>
        <v>7.2999999999999995E-2</v>
      </c>
      <c r="F81" s="1287">
        <f>ROUND(F71/3,3)</f>
        <v>0.107</v>
      </c>
      <c r="H81" s="1287">
        <f>ROUND(H71/3,3)</f>
        <v>0.126</v>
      </c>
      <c r="I81" s="884"/>
      <c r="J81" s="1287">
        <f>ROUND(J71/3,3)</f>
        <v>0.14099999999999999</v>
      </c>
      <c r="M81" s="1368" t="s">
        <v>366</v>
      </c>
      <c r="N81" s="135"/>
      <c r="O81" s="1365"/>
      <c r="P81" s="135"/>
      <c r="Q81" s="1366"/>
      <c r="R81" s="203"/>
      <c r="S81" s="1366"/>
      <c r="W81" s="1364"/>
      <c r="AA81" s="1366"/>
      <c r="AB81" s="203"/>
      <c r="AC81" s="1367"/>
    </row>
    <row r="82" spans="2:29">
      <c r="B82" s="133" t="s">
        <v>367</v>
      </c>
      <c r="E82" s="1243" t="str">
        <f>IF(E80&lt;=E81,"Met","Not Met")</f>
        <v>Met</v>
      </c>
      <c r="F82" s="1243" t="str">
        <f>IF(F80&lt;=F81,"Met","Not Met")</f>
        <v>Met</v>
      </c>
      <c r="H82" s="1243" t="str">
        <f>IF(H80&lt;=H81,"Met","Not Met")</f>
        <v>Met</v>
      </c>
      <c r="J82" s="1243" t="str">
        <f>IF(J80&lt;=J81,"Met","Not Met")</f>
        <v>Met</v>
      </c>
      <c r="M82" s="1776" t="s">
        <v>368</v>
      </c>
      <c r="N82" s="1777"/>
      <c r="O82" s="1777"/>
      <c r="P82" s="1777"/>
      <c r="Q82" s="1777"/>
      <c r="R82" s="1777"/>
      <c r="S82" s="1777"/>
    </row>
    <row r="83" spans="2:29" ht="8.25" customHeight="1" thickBot="1">
      <c r="B83" s="133"/>
      <c r="E83" s="1243"/>
      <c r="F83" s="1243"/>
      <c r="H83" s="1243"/>
      <c r="J83" s="1243"/>
      <c r="M83" s="1776"/>
      <c r="N83" s="1777"/>
      <c r="O83" s="1777"/>
      <c r="P83" s="1777"/>
      <c r="Q83" s="1777"/>
      <c r="R83" s="1777"/>
      <c r="S83" s="1777"/>
    </row>
    <row r="84" spans="2:29" ht="13.5" thickBot="1">
      <c r="B84" s="1787" t="s">
        <v>369</v>
      </c>
      <c r="C84" s="1788"/>
      <c r="D84" s="1788"/>
      <c r="E84" s="1788"/>
      <c r="F84" s="1788"/>
      <c r="G84" s="1788"/>
      <c r="H84" s="1788"/>
      <c r="I84" s="1788"/>
      <c r="J84" s="1788"/>
      <c r="K84" s="1789"/>
      <c r="M84" s="1777"/>
      <c r="N84" s="1777"/>
      <c r="O84" s="1777"/>
      <c r="P84" s="1777"/>
      <c r="Q84" s="1777"/>
      <c r="R84" s="1777"/>
      <c r="S84" s="1777"/>
    </row>
    <row r="85" spans="2:29" ht="52.5" customHeight="1">
      <c r="B85" s="1781"/>
      <c r="C85" s="1782"/>
      <c r="D85" s="1782"/>
      <c r="E85" s="1782"/>
      <c r="F85" s="1782"/>
      <c r="G85" s="1782"/>
      <c r="H85" s="1782"/>
      <c r="I85" s="1782"/>
      <c r="J85" s="1782"/>
      <c r="K85" s="1783"/>
      <c r="M85" s="1777"/>
      <c r="N85" s="1777"/>
      <c r="O85" s="1777"/>
      <c r="P85" s="1777"/>
      <c r="Q85" s="1777"/>
      <c r="R85" s="1777"/>
      <c r="S85" s="1777"/>
    </row>
  </sheetData>
  <sheetProtection password="CC5F" sheet="1" objects="1" scenarios="1"/>
  <mergeCells count="30">
    <mergeCell ref="F27:K27"/>
    <mergeCell ref="A28:C28"/>
    <mergeCell ref="M82:S85"/>
    <mergeCell ref="A39:D39"/>
    <mergeCell ref="F58:K58"/>
    <mergeCell ref="F38:K38"/>
    <mergeCell ref="F40:K40"/>
    <mergeCell ref="F41:K41"/>
    <mergeCell ref="F48:K48"/>
    <mergeCell ref="B51:D51"/>
    <mergeCell ref="B85:K85"/>
    <mergeCell ref="B78:K78"/>
    <mergeCell ref="B77:K77"/>
    <mergeCell ref="B84:K84"/>
    <mergeCell ref="W71:Z71"/>
    <mergeCell ref="AA71:AC71"/>
    <mergeCell ref="M69:P69"/>
    <mergeCell ref="Q69:S69"/>
    <mergeCell ref="A1:D1"/>
    <mergeCell ref="A2:D2"/>
    <mergeCell ref="A3:D3"/>
    <mergeCell ref="B44:D44"/>
    <mergeCell ref="A46:D46"/>
    <mergeCell ref="B71:D71"/>
    <mergeCell ref="F28:K28"/>
    <mergeCell ref="B26:D26"/>
    <mergeCell ref="B37:D37"/>
    <mergeCell ref="A8:C8"/>
    <mergeCell ref="F11:K11"/>
    <mergeCell ref="F12:K12"/>
  </mergeCells>
  <conditionalFormatting sqref="A1:D3">
    <cfRule type="containsText" dxfId="346" priority="12" stopIfTrue="1" operator="containsText" text="Enter">
      <formula>NOT(ISERROR(SEARCH("Enter",A1)))</formula>
    </cfRule>
  </conditionalFormatting>
  <conditionalFormatting sqref="E82:F83 H82:H83 J82:J83 E75:F76 H75:H76 J75:J76">
    <cfRule type="containsText" dxfId="345" priority="11" stopIfTrue="1" operator="containsText" text="Met">
      <formula>NOT(ISERROR(SEARCH("Met",E75)))</formula>
    </cfRule>
  </conditionalFormatting>
  <conditionalFormatting sqref="E82:F83 H82:H83 J82:J83 E75:F76 H75:H76 J75:J76">
    <cfRule type="containsText" dxfId="344" priority="10" stopIfTrue="1" operator="containsText" text="Not Met">
      <formula>NOT(ISERROR(SEARCH("Not Met",E75)))</formula>
    </cfRule>
  </conditionalFormatting>
  <conditionalFormatting sqref="B73">
    <cfRule type="expression" dxfId="343" priority="9" stopIfTrue="1">
      <formula>$E$74=""</formula>
    </cfRule>
  </conditionalFormatting>
  <conditionalFormatting sqref="B74">
    <cfRule type="expression" dxfId="342" priority="8" stopIfTrue="1">
      <formula>$E$74&lt;&gt;0</formula>
    </cfRule>
  </conditionalFormatting>
  <conditionalFormatting sqref="E73">
    <cfRule type="expression" dxfId="341" priority="6" stopIfTrue="1">
      <formula>$E$74=""</formula>
    </cfRule>
  </conditionalFormatting>
  <conditionalFormatting sqref="J73">
    <cfRule type="expression" dxfId="340" priority="5" stopIfTrue="1">
      <formula>$F$74=""</formula>
    </cfRule>
  </conditionalFormatting>
  <conditionalFormatting sqref="F73">
    <cfRule type="expression" dxfId="339" priority="4" stopIfTrue="1">
      <formula>$F$74=""</formula>
    </cfRule>
  </conditionalFormatting>
  <conditionalFormatting sqref="H73">
    <cfRule type="expression" dxfId="338" priority="3" stopIfTrue="1">
      <formula>$H$74=""</formula>
    </cfRule>
  </conditionalFormatting>
  <conditionalFormatting sqref="B78">
    <cfRule type="containsText" dxfId="337" priority="2" stopIfTrue="1" operator="containsText" text="Met">
      <formula>NOT(ISERROR(SEARCH("Met",B78)))</formula>
    </cfRule>
  </conditionalFormatting>
  <conditionalFormatting sqref="B78">
    <cfRule type="containsText" dxfId="336" priority="1" stopIfTrue="1" operator="containsText" text="Not Met">
      <formula>NOT(ISERROR(SEARCH("Not Met",B78)))</formula>
    </cfRule>
  </conditionalFormatting>
  <pageMargins left="0.7" right="0.7" top="0.75" bottom="0.75" header="0.3" footer="0.3"/>
  <pageSetup scale="65" fitToHeight="0" orientation="landscape" r:id="rId1"/>
  <headerFooter>
    <oddHeader>&amp;RPage &amp;P of &amp;N</oddHeader>
    <oddFooter>Page &amp;P of &amp;N</oddFooter>
  </headerFooter>
  <rowBreaks count="1" manualBreakCount="1">
    <brk id="4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theme="6" tint="-0.249977111117893"/>
    <pageSetUpPr fitToPage="1"/>
  </sheetPr>
  <dimension ref="A1:L34"/>
  <sheetViews>
    <sheetView showGridLines="0" zoomScaleNormal="100" workbookViewId="0">
      <selection activeCell="H25" sqref="H25"/>
    </sheetView>
  </sheetViews>
  <sheetFormatPr defaultRowHeight="12.75"/>
  <cols>
    <col min="1" max="1" width="3.7109375" customWidth="1"/>
    <col min="2" max="2" width="25.7109375" customWidth="1"/>
    <col min="4" max="4" width="16.7109375" customWidth="1"/>
    <col min="5" max="10" width="14.7109375" customWidth="1"/>
    <col min="11" max="11" width="11.85546875" customWidth="1"/>
    <col min="12" max="12" width="83.42578125" style="1212" customWidth="1"/>
    <col min="13" max="34" width="9.140625" customWidth="1"/>
  </cols>
  <sheetData>
    <row r="1" spans="1:11" ht="18">
      <c r="A1" s="136" t="s">
        <v>370</v>
      </c>
      <c r="B1" s="136"/>
      <c r="H1" s="135"/>
      <c r="I1" s="135"/>
    </row>
    <row r="2" spans="1:11">
      <c r="A2" s="169" t="str">
        <f>'Budget-ADA'!I4</f>
        <v>Fiscal Year 2021-22 Budget</v>
      </c>
    </row>
    <row r="3" spans="1:11" ht="13.5" customHeight="1">
      <c r="A3" s="1636" t="str">
        <f>IF('BUDGET-CERTIFICATION'!$H$1="","CHARTER NAME: Enter Charter Name on BUDGET-CERTIFICATION Worksheet",(CONCATENATE("CHARTER NAME: ",'BUDGET-CERTIFICATION'!$H$1)))</f>
        <v>CHARTER NAME: Encore High School -</v>
      </c>
      <c r="B3" s="1636"/>
      <c r="C3" s="1636"/>
      <c r="D3" s="1636"/>
      <c r="E3" s="1636"/>
      <c r="F3" s="1636"/>
      <c r="G3" s="170"/>
      <c r="H3" s="170"/>
      <c r="I3" s="170"/>
    </row>
    <row r="4" spans="1:11">
      <c r="A4" s="996" t="str">
        <f>Instructions!H1</f>
        <v>Rev. 5/28/2021</v>
      </c>
    </row>
    <row r="5" spans="1:11" ht="12.75" customHeight="1">
      <c r="A5" s="1804" t="s">
        <v>371</v>
      </c>
      <c r="B5" s="1804"/>
      <c r="C5" s="1804"/>
      <c r="D5" s="1804"/>
      <c r="E5" s="1804"/>
      <c r="F5" s="1804"/>
      <c r="G5" s="1804"/>
      <c r="H5" s="1804"/>
      <c r="I5" s="367"/>
      <c r="J5" s="367"/>
      <c r="K5" s="367"/>
    </row>
    <row r="6" spans="1:11">
      <c r="A6" s="1804"/>
      <c r="B6" s="1804"/>
      <c r="C6" s="1804"/>
      <c r="D6" s="1804"/>
      <c r="E6" s="1804"/>
      <c r="F6" s="1804"/>
      <c r="G6" s="1804"/>
      <c r="H6" s="1804"/>
      <c r="I6" s="367"/>
      <c r="J6" s="367"/>
      <c r="K6" s="367"/>
    </row>
    <row r="7" spans="1:11">
      <c r="A7" s="1804"/>
      <c r="B7" s="1804"/>
      <c r="C7" s="1804"/>
      <c r="D7" s="1804"/>
      <c r="E7" s="1804"/>
      <c r="F7" s="1804"/>
      <c r="G7" s="1804"/>
      <c r="H7" s="1804"/>
    </row>
    <row r="8" spans="1:11" ht="12.75" customHeight="1">
      <c r="A8" s="1805" t="s">
        <v>372</v>
      </c>
      <c r="B8" s="1805"/>
      <c r="C8" s="1805"/>
      <c r="D8" s="1805"/>
      <c r="E8" s="1805"/>
      <c r="F8" s="1805"/>
      <c r="G8" s="1805"/>
      <c r="H8" s="1805"/>
    </row>
    <row r="10" spans="1:11" ht="19.5" customHeight="1" thickBot="1">
      <c r="A10" s="1305"/>
      <c r="B10" s="133" t="s">
        <v>373</v>
      </c>
    </row>
    <row r="11" spans="1:11" ht="19.5" customHeight="1" thickBot="1">
      <c r="A11" s="203"/>
      <c r="B11" s="133"/>
    </row>
    <row r="12" spans="1:11" ht="13.5" thickTop="1">
      <c r="A12" s="1369"/>
      <c r="B12" s="1370"/>
      <c r="C12" s="1371"/>
      <c r="D12" s="1372" t="s">
        <v>374</v>
      </c>
      <c r="E12" s="1798" t="str">
        <f>'Budget-Assumptions'!G6</f>
        <v>2021-22</v>
      </c>
      <c r="F12" s="1799"/>
      <c r="G12" s="1800" t="str">
        <f>'Budget-Assumptions'!H6</f>
        <v>2022-23</v>
      </c>
      <c r="H12" s="1801"/>
      <c r="I12" s="1800" t="str">
        <f>'Budget-Assumptions'!J6</f>
        <v>2023-24</v>
      </c>
      <c r="J12" s="1801"/>
      <c r="K12" s="1373" t="s">
        <v>375</v>
      </c>
    </row>
    <row r="13" spans="1:11">
      <c r="A13" s="1374"/>
      <c r="C13" s="1375" t="s">
        <v>376</v>
      </c>
      <c r="D13" s="1376" t="s">
        <v>377</v>
      </c>
      <c r="E13" s="1802" t="s">
        <v>378</v>
      </c>
      <c r="F13" s="1803"/>
      <c r="G13" s="1802" t="s">
        <v>378</v>
      </c>
      <c r="H13" s="1803"/>
      <c r="I13" s="1802" t="s">
        <v>378</v>
      </c>
      <c r="J13" s="1803"/>
      <c r="K13" s="1377" t="s">
        <v>379</v>
      </c>
    </row>
    <row r="14" spans="1:11" ht="13.5" thickBot="1">
      <c r="A14" s="1374" t="s">
        <v>380</v>
      </c>
      <c r="C14" s="1378" t="s">
        <v>381</v>
      </c>
      <c r="D14" s="1379" t="s">
        <v>382</v>
      </c>
      <c r="E14" s="1380" t="s">
        <v>383</v>
      </c>
      <c r="F14" s="1381" t="s">
        <v>250</v>
      </c>
      <c r="G14" s="1380" t="s">
        <v>383</v>
      </c>
      <c r="H14" s="1381" t="s">
        <v>250</v>
      </c>
      <c r="I14" s="1380" t="s">
        <v>383</v>
      </c>
      <c r="J14" s="1381" t="s">
        <v>250</v>
      </c>
      <c r="K14" s="1382"/>
    </row>
    <row r="15" spans="1:11" ht="18" customHeight="1" thickBot="1">
      <c r="A15" s="171" t="s">
        <v>384</v>
      </c>
      <c r="B15" s="172"/>
      <c r="C15" s="201"/>
      <c r="D15" s="28"/>
      <c r="E15" s="209"/>
      <c r="F15" s="211"/>
      <c r="G15" s="209"/>
      <c r="H15" s="211"/>
      <c r="I15" s="209"/>
      <c r="J15" s="211"/>
      <c r="K15" s="212"/>
    </row>
    <row r="16" spans="1:11" ht="18" customHeight="1" thickBot="1">
      <c r="A16" s="171" t="s">
        <v>385</v>
      </c>
      <c r="B16" s="172"/>
      <c r="C16" s="201"/>
      <c r="D16" s="28"/>
      <c r="E16" s="209"/>
      <c r="F16" s="211"/>
      <c r="G16" s="209"/>
      <c r="H16" s="211"/>
      <c r="I16" s="209"/>
      <c r="J16" s="211"/>
      <c r="K16" s="212"/>
    </row>
    <row r="17" spans="1:12" ht="18" customHeight="1" thickBot="1">
      <c r="A17" s="171" t="s">
        <v>386</v>
      </c>
      <c r="B17" s="172"/>
      <c r="C17" s="201"/>
      <c r="D17" s="28"/>
      <c r="E17" s="209"/>
      <c r="F17" s="211"/>
      <c r="G17" s="209"/>
      <c r="H17" s="211"/>
      <c r="I17" s="209"/>
      <c r="J17" s="211"/>
      <c r="K17" s="212"/>
    </row>
    <row r="18" spans="1:12" ht="18" customHeight="1" thickBot="1">
      <c r="A18" s="171" t="s">
        <v>387</v>
      </c>
      <c r="B18" s="172"/>
      <c r="C18" s="201"/>
      <c r="D18" s="193"/>
      <c r="E18" s="210"/>
      <c r="F18" s="211"/>
      <c r="G18" s="210"/>
      <c r="H18" s="211"/>
      <c r="I18" s="210"/>
      <c r="J18" s="211"/>
      <c r="K18" s="212"/>
    </row>
    <row r="19" spans="1:12" ht="18" customHeight="1" thickBot="1">
      <c r="A19" s="171" t="s">
        <v>388</v>
      </c>
      <c r="B19" s="172"/>
      <c r="C19" s="201"/>
      <c r="D19" s="28">
        <v>2000000</v>
      </c>
      <c r="E19" s="209">
        <v>2000000</v>
      </c>
      <c r="F19" s="211"/>
      <c r="G19" s="209"/>
      <c r="H19" s="211"/>
      <c r="I19" s="209"/>
      <c r="J19" s="211"/>
      <c r="K19" s="212"/>
    </row>
    <row r="20" spans="1:12" ht="18" customHeight="1" thickBot="1">
      <c r="A20" s="171" t="s">
        <v>389</v>
      </c>
      <c r="B20" s="172"/>
      <c r="C20" s="201"/>
      <c r="D20" s="28"/>
      <c r="E20" s="209"/>
      <c r="F20" s="211"/>
      <c r="G20" s="209"/>
      <c r="H20" s="211"/>
      <c r="I20" s="209"/>
      <c r="J20" s="211"/>
      <c r="K20" s="212"/>
    </row>
    <row r="21" spans="1:12" ht="18" customHeight="1" thickBot="1">
      <c r="A21" s="173" t="s">
        <v>390</v>
      </c>
      <c r="B21" s="172"/>
      <c r="C21" s="201"/>
      <c r="D21" s="28"/>
      <c r="E21" s="209"/>
      <c r="F21" s="211"/>
      <c r="G21" s="209"/>
      <c r="H21" s="211"/>
      <c r="I21" s="209"/>
      <c r="J21" s="211"/>
      <c r="K21" s="212"/>
    </row>
    <row r="22" spans="1:12" ht="18" customHeight="1" thickBot="1">
      <c r="A22" s="173" t="s">
        <v>390</v>
      </c>
      <c r="B22" s="173"/>
      <c r="C22" s="201" t="s">
        <v>391</v>
      </c>
      <c r="D22" s="28">
        <v>4237.53</v>
      </c>
      <c r="E22" s="209">
        <v>4209.46</v>
      </c>
      <c r="F22" s="211">
        <v>28.07</v>
      </c>
      <c r="G22" s="209"/>
      <c r="H22" s="211"/>
      <c r="I22" s="209"/>
      <c r="J22" s="211"/>
      <c r="K22" s="212" t="s">
        <v>392</v>
      </c>
      <c r="L22" s="1212" t="s">
        <v>393</v>
      </c>
    </row>
    <row r="23" spans="1:12" ht="18" customHeight="1" thickBot="1">
      <c r="A23" s="173" t="s">
        <v>390</v>
      </c>
      <c r="B23" s="172"/>
      <c r="C23" s="201"/>
      <c r="D23" s="28"/>
      <c r="E23" s="209"/>
      <c r="F23" s="211"/>
      <c r="G23" s="209"/>
      <c r="H23" s="211"/>
      <c r="I23" s="209"/>
      <c r="J23" s="211"/>
      <c r="K23" s="212"/>
    </row>
    <row r="24" spans="1:12" ht="18" customHeight="1" thickBot="1">
      <c r="A24" s="173" t="s">
        <v>394</v>
      </c>
      <c r="B24" s="172"/>
      <c r="C24" s="201">
        <v>1</v>
      </c>
      <c r="D24" s="28">
        <v>2467016.52</v>
      </c>
      <c r="E24" s="209">
        <v>2362582</v>
      </c>
      <c r="F24" s="211">
        <v>104435</v>
      </c>
      <c r="G24" s="209"/>
      <c r="H24" s="211"/>
      <c r="I24" s="209"/>
      <c r="J24" s="211"/>
      <c r="K24" s="212" t="s">
        <v>395</v>
      </c>
      <c r="L24" s="1240" t="s">
        <v>396</v>
      </c>
    </row>
    <row r="25" spans="1:12" ht="18" customHeight="1" thickBot="1">
      <c r="A25" s="173" t="s">
        <v>217</v>
      </c>
      <c r="B25" s="172"/>
      <c r="C25" s="1616" t="s">
        <v>397</v>
      </c>
      <c r="D25" s="1393">
        <v>187500</v>
      </c>
      <c r="E25" s="1394">
        <v>187500</v>
      </c>
      <c r="F25" s="1395"/>
      <c r="G25" s="1394"/>
      <c r="H25" s="1395"/>
      <c r="I25" s="1394"/>
      <c r="J25" s="1395"/>
      <c r="K25" s="212" t="s">
        <v>398</v>
      </c>
      <c r="L25" s="1212" t="s">
        <v>399</v>
      </c>
    </row>
    <row r="26" spans="1:12" s="133" customFormat="1" ht="18" customHeight="1" thickBot="1">
      <c r="A26" s="1390"/>
      <c r="B26" s="1391" t="s">
        <v>400</v>
      </c>
      <c r="C26" s="1392"/>
      <c r="D26" s="1396">
        <f>SUM(D15:D25)</f>
        <v>4658754.05</v>
      </c>
      <c r="E26" s="1397">
        <f t="shared" ref="E26:J26" si="0">SUM(E15:E25)</f>
        <v>4554291.46</v>
      </c>
      <c r="F26" s="1398">
        <f t="shared" si="0"/>
        <v>104463.07</v>
      </c>
      <c r="G26" s="1397">
        <f t="shared" si="0"/>
        <v>0</v>
      </c>
      <c r="H26" s="1398">
        <f t="shared" si="0"/>
        <v>0</v>
      </c>
      <c r="I26" s="1397">
        <f t="shared" si="0"/>
        <v>0</v>
      </c>
      <c r="J26" s="1398">
        <f t="shared" si="0"/>
        <v>0</v>
      </c>
      <c r="K26" s="1399"/>
      <c r="L26" s="1241"/>
    </row>
    <row r="27" spans="1:12" ht="9.75" customHeight="1">
      <c r="A27" s="1374"/>
      <c r="C27" s="174"/>
      <c r="D27" s="174"/>
      <c r="E27" s="174"/>
      <c r="F27" s="174"/>
      <c r="G27" s="174"/>
      <c r="H27" s="174"/>
      <c r="I27" s="174"/>
      <c r="J27" s="174"/>
      <c r="K27" s="1383"/>
    </row>
    <row r="28" spans="1:12" ht="18" customHeight="1" thickBot="1">
      <c r="A28" s="1384" t="s">
        <v>401</v>
      </c>
      <c r="B28" s="175"/>
      <c r="C28" s="1385"/>
      <c r="D28" s="1385"/>
      <c r="E28" s="1385"/>
      <c r="F28" s="1385"/>
      <c r="G28" s="1385"/>
      <c r="H28" s="1385"/>
      <c r="I28" s="1385"/>
      <c r="J28" s="1385"/>
      <c r="K28" s="1386"/>
    </row>
    <row r="29" spans="1:12" ht="18" customHeight="1" thickBot="1">
      <c r="A29" s="1790" t="s">
        <v>402</v>
      </c>
      <c r="B29" s="1791"/>
      <c r="C29" s="1791"/>
      <c r="D29" s="1791"/>
      <c r="E29" s="1791"/>
      <c r="F29" s="1791"/>
      <c r="G29" s="1791"/>
      <c r="H29" s="1791"/>
      <c r="I29" s="1791"/>
      <c r="J29" s="1791"/>
      <c r="K29" s="1792"/>
    </row>
    <row r="30" spans="1:12" ht="18" customHeight="1" thickBot="1">
      <c r="A30" s="1790"/>
      <c r="B30" s="1793"/>
      <c r="C30" s="1793"/>
      <c r="D30" s="1793"/>
      <c r="E30" s="1793"/>
      <c r="F30" s="1793"/>
      <c r="G30" s="1793"/>
      <c r="H30" s="1793"/>
      <c r="I30" s="1793"/>
      <c r="J30" s="1793"/>
      <c r="K30" s="1794"/>
    </row>
    <row r="31" spans="1:12" ht="18" customHeight="1" thickBot="1">
      <c r="A31" s="1790"/>
      <c r="B31" s="1791"/>
      <c r="C31" s="1791"/>
      <c r="D31" s="1791"/>
      <c r="E31" s="1791"/>
      <c r="F31" s="1791"/>
      <c r="G31" s="1791"/>
      <c r="H31" s="1791"/>
      <c r="I31" s="1791"/>
      <c r="J31" s="1791"/>
      <c r="K31" s="1792"/>
    </row>
    <row r="32" spans="1:12" ht="18" customHeight="1">
      <c r="A32" s="1387" t="s">
        <v>403</v>
      </c>
      <c r="B32" s="1388"/>
      <c r="C32" s="1388"/>
      <c r="D32" s="1388"/>
      <c r="E32" s="1388"/>
      <c r="F32" s="1388"/>
      <c r="G32" s="1388"/>
      <c r="H32" s="1388"/>
      <c r="I32" s="1388"/>
      <c r="J32" s="1388"/>
      <c r="K32" s="1389"/>
    </row>
    <row r="33" spans="1:11" ht="81" customHeight="1" thickBot="1">
      <c r="A33" s="1795" t="s">
        <v>404</v>
      </c>
      <c r="B33" s="1796"/>
      <c r="C33" s="1796"/>
      <c r="D33" s="1796"/>
      <c r="E33" s="1796"/>
      <c r="F33" s="1796"/>
      <c r="G33" s="1796"/>
      <c r="H33" s="1796"/>
      <c r="I33" s="1796"/>
      <c r="J33" s="1796"/>
      <c r="K33" s="1797"/>
    </row>
    <row r="34" spans="1:11" ht="13.5" thickTop="1"/>
  </sheetData>
  <sheetProtection password="CC5F" sheet="1" objects="1" scenarios="1"/>
  <mergeCells count="13">
    <mergeCell ref="A29:K29"/>
    <mergeCell ref="A30:K30"/>
    <mergeCell ref="A31:K31"/>
    <mergeCell ref="A33:K33"/>
    <mergeCell ref="A3:F3"/>
    <mergeCell ref="E12:F12"/>
    <mergeCell ref="G12:H12"/>
    <mergeCell ref="I12:J12"/>
    <mergeCell ref="E13:F13"/>
    <mergeCell ref="G13:H13"/>
    <mergeCell ref="I13:J13"/>
    <mergeCell ref="A5:H7"/>
    <mergeCell ref="A8:H8"/>
  </mergeCells>
  <conditionalFormatting sqref="A3">
    <cfRule type="containsText" dxfId="335" priority="1" stopIfTrue="1" operator="containsText" text="Enter">
      <formula>NOT(ISERROR(SEARCH("Enter",A3)))</formula>
    </cfRule>
  </conditionalFormatting>
  <printOptions horizontalCentered="1"/>
  <pageMargins left="0.5" right="0.5" top="0.75" bottom="0.75" header="0.5" footer="0.5"/>
  <pageSetup scale="54"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6" tint="-0.249977111117893"/>
    <pageSetUpPr fitToPage="1"/>
  </sheetPr>
  <dimension ref="A1:AG65"/>
  <sheetViews>
    <sheetView showGridLines="0" zoomScale="70" zoomScaleNormal="70" workbookViewId="0">
      <pane xSplit="4" ySplit="7" topLeftCell="E8" activePane="bottomRight" state="frozen"/>
      <selection pane="topRight" activeCell="H25" sqref="H25"/>
      <selection pane="bottomLeft" activeCell="H25" sqref="H25"/>
      <selection pane="bottomRight" activeCell="W16" sqref="W16"/>
    </sheetView>
  </sheetViews>
  <sheetFormatPr defaultRowHeight="12.75"/>
  <cols>
    <col min="1" max="1" width="2.5703125" customWidth="1"/>
    <col min="2" max="2" width="45.85546875" customWidth="1"/>
    <col min="3" max="3" width="14.7109375" customWidth="1"/>
    <col min="4" max="4" width="12.85546875" customWidth="1"/>
    <col min="5" max="5" width="13.140625" style="174" customWidth="1"/>
    <col min="6" max="6" width="8.7109375" customWidth="1"/>
    <col min="7" max="7" width="13.140625" style="174" customWidth="1"/>
    <col min="8" max="8" width="8.7109375" customWidth="1"/>
    <col min="9" max="9" width="13.140625" style="174" customWidth="1"/>
    <col min="10" max="10" width="8.7109375" customWidth="1"/>
    <col min="11" max="11" width="13.140625" style="174" customWidth="1"/>
    <col min="12" max="12" width="8.7109375" customWidth="1"/>
    <col min="13" max="13" width="13.140625" style="174" customWidth="1"/>
    <col min="14" max="14" width="8.7109375" customWidth="1"/>
    <col min="15" max="15" width="13.140625" style="174" customWidth="1"/>
    <col min="16" max="16" width="8.7109375" customWidth="1"/>
    <col min="17" max="17" width="13.140625" style="174" customWidth="1"/>
    <col min="18" max="18" width="8.7109375" customWidth="1"/>
    <col min="19" max="19" width="13.42578125" style="174" customWidth="1"/>
    <col min="20" max="20" width="9.140625" customWidth="1"/>
    <col min="21" max="21" width="13.42578125" style="174" customWidth="1"/>
    <col min="22" max="22" width="9.140625" customWidth="1"/>
    <col min="23" max="23" width="13.42578125" style="174" customWidth="1"/>
    <col min="24" max="24" width="9.140625" customWidth="1"/>
    <col min="25" max="25" width="13.42578125" style="174" customWidth="1"/>
    <col min="26" max="26" width="9.140625" customWidth="1"/>
    <col min="27" max="27" width="13.42578125" style="174" customWidth="1"/>
    <col min="28" max="28" width="9.140625" customWidth="1"/>
    <col min="29" max="29" width="13.42578125" style="174" customWidth="1"/>
    <col min="30" max="30" width="17" style="174" customWidth="1"/>
    <col min="31" max="32" width="13.7109375" style="174" customWidth="1"/>
    <col min="33" max="33" width="70.5703125" customWidth="1"/>
  </cols>
  <sheetData>
    <row r="1" spans="1:33" ht="16.5" thickBot="1">
      <c r="A1" s="176"/>
      <c r="B1" s="176"/>
      <c r="C1" s="176"/>
      <c r="D1" s="176"/>
      <c r="E1" s="1020"/>
      <c r="F1" s="1815" t="str">
        <f>IF('BUDGET-CERTIFICATION'!$H$1="","CHARTER NAME: Enter Charter Name on BUDGET-CERTIFICATION Worksheet",(CONCATENATE("CHARTER NAME: ",'BUDGET-CERTIFICATION'!$H$1)))</f>
        <v>CHARTER NAME: Encore High School -</v>
      </c>
      <c r="G1" s="1815"/>
      <c r="H1" s="1815"/>
      <c r="I1" s="1815"/>
      <c r="J1" s="1815"/>
      <c r="K1" s="1815"/>
      <c r="L1" s="1815"/>
      <c r="M1" s="1029"/>
      <c r="N1" s="178"/>
      <c r="O1" s="1030"/>
      <c r="P1" s="178"/>
      <c r="Q1" s="1020"/>
      <c r="R1" s="178"/>
      <c r="S1" s="1029"/>
      <c r="T1" s="1815" t="str">
        <f>IF('BUDGET-CERTIFICATION'!$H$1="","CHARTER NAME: Enter Charter Name on BUDGET-CERTIFICATION Worksheet",(CONCATENATE("CHARTER NAME: ",'BUDGET-CERTIFICATION'!$H$1)))</f>
        <v>CHARTER NAME: Encore High School -</v>
      </c>
      <c r="U1" s="1815"/>
      <c r="V1" s="1815"/>
      <c r="W1" s="1815"/>
      <c r="X1" s="1815"/>
      <c r="Y1" s="1815"/>
      <c r="Z1" s="1815"/>
      <c r="AD1" s="1023"/>
      <c r="AE1" s="1023"/>
      <c r="AF1" s="1023"/>
      <c r="AG1" s="1212"/>
    </row>
    <row r="2" spans="1:33" ht="15.75">
      <c r="B2" s="183" t="s">
        <v>405</v>
      </c>
      <c r="C2" s="96">
        <v>44344</v>
      </c>
      <c r="D2" s="184"/>
      <c r="G2" s="1808" t="str">
        <f>""&amp;'Budget-ADA'!K7&amp;"  Budget Cash Flow"</f>
        <v>2021-22  Budget Cash Flow</v>
      </c>
      <c r="H2" s="1808"/>
      <c r="I2" s="1808"/>
      <c r="J2" s="1808"/>
      <c r="K2" s="1808"/>
      <c r="M2" s="1029"/>
      <c r="O2" s="1020"/>
      <c r="Q2" s="1023"/>
      <c r="U2" s="1020"/>
      <c r="W2" s="1029" t="str">
        <f>+G2</f>
        <v>2021-22  Budget Cash Flow</v>
      </c>
      <c r="Y2" s="1020"/>
      <c r="AA2" s="1029"/>
      <c r="AC2" s="1023"/>
      <c r="AD2" s="1023"/>
      <c r="AE2" s="1023"/>
      <c r="AF2" s="1023"/>
      <c r="AG2" s="1212"/>
    </row>
    <row r="3" spans="1:33" ht="16.5" thickBot="1">
      <c r="A3" s="1090" t="str">
        <f>Instructions!H1</f>
        <v>Rev. 5/28/2021</v>
      </c>
      <c r="B3" s="182"/>
      <c r="C3" s="22"/>
      <c r="D3" s="22"/>
      <c r="E3" s="20"/>
      <c r="F3" s="24"/>
      <c r="G3" s="1023"/>
      <c r="H3" s="24"/>
      <c r="I3" s="1023"/>
      <c r="J3" s="24"/>
      <c r="K3" s="1023"/>
      <c r="L3" s="24"/>
      <c r="M3" s="1023"/>
      <c r="N3" s="24"/>
      <c r="O3" s="1023"/>
      <c r="P3" s="24"/>
      <c r="Q3" s="1023"/>
      <c r="R3" s="24"/>
      <c r="S3" s="1023"/>
      <c r="T3" s="24"/>
      <c r="U3" s="1023"/>
      <c r="V3" s="24"/>
      <c r="W3" s="1023"/>
      <c r="X3" s="24"/>
      <c r="Y3" s="1023"/>
      <c r="Z3" s="24"/>
      <c r="AA3" s="1023"/>
      <c r="AB3" s="24"/>
      <c r="AC3" s="1023"/>
      <c r="AD3" s="1023"/>
      <c r="AE3" s="1023"/>
      <c r="AF3" s="1023"/>
      <c r="AG3" s="1212"/>
    </row>
    <row r="4" spans="1:33" ht="15.75">
      <c r="A4" s="402"/>
      <c r="B4" s="71"/>
      <c r="C4" s="71"/>
      <c r="D4" s="527"/>
      <c r="E4" s="1021" t="s">
        <v>406</v>
      </c>
      <c r="F4" s="403" t="s">
        <v>407</v>
      </c>
      <c r="G4" s="1024" t="s">
        <v>408</v>
      </c>
      <c r="H4" s="403" t="s">
        <v>407</v>
      </c>
      <c r="I4" s="1024" t="s">
        <v>409</v>
      </c>
      <c r="J4" s="403" t="s">
        <v>407</v>
      </c>
      <c r="K4" s="1024" t="s">
        <v>410</v>
      </c>
      <c r="L4" s="403" t="s">
        <v>407</v>
      </c>
      <c r="M4" s="1024" t="s">
        <v>411</v>
      </c>
      <c r="N4" s="403" t="s">
        <v>407</v>
      </c>
      <c r="O4" s="1024" t="s">
        <v>412</v>
      </c>
      <c r="P4" s="403" t="s">
        <v>407</v>
      </c>
      <c r="Q4" s="1024" t="s">
        <v>413</v>
      </c>
      <c r="R4" s="1004" t="s">
        <v>407</v>
      </c>
      <c r="S4" s="1024" t="s">
        <v>414</v>
      </c>
      <c r="T4" s="403" t="s">
        <v>407</v>
      </c>
      <c r="U4" s="1024" t="s">
        <v>415</v>
      </c>
      <c r="V4" s="403" t="s">
        <v>407</v>
      </c>
      <c r="W4" s="1024" t="s">
        <v>416</v>
      </c>
      <c r="X4" s="403" t="s">
        <v>407</v>
      </c>
      <c r="Y4" s="1024" t="s">
        <v>417</v>
      </c>
      <c r="Z4" s="403" t="s">
        <v>407</v>
      </c>
      <c r="AA4" s="1024" t="s">
        <v>418</v>
      </c>
      <c r="AB4" s="403" t="s">
        <v>407</v>
      </c>
      <c r="AC4" s="1024" t="s">
        <v>229</v>
      </c>
      <c r="AD4" s="1032"/>
      <c r="AE4" s="1032" t="s">
        <v>232</v>
      </c>
      <c r="AF4" s="1032"/>
      <c r="AG4" s="1212"/>
    </row>
    <row r="5" spans="1:33" ht="16.5" thickBot="1">
      <c r="A5" s="186"/>
      <c r="B5" s="22"/>
      <c r="C5" s="22"/>
      <c r="D5" s="528"/>
      <c r="E5" s="1022" t="s">
        <v>229</v>
      </c>
      <c r="F5" s="60" t="s">
        <v>419</v>
      </c>
      <c r="G5" s="1025" t="s">
        <v>229</v>
      </c>
      <c r="H5" s="60" t="s">
        <v>419</v>
      </c>
      <c r="I5" s="1025" t="s">
        <v>229</v>
      </c>
      <c r="J5" s="60" t="s">
        <v>419</v>
      </c>
      <c r="K5" s="1025" t="s">
        <v>229</v>
      </c>
      <c r="L5" s="60" t="s">
        <v>419</v>
      </c>
      <c r="M5" s="1025" t="s">
        <v>229</v>
      </c>
      <c r="N5" s="60" t="s">
        <v>419</v>
      </c>
      <c r="O5" s="1025" t="s">
        <v>229</v>
      </c>
      <c r="P5" s="60" t="s">
        <v>419</v>
      </c>
      <c r="Q5" s="1025" t="s">
        <v>229</v>
      </c>
      <c r="R5" s="1005" t="s">
        <v>419</v>
      </c>
      <c r="S5" s="1025" t="s">
        <v>229</v>
      </c>
      <c r="T5" s="60" t="s">
        <v>419</v>
      </c>
      <c r="U5" s="1025" t="s">
        <v>229</v>
      </c>
      <c r="V5" s="60" t="s">
        <v>419</v>
      </c>
      <c r="W5" s="1025" t="s">
        <v>229</v>
      </c>
      <c r="X5" s="60" t="s">
        <v>419</v>
      </c>
      <c r="Y5" s="1025" t="s">
        <v>229</v>
      </c>
      <c r="Z5" s="60" t="s">
        <v>419</v>
      </c>
      <c r="AA5" s="1025" t="s">
        <v>229</v>
      </c>
      <c r="AB5" s="60" t="s">
        <v>419</v>
      </c>
      <c r="AC5" s="1025" t="s">
        <v>420</v>
      </c>
      <c r="AD5" s="1033" t="s">
        <v>400</v>
      </c>
      <c r="AE5" s="1033" t="s">
        <v>234</v>
      </c>
      <c r="AF5" s="1033" t="s">
        <v>421</v>
      </c>
      <c r="AG5" s="1212"/>
    </row>
    <row r="6" spans="1:33" ht="17.25" thickTop="1" thickBot="1">
      <c r="A6" s="189" t="s">
        <v>422</v>
      </c>
      <c r="B6" s="180"/>
      <c r="D6" s="529" t="str">
        <f>""&amp;'Budget-DEBT'!$D$12&amp;" Cash="</f>
        <v>July 1, Cash=</v>
      </c>
      <c r="E6" s="526">
        <v>393063</v>
      </c>
      <c r="F6" s="61"/>
      <c r="G6" s="389">
        <f>+E60</f>
        <v>1048522.6780722225</v>
      </c>
      <c r="H6" s="61"/>
      <c r="I6" s="389">
        <f>+G60</f>
        <v>1027941.6528192722</v>
      </c>
      <c r="J6" s="61"/>
      <c r="K6" s="389">
        <f>+I60</f>
        <v>1623781.2691551219</v>
      </c>
      <c r="L6" s="61"/>
      <c r="M6" s="389">
        <f>+K60</f>
        <v>1252523.2704909716</v>
      </c>
      <c r="N6" s="61"/>
      <c r="O6" s="389">
        <f>+M60</f>
        <v>174356.02911848784</v>
      </c>
      <c r="P6" s="61"/>
      <c r="Q6" s="389">
        <f>+O60</f>
        <v>35118.204317973694</v>
      </c>
      <c r="R6" s="1006"/>
      <c r="S6" s="389">
        <f>+Q60</f>
        <v>20661.977996230708</v>
      </c>
      <c r="T6" s="61"/>
      <c r="U6" s="389">
        <f>+S60</f>
        <v>54014.268341154326</v>
      </c>
      <c r="V6" s="61"/>
      <c r="W6" s="389">
        <f>+U60</f>
        <v>91067.328686077846</v>
      </c>
      <c r="X6" s="61"/>
      <c r="Y6" s="389">
        <f>+W60</f>
        <v>231841.89236433478</v>
      </c>
      <c r="Z6" s="61"/>
      <c r="AA6" s="389">
        <f>+Y60</f>
        <v>872616.45604259172</v>
      </c>
      <c r="AB6" s="61"/>
      <c r="AC6" s="389">
        <f>+AA60</f>
        <v>491930.88305418217</v>
      </c>
      <c r="AD6" s="57"/>
      <c r="AE6" s="57"/>
      <c r="AF6" s="57"/>
      <c r="AG6" s="1212"/>
    </row>
    <row r="7" spans="1:33" ht="16.5" thickTop="1">
      <c r="A7" s="404"/>
      <c r="B7" s="368"/>
      <c r="C7" s="64"/>
      <c r="D7" s="64"/>
      <c r="E7" s="1084"/>
      <c r="F7" s="62"/>
      <c r="G7" s="1026"/>
      <c r="H7" s="62"/>
      <c r="I7" s="1026"/>
      <c r="J7" s="62"/>
      <c r="K7" s="1026"/>
      <c r="L7" s="62"/>
      <c r="M7" s="1026"/>
      <c r="N7" s="62"/>
      <c r="O7" s="1026"/>
      <c r="P7" s="62"/>
      <c r="Q7" s="1026"/>
      <c r="R7" s="62"/>
      <c r="S7" s="1026"/>
      <c r="T7" s="62"/>
      <c r="U7" s="1026"/>
      <c r="V7" s="62"/>
      <c r="W7" s="1026"/>
      <c r="X7" s="62"/>
      <c r="Y7" s="1026"/>
      <c r="Z7" s="62"/>
      <c r="AA7" s="1026"/>
      <c r="AB7" s="62"/>
      <c r="AC7" s="1026"/>
      <c r="AD7" s="1026"/>
      <c r="AE7" s="1026"/>
      <c r="AF7" s="1038"/>
      <c r="AG7" s="1212"/>
    </row>
    <row r="8" spans="1:33" ht="15.75">
      <c r="A8" s="66" t="s">
        <v>423</v>
      </c>
      <c r="B8" s="522"/>
      <c r="C8" s="373"/>
      <c r="D8" s="373"/>
      <c r="E8" s="545"/>
      <c r="F8" s="165"/>
      <c r="G8" s="1027"/>
      <c r="H8" s="165"/>
      <c r="I8" s="1027"/>
      <c r="J8" s="165"/>
      <c r="K8" s="1027"/>
      <c r="L8" s="165"/>
      <c r="M8" s="1027"/>
      <c r="N8" s="165"/>
      <c r="O8" s="1027"/>
      <c r="P8" s="165"/>
      <c r="Q8" s="1027"/>
      <c r="R8" s="165"/>
      <c r="S8" s="1027"/>
      <c r="T8" s="165"/>
      <c r="U8" s="1027"/>
      <c r="V8" s="165"/>
      <c r="W8" s="1027"/>
      <c r="X8" s="165"/>
      <c r="Y8" s="1027"/>
      <c r="Z8" s="165"/>
      <c r="AA8" s="1027"/>
      <c r="AB8" s="165"/>
      <c r="AC8" s="1027"/>
      <c r="AD8" s="1027"/>
      <c r="AE8" s="1027"/>
      <c r="AF8" s="1035"/>
      <c r="AG8" s="1212"/>
    </row>
    <row r="9" spans="1:33" ht="15.75">
      <c r="A9" s="406" t="s">
        <v>236</v>
      </c>
      <c r="B9" s="140"/>
      <c r="C9" s="140"/>
      <c r="D9" s="376"/>
      <c r="E9" s="381"/>
      <c r="F9" s="386"/>
      <c r="G9" s="1028"/>
      <c r="H9" s="386"/>
      <c r="I9" s="1028"/>
      <c r="J9" s="386"/>
      <c r="K9" s="1028"/>
      <c r="L9" s="386"/>
      <c r="M9" s="1028"/>
      <c r="N9" s="386"/>
      <c r="O9" s="1028"/>
      <c r="P9" s="386"/>
      <c r="Q9" s="1028"/>
      <c r="R9" s="386"/>
      <c r="S9" s="1031"/>
      <c r="T9" s="386"/>
      <c r="U9" s="1028"/>
      <c r="V9" s="386"/>
      <c r="W9" s="1028"/>
      <c r="X9" s="386"/>
      <c r="Y9" s="1028"/>
      <c r="Z9" s="386"/>
      <c r="AA9" s="1028"/>
      <c r="AB9" s="386"/>
      <c r="AC9" s="1031"/>
      <c r="AD9" s="1031"/>
      <c r="AE9" s="1031"/>
      <c r="AF9" s="387"/>
      <c r="AG9" s="1212"/>
    </row>
    <row r="10" spans="1:33" ht="15.75">
      <c r="A10" s="406"/>
      <c r="B10" s="279" t="s">
        <v>237</v>
      </c>
      <c r="C10" s="278">
        <v>8011</v>
      </c>
      <c r="D10" s="376"/>
      <c r="E10" s="377">
        <v>261249.65000000002</v>
      </c>
      <c r="F10" s="340">
        <f>IF($AE10&lt;1," ",IF(E10&lt;1," ",(E10)/$AE10))</f>
        <v>3.9758767067187006E-2</v>
      </c>
      <c r="G10" s="390">
        <v>261249.65000000002</v>
      </c>
      <c r="H10" s="340">
        <f>IF($AE10&lt;1," ",IF(G10&lt;1," ",(G10)/$AE10))</f>
        <v>3.9758767067187006E-2</v>
      </c>
      <c r="I10" s="390">
        <v>470249.37</v>
      </c>
      <c r="J10" s="340">
        <f>IF($AE10&lt;1," ",IF(I10&lt;1," ",(I10)/$AE10))</f>
        <v>7.1565780720936611E-2</v>
      </c>
      <c r="K10" s="390">
        <v>470249.37</v>
      </c>
      <c r="L10" s="340">
        <f>IF($AE10&lt;1," ",IF(K10&lt;1," ",(K10)/$AE10))</f>
        <v>7.1565780720936611E-2</v>
      </c>
      <c r="M10" s="390">
        <v>470249.37</v>
      </c>
      <c r="N10" s="531">
        <f>IF($AE10&lt;1," ",IF(M10&lt;1," ",(M10)/$AE10))</f>
        <v>7.1565780720936611E-2</v>
      </c>
      <c r="O10" s="390">
        <v>470249.37</v>
      </c>
      <c r="P10" s="340">
        <f>IF($AE10&lt;1," ",IF(O10&lt;1," ",(O10)/$AE10))</f>
        <v>7.1565780720936611E-2</v>
      </c>
      <c r="Q10" s="390">
        <v>470249.37</v>
      </c>
      <c r="R10" s="531">
        <f>IF($AE10&lt;1," ",IF(Q10&lt;1," ",(Q10)/$AE10))</f>
        <v>7.1565780720936611E-2</v>
      </c>
      <c r="S10" s="378">
        <v>739424.57</v>
      </c>
      <c r="T10" s="340">
        <f>IF($AE10&lt;1," ",IF(S10&lt;1," ",(S10)/$AE10))</f>
        <v>0.11253071245218858</v>
      </c>
      <c r="U10" s="390">
        <v>739424.57</v>
      </c>
      <c r="V10" s="340">
        <f>IF($AE10&lt;1," ",IF(U10&lt;1," ",(U10)/$AE10))</f>
        <v>0.11253071245218858</v>
      </c>
      <c r="W10" s="390">
        <v>739424.57</v>
      </c>
      <c r="X10" s="340">
        <f>IF($AE10&lt;1," ",IF(W10&lt;1," ",(W10)/$AE10))</f>
        <v>0.11253071245218858</v>
      </c>
      <c r="Y10" s="390">
        <v>739424.57</v>
      </c>
      <c r="Z10" s="340">
        <f>IF($AE10&lt;1," ",IF(Y10&lt;1," ",(Y10)/$AE10))</f>
        <v>0.11253071245218858</v>
      </c>
      <c r="AA10" s="390"/>
      <c r="AB10" s="340" t="str">
        <f>IF($AE10&lt;1," ",IF(AA10&lt;1," ",(AA10)/$AE10))</f>
        <v xml:space="preserve"> </v>
      </c>
      <c r="AC10" s="1600">
        <f>AE10-(E10+G10+I10+K10+M10+O10+Q10+S10+U10+W10+Y10+AA10)</f>
        <v>739424.56999999937</v>
      </c>
      <c r="AD10" s="379">
        <f>+E10+G10+I10+K10+M10+O10+Q10+S10+U10+W10+Y10+AA10+AC10</f>
        <v>6570869</v>
      </c>
      <c r="AE10" s="379">
        <f>'Budget-Summary MYP'!F13</f>
        <v>6570869</v>
      </c>
      <c r="AF10" s="379">
        <f>+AE10-AD10</f>
        <v>0</v>
      </c>
      <c r="AG10" s="1212"/>
    </row>
    <row r="11" spans="1:33" ht="15.75">
      <c r="A11" s="406"/>
      <c r="B11" s="279" t="s">
        <v>239</v>
      </c>
      <c r="C11" s="278">
        <v>8012</v>
      </c>
      <c r="D11" s="376"/>
      <c r="E11" s="377"/>
      <c r="F11" s="340" t="str">
        <f>IF($AE11&lt;1," ",IF(E11&lt;1," ",(E11)/$AE11))</f>
        <v xml:space="preserve"> </v>
      </c>
      <c r="G11" s="390"/>
      <c r="H11" s="340" t="str">
        <f>IF($AE11&lt;1," ",IF(G11&lt;1," ",(G11)/$AE11))</f>
        <v xml:space="preserve"> </v>
      </c>
      <c r="I11" s="390">
        <v>492358.75</v>
      </c>
      <c r="J11" s="340">
        <f>IF($AE11&lt;1," ",IF(I11&lt;1," ",(I11)/$AE11))</f>
        <v>0.28242510719458508</v>
      </c>
      <c r="K11" s="390"/>
      <c r="L11" s="340" t="str">
        <f>IF($AE11&lt;1," ",IF(K11&lt;1," ",(K11)/$AE11))</f>
        <v xml:space="preserve"> </v>
      </c>
      <c r="M11" s="390"/>
      <c r="N11" s="531" t="str">
        <f>IF($AE11&lt;1," ",IF(M11&lt;1," ",(M11)/$AE11))</f>
        <v xml:space="preserve"> </v>
      </c>
      <c r="O11" s="390">
        <v>492358.75</v>
      </c>
      <c r="P11" s="340">
        <f>IF($AE11&lt;1," ",IF(O11&lt;1," ",(O11)/$AE11))</f>
        <v>0.28242510719458508</v>
      </c>
      <c r="Q11" s="390"/>
      <c r="R11" s="531" t="str">
        <f>IF($AE11&lt;1," ",IF(Q11&lt;1," ",(Q11)/$AE11))</f>
        <v xml:space="preserve"> </v>
      </c>
      <c r="S11" s="378"/>
      <c r="T11" s="340" t="str">
        <f>IF($AE11&lt;1," ",IF(S11&lt;1," ",(S11)/$AE11))</f>
        <v xml:space="preserve"> </v>
      </c>
      <c r="U11" s="390">
        <v>379303.75</v>
      </c>
      <c r="V11" s="340">
        <f>IF($AE11&lt;1," ",IF(U11&lt;1," ",(U11)/$AE11))</f>
        <v>0.21757489280541495</v>
      </c>
      <c r="W11" s="390"/>
      <c r="X11" s="340" t="str">
        <f>IF($AE11&lt;1," ",IF(W11&lt;1," ",(W11)/$AE11))</f>
        <v xml:space="preserve"> </v>
      </c>
      <c r="Y11" s="390"/>
      <c r="Z11" s="340" t="str">
        <f>IF($AE11&lt;1," ",IF(Y11&lt;1," ",(Y11)/$AE11))</f>
        <v xml:space="preserve"> </v>
      </c>
      <c r="AA11" s="390">
        <v>379303.75</v>
      </c>
      <c r="AB11" s="340">
        <f>IF($AE11&lt;1," ",IF(AA11&lt;1," ",(AA11)/$AE11))</f>
        <v>0.21757489280541495</v>
      </c>
      <c r="AC11" s="1600">
        <f t="shared" ref="AC11:AC22" si="0">AE11-(E11+G11+I11+K11+M11+O11+Q11+S11+U11+W11+Y11+AA11)</f>
        <v>0</v>
      </c>
      <c r="AD11" s="379">
        <f>+E11+G11+I11+K11+M11+O11+Q11+S11+U11+W11+Y11+AA11+AC11</f>
        <v>1743325</v>
      </c>
      <c r="AE11" s="379">
        <f>'Budget-Summary MYP'!F14</f>
        <v>1743325</v>
      </c>
      <c r="AF11" s="379">
        <f>+AE11-AD11</f>
        <v>0</v>
      </c>
      <c r="AG11" s="1212"/>
    </row>
    <row r="12" spans="1:33" ht="15.75">
      <c r="A12" s="406"/>
      <c r="B12" s="279" t="s">
        <v>240</v>
      </c>
      <c r="C12" s="278">
        <v>8019</v>
      </c>
      <c r="D12" s="346"/>
      <c r="E12" s="377"/>
      <c r="F12" s="340" t="str">
        <f>IF($AE12&lt;1," ",IF(E12&lt;1," ",(E12)/$AE12))</f>
        <v xml:space="preserve"> </v>
      </c>
      <c r="G12" s="390"/>
      <c r="H12" s="340" t="str">
        <f>IF($AE12&lt;1," ",IF(G12&lt;1," ",(G12)/$AE12))</f>
        <v xml:space="preserve"> </v>
      </c>
      <c r="I12" s="390"/>
      <c r="J12" s="340" t="str">
        <f>IF($AE12&lt;1," ",IF(I12&lt;1," ",(I12)/$AE12))</f>
        <v xml:space="preserve"> </v>
      </c>
      <c r="K12" s="390"/>
      <c r="L12" s="340" t="str">
        <f>IF($AE12&lt;1," ",IF(K12&lt;1," ",(K12)/$AE12))</f>
        <v xml:space="preserve"> </v>
      </c>
      <c r="M12" s="390"/>
      <c r="N12" s="531" t="str">
        <f>IF($AE12&lt;1," ",IF(M12&lt;1," ",(M12)/$AE12))</f>
        <v xml:space="preserve"> </v>
      </c>
      <c r="O12" s="390"/>
      <c r="P12" s="340" t="str">
        <f>IF($AE12&lt;1," ",IF(O12&lt;1," ",(O12)/$AE12))</f>
        <v xml:space="preserve"> </v>
      </c>
      <c r="Q12" s="390"/>
      <c r="R12" s="531" t="str">
        <f>IF($AE12&lt;1," ",IF(Q12&lt;1," ",(Q12)/$AE12))</f>
        <v xml:space="preserve"> </v>
      </c>
      <c r="S12" s="378"/>
      <c r="T12" s="340" t="str">
        <f>IF($AE12&lt;1," ",IF(S12&lt;1," ",(S12)/$AE12))</f>
        <v xml:space="preserve"> </v>
      </c>
      <c r="U12" s="390"/>
      <c r="V12" s="340" t="str">
        <f>IF($AE12&lt;1," ",IF(U12&lt;1," ",(U12)/$AE12))</f>
        <v xml:space="preserve"> </v>
      </c>
      <c r="W12" s="390"/>
      <c r="X12" s="340" t="str">
        <f>IF($AE12&lt;1," ",IF(W12&lt;1," ",(W12)/$AE12))</f>
        <v xml:space="preserve"> </v>
      </c>
      <c r="Y12" s="390"/>
      <c r="Z12" s="340" t="str">
        <f>IF($AE12&lt;1," ",IF(Y12&lt;1," ",(Y12)/$AE12))</f>
        <v xml:space="preserve"> </v>
      </c>
      <c r="AA12" s="390"/>
      <c r="AB12" s="340" t="str">
        <f>IF($AE12&lt;1," ",IF(AA12&lt;1," ",(AA12)/$AE12))</f>
        <v xml:space="preserve"> </v>
      </c>
      <c r="AC12" s="1600">
        <f t="shared" si="0"/>
        <v>0</v>
      </c>
      <c r="AD12" s="379">
        <f>+E12+G12+I12+K12+M12+O12+Q12+S12+U12+W12+Y12+AA12+AC12</f>
        <v>0</v>
      </c>
      <c r="AE12" s="380">
        <f>'Budget-Summary MYP'!F15</f>
        <v>0</v>
      </c>
      <c r="AF12" s="379">
        <f>+AE12-AD12</f>
        <v>0</v>
      </c>
      <c r="AG12" s="1212"/>
    </row>
    <row r="13" spans="1:33" ht="15.75">
      <c r="A13" s="406"/>
      <c r="B13" s="279" t="s">
        <v>241</v>
      </c>
      <c r="C13" s="278">
        <v>8096</v>
      </c>
      <c r="D13" s="346"/>
      <c r="E13" s="377"/>
      <c r="F13" s="340" t="str">
        <f>IF($AE13&lt;1," ",IF(E13&lt;1," ",(E13)/$AE13))</f>
        <v xml:space="preserve"> </v>
      </c>
      <c r="G13" s="390">
        <v>20019.36</v>
      </c>
      <c r="H13" s="340">
        <f>IF($AE13&lt;1," ",IF(G13&lt;1," ",(G13)/$AE13))</f>
        <v>6.7777458027077991E-2</v>
      </c>
      <c r="I13" s="390">
        <v>40038.720000000001</v>
      </c>
      <c r="J13" s="340">
        <f>IF($AE13&lt;1," ",IF(I13&lt;1," ",(I13)/$AE13))</f>
        <v>0.13555491605415598</v>
      </c>
      <c r="K13" s="390">
        <v>26692.48</v>
      </c>
      <c r="L13" s="340">
        <f>IF($AE13&lt;1," ",IF(K13&lt;1," ",(K13)/$AE13))</f>
        <v>9.0369944036103989E-2</v>
      </c>
      <c r="M13" s="390">
        <v>26692.48</v>
      </c>
      <c r="N13" s="531">
        <f>IF($AE13&lt;1," ",IF(M13&lt;1," ",(M13)/$AE13))</f>
        <v>9.0369944036103989E-2</v>
      </c>
      <c r="O13" s="390">
        <v>26692.48</v>
      </c>
      <c r="P13" s="340">
        <f>IF($AE13&lt;1," ",IF(O13&lt;1," ",(O13)/$AE13))</f>
        <v>9.0369944036103989E-2</v>
      </c>
      <c r="Q13" s="390">
        <v>26692.48</v>
      </c>
      <c r="R13" s="531">
        <f>IF($AE13&lt;1," ",IF(Q13&lt;1," ",(Q13)/$AE13))</f>
        <v>9.0369944036103989E-2</v>
      </c>
      <c r="S13" s="378">
        <v>26692.48</v>
      </c>
      <c r="T13" s="340">
        <f>IF($AE13&lt;1," ",IF(S13&lt;1," ",(S13)/$AE13))</f>
        <v>9.0369944036103989E-2</v>
      </c>
      <c r="U13" s="390">
        <v>33949.506666666661</v>
      </c>
      <c r="V13" s="340">
        <f>IF($AE13&lt;1," ",IF(U13&lt;1," ",(U13)/$AE13))</f>
        <v>0.11493930191274866</v>
      </c>
      <c r="W13" s="390">
        <v>16974.75333333333</v>
      </c>
      <c r="X13" s="340">
        <f>IF($AE13&lt;1," ",IF(W13&lt;1," ",(W13)/$AE13))</f>
        <v>5.7469650956374331E-2</v>
      </c>
      <c r="Y13" s="390">
        <v>16974.75333333333</v>
      </c>
      <c r="Z13" s="340">
        <f>IF($AE13&lt;1," ",IF(Y13&lt;1," ",(Y13)/$AE13))</f>
        <v>5.7469650956374331E-2</v>
      </c>
      <c r="AA13" s="390">
        <v>16974.75333333333</v>
      </c>
      <c r="AB13" s="340">
        <f>IF($AE13&lt;1," ",IF(AA13&lt;1," ",(AA13)/$AE13))</f>
        <v>5.7469650956374331E-2</v>
      </c>
      <c r="AC13" s="1600">
        <f t="shared" si="0"/>
        <v>16974.753333333356</v>
      </c>
      <c r="AD13" s="379">
        <f>+E13+G13+I13+K13+M13+O13+Q13+S13+U13+W13+Y13+AA13+AC13</f>
        <v>295369</v>
      </c>
      <c r="AE13" s="379">
        <f>'Budget-Summary MYP'!F16</f>
        <v>295369</v>
      </c>
      <c r="AF13" s="379">
        <f>+AE13-AD13</f>
        <v>0</v>
      </c>
      <c r="AG13" s="1212"/>
    </row>
    <row r="14" spans="1:33" ht="15.75">
      <c r="A14" s="405" t="s">
        <v>242</v>
      </c>
      <c r="B14" s="277"/>
      <c r="C14" s="278" t="s">
        <v>243</v>
      </c>
      <c r="D14" s="376"/>
      <c r="E14" s="377"/>
      <c r="F14" s="340" t="str">
        <f>IF($AE14&lt;1," ",IF(E14&lt;1," ",(E14)/$AE14))</f>
        <v xml:space="preserve"> </v>
      </c>
      <c r="G14" s="390"/>
      <c r="H14" s="340" t="str">
        <f>IF($AE14&lt;1," ",IF(G14&lt;1," ",(G14)/$AE14))</f>
        <v xml:space="preserve"> </v>
      </c>
      <c r="I14" s="390">
        <v>154385.75</v>
      </c>
      <c r="J14" s="340">
        <f>IF($AE14&lt;1," ",IF(I14&lt;1," ",(I14)/$AE14))</f>
        <v>0.125</v>
      </c>
      <c r="K14" s="390">
        <v>82339.066666666666</v>
      </c>
      <c r="L14" s="340">
        <f>IF($AE14&lt;1," ",IF(K14&lt;1," ",(K14)/$AE14))</f>
        <v>6.6666666666666666E-2</v>
      </c>
      <c r="M14" s="390">
        <v>82339.066666666666</v>
      </c>
      <c r="N14" s="531">
        <f>IF($AE14&lt;1," ",IF(M14&lt;1," ",(M14)/$AE14))</f>
        <v>6.6666666666666666E-2</v>
      </c>
      <c r="O14" s="390">
        <v>154385.75</v>
      </c>
      <c r="P14" s="340">
        <f>IF($AE14&lt;1," ",IF(O14&lt;1," ",(O14)/$AE14))</f>
        <v>0.125</v>
      </c>
      <c r="Q14" s="390">
        <v>154385.75</v>
      </c>
      <c r="R14" s="531">
        <f>IF($AE14&lt;1," ",IF(Q14&lt;1," ",(Q14)/$AE14))</f>
        <v>0.125</v>
      </c>
      <c r="S14" s="378">
        <v>82339.066666666666</v>
      </c>
      <c r="T14" s="340">
        <f>IF($AE14&lt;1," ",IF(S14&lt;1," ",(S14)/$AE14))</f>
        <v>6.6666666666666666E-2</v>
      </c>
      <c r="U14" s="390">
        <v>82339.06</v>
      </c>
      <c r="V14" s="340">
        <f>IF($AE14&lt;1," ",IF(U14&lt;1," ",(U14)/$AE14))</f>
        <v>6.6666661268931879E-2</v>
      </c>
      <c r="W14" s="390">
        <v>82339.066666666666</v>
      </c>
      <c r="X14" s="340">
        <f>IF($AE14&lt;1," ",IF(W14&lt;1," ",(W14)/$AE14))</f>
        <v>6.6666666666666666E-2</v>
      </c>
      <c r="Y14" s="390">
        <v>82339.066666666666</v>
      </c>
      <c r="Z14" s="340">
        <f>IF($AE14&lt;1," ",IF(Y14&lt;1," ",(Y14)/$AE14))</f>
        <v>6.6666666666666666E-2</v>
      </c>
      <c r="AA14" s="390">
        <v>154385.75</v>
      </c>
      <c r="AB14" s="340">
        <f>IF($AE14&lt;1," ",IF(AA14&lt;1," ",(AA14)/$AE14))</f>
        <v>0.125</v>
      </c>
      <c r="AC14" s="1600">
        <f t="shared" si="0"/>
        <v>123508.60666666669</v>
      </c>
      <c r="AD14" s="379">
        <f>+E14+G14+I14+K14+M14+O14+Q14+S14+U14+W14+Y14+AA14+AC14</f>
        <v>1235086</v>
      </c>
      <c r="AE14" s="379">
        <f>'Budget-Summary MYP'!F17</f>
        <v>1235086</v>
      </c>
      <c r="AF14" s="379">
        <f t="shared" ref="AF14:AF22" si="1">+AE14-AD14</f>
        <v>0</v>
      </c>
      <c r="AG14" s="1212"/>
    </row>
    <row r="15" spans="1:33" ht="15.75">
      <c r="A15" s="406" t="s">
        <v>244</v>
      </c>
      <c r="B15" s="140"/>
      <c r="C15" s="140"/>
      <c r="D15" s="376"/>
      <c r="E15" s="381"/>
      <c r="F15" s="340"/>
      <c r="G15" s="510"/>
      <c r="H15" s="340"/>
      <c r="I15" s="510"/>
      <c r="J15" s="340"/>
      <c r="K15" s="510"/>
      <c r="L15" s="340"/>
      <c r="M15" s="510"/>
      <c r="N15" s="340"/>
      <c r="O15" s="510"/>
      <c r="P15" s="340"/>
      <c r="Q15" s="510"/>
      <c r="R15" s="340"/>
      <c r="S15" s="510"/>
      <c r="T15" s="340"/>
      <c r="U15" s="510"/>
      <c r="V15" s="340"/>
      <c r="W15" s="510"/>
      <c r="X15" s="340"/>
      <c r="Y15" s="510"/>
      <c r="Z15" s="340"/>
      <c r="AA15" s="510"/>
      <c r="AB15" s="340"/>
      <c r="AC15" s="1601"/>
      <c r="AD15" s="379"/>
      <c r="AE15" s="379"/>
      <c r="AF15" s="379"/>
      <c r="AG15" s="1212"/>
    </row>
    <row r="16" spans="1:33" ht="15.75">
      <c r="A16" s="406"/>
      <c r="B16" s="140" t="s">
        <v>245</v>
      </c>
      <c r="C16" s="278">
        <v>8560</v>
      </c>
      <c r="D16" s="376"/>
      <c r="E16" s="377"/>
      <c r="F16" s="340" t="str">
        <f>IF($AE16&lt;1," ",IF(E16&lt;1," ",(E16)/$AE16))</f>
        <v xml:space="preserve"> </v>
      </c>
      <c r="G16" s="390"/>
      <c r="H16" s="340" t="str">
        <f>IF($AE16&lt;1," ",IF(G16&lt;1," ",(G16)/$AE16))</f>
        <v xml:space="preserve"> </v>
      </c>
      <c r="I16" s="390"/>
      <c r="J16" s="340" t="str">
        <f>IF($AE16&lt;1," ",IF(I16&lt;1," ",(I16)/$AE16))</f>
        <v xml:space="preserve"> </v>
      </c>
      <c r="K16" s="390"/>
      <c r="L16" s="340" t="str">
        <f>IF($AE16&lt;1," ",IF(K16&lt;1," ",(K16)/$AE16))</f>
        <v xml:space="preserve"> </v>
      </c>
      <c r="M16" s="390"/>
      <c r="N16" s="531" t="str">
        <f>IF($AE16&lt;1," ",IF(M16&lt;1," ",(M16)/$AE16))</f>
        <v xml:space="preserve"> </v>
      </c>
      <c r="O16" s="390"/>
      <c r="P16" s="340" t="str">
        <f>IF($AE16&lt;1," ",IF(O16&lt;1," ",(O16)/$AE16))</f>
        <v xml:space="preserve"> </v>
      </c>
      <c r="Q16" s="390">
        <v>32180</v>
      </c>
      <c r="R16" s="531">
        <f>IF($AE16&lt;1," ",IF(Q16&lt;1," ",(Q16)/$AE16))</f>
        <v>0.25801577247562779</v>
      </c>
      <c r="S16" s="378"/>
      <c r="T16" s="340" t="str">
        <f>IF($AE16&lt;1," ",IF(S16&lt;1," ",(S16)/$AE16))</f>
        <v xml:space="preserve"> </v>
      </c>
      <c r="U16" s="390"/>
      <c r="V16" s="340" t="str">
        <f>IF($AE16&lt;1," ",IF(U16&lt;1," ",(U16)/$AE16))</f>
        <v xml:space="preserve"> </v>
      </c>
      <c r="W16" s="390">
        <v>32180</v>
      </c>
      <c r="X16" s="340">
        <f>IF($AE16&lt;1," ",IF(W16&lt;1," ",(W16)/$AE16))</f>
        <v>0.25801577247562779</v>
      </c>
      <c r="Y16" s="390"/>
      <c r="Z16" s="340" t="str">
        <f>IF($AE16&lt;1," ",IF(Y16&lt;1," ",(Y16)/$AE16))</f>
        <v xml:space="preserve"> </v>
      </c>
      <c r="AA16" s="390"/>
      <c r="AB16" s="340" t="str">
        <f>IF($AE16&lt;1," ",IF(AA16&lt;1," ",(AA16)/$AE16))</f>
        <v xml:space="preserve"> </v>
      </c>
      <c r="AC16" s="1600">
        <f t="shared" si="0"/>
        <v>60361.057519999988</v>
      </c>
      <c r="AD16" s="379">
        <f>+E16+G16+I16+K16+M16+O16+Q16+S16+U16+W16+Y16+AA16+AC16</f>
        <v>124721.05751999999</v>
      </c>
      <c r="AE16" s="379">
        <f>'Budget-Summary MYP'!F19</f>
        <v>124721.05751999999</v>
      </c>
      <c r="AF16" s="379">
        <f t="shared" si="1"/>
        <v>0</v>
      </c>
      <c r="AG16" s="1240"/>
    </row>
    <row r="17" spans="1:33" ht="15.75">
      <c r="A17" s="406"/>
      <c r="B17" s="140" t="s">
        <v>246</v>
      </c>
      <c r="C17" s="278">
        <v>8560</v>
      </c>
      <c r="D17" s="376"/>
      <c r="E17" s="377"/>
      <c r="F17" s="340" t="str">
        <f>IF($AE17&lt;1," ",IF(E17&lt;1," ",(E17)/$AE17))</f>
        <v xml:space="preserve"> </v>
      </c>
      <c r="G17" s="390"/>
      <c r="H17" s="340" t="str">
        <f>IF($AE17&lt;1," ",IF(G17&lt;1," ",(G17)/$AE17))</f>
        <v xml:space="preserve"> </v>
      </c>
      <c r="I17" s="390"/>
      <c r="J17" s="340" t="str">
        <f>IF($AE17&lt;1," ",IF(I17&lt;1," ",(I17)/$AE17))</f>
        <v xml:space="preserve"> </v>
      </c>
      <c r="K17" s="390"/>
      <c r="L17" s="340" t="str">
        <f>IF($AE17&lt;1," ",IF(K17&lt;1," ",(K17)/$AE17))</f>
        <v xml:space="preserve"> </v>
      </c>
      <c r="M17" s="390"/>
      <c r="N17" s="531" t="str">
        <f>IF($AE17&lt;1," ",IF(M17&lt;1," ",(M17)/$AE17))</f>
        <v xml:space="preserve"> </v>
      </c>
      <c r="O17" s="390"/>
      <c r="P17" s="340" t="str">
        <f>IF($AE17&lt;1," ",IF(O17&lt;1," ",(O17)/$AE17))</f>
        <v xml:space="preserve"> </v>
      </c>
      <c r="Q17" s="390"/>
      <c r="R17" s="531" t="str">
        <f>IF($AE17&lt;1," ",IF(Q17&lt;1," ",(Q17)/$AE17))</f>
        <v xml:space="preserve"> </v>
      </c>
      <c r="S17" s="378"/>
      <c r="T17" s="340" t="str">
        <f>IF($AE17&lt;1," ",IF(S17&lt;1," ",(S17)/$AE17))</f>
        <v xml:space="preserve"> </v>
      </c>
      <c r="U17" s="390"/>
      <c r="V17" s="340" t="str">
        <f>IF($AE17&lt;1," ",IF(U17&lt;1," ",(U17)/$AE17))</f>
        <v xml:space="preserve"> </v>
      </c>
      <c r="W17" s="390"/>
      <c r="X17" s="340" t="str">
        <f>IF($AE17&lt;1," ",IF(W17&lt;1," ",(W17)/$AE17))</f>
        <v xml:space="preserve"> </v>
      </c>
      <c r="Y17" s="390"/>
      <c r="Z17" s="340" t="str">
        <f>IF($AE17&lt;1," ",IF(Y17&lt;1," ",(Y17)/$AE17))</f>
        <v xml:space="preserve"> </v>
      </c>
      <c r="AA17" s="390"/>
      <c r="AB17" s="340" t="str">
        <f>IF($AE17&lt;1," ",IF(AA17&lt;1," ",(AA17)/$AE17))</f>
        <v xml:space="preserve"> </v>
      </c>
      <c r="AC17" s="1600">
        <f t="shared" si="0"/>
        <v>40742.212123199999</v>
      </c>
      <c r="AD17" s="379">
        <f>+E17+G17+I17+K17+M17+O17+Q17+S17+U17+W17+Y17+AA17+AC17</f>
        <v>40742.212123199999</v>
      </c>
      <c r="AE17" s="379">
        <f>'Budget-Summary MYP'!F20</f>
        <v>40742.212123199999</v>
      </c>
      <c r="AF17" s="379">
        <f>+AE17-AD17</f>
        <v>0</v>
      </c>
      <c r="AG17" s="1212"/>
    </row>
    <row r="18" spans="1:33" ht="15.75">
      <c r="A18" s="406"/>
      <c r="B18" s="140" t="s">
        <v>247</v>
      </c>
      <c r="C18" s="278" t="s">
        <v>248</v>
      </c>
      <c r="D18" s="376"/>
      <c r="E18" s="377">
        <v>82459</v>
      </c>
      <c r="F18" s="340">
        <f>IF($AE18&lt;1," ",IF(E18&lt;1," ",(E18)/$AE18))</f>
        <v>5.843778747969889E-2</v>
      </c>
      <c r="G18" s="390">
        <f>82458.6952895719-G21</f>
        <v>42654.695289571901</v>
      </c>
      <c r="H18" s="340">
        <f>IF($AE18&lt;1," ",IF(G18&lt;1," ",(G18)/$AE18))</f>
        <v>3.0228913985657309E-2</v>
      </c>
      <c r="I18" s="390">
        <f>148425.651521229-I21</f>
        <v>88719.651521229011</v>
      </c>
      <c r="J18" s="340">
        <f>IF($AE18&lt;1," ",IF(I18&lt;1," ",(I18)/$AE18))</f>
        <v>6.2874642438915399E-2</v>
      </c>
      <c r="K18" s="390">
        <f>58425.651521229+60147</f>
        <v>118572.65152122901</v>
      </c>
      <c r="L18" s="340">
        <f>IF($AE18&lt;1," ",IF(K18&lt;1," ",(K18)/$AE18))</f>
        <v>8.4031135600746751E-2</v>
      </c>
      <c r="M18" s="390">
        <f>51094+67478.651521229</f>
        <v>118572.651521229</v>
      </c>
      <c r="N18" s="531">
        <f>IF($AE18&lt;1," ",IF(M18&lt;1," ",(M18)/$AE18))</f>
        <v>8.4031135600746737E-2</v>
      </c>
      <c r="O18" s="390">
        <f>148425.651521229-O21</f>
        <v>118572.65152122901</v>
      </c>
      <c r="P18" s="340">
        <f>IF($AE18&lt;1," ",IF(O18&lt;1," ",(O18)/$AE18))</f>
        <v>8.4031135600746751E-2</v>
      </c>
      <c r="Q18" s="390">
        <v>203533</v>
      </c>
      <c r="R18" s="531">
        <f>IF($AE18&lt;1," ",IF(Q18&lt;1," ",(Q18)/$AE18))</f>
        <v>0.14424160126978927</v>
      </c>
      <c r="S18" s="378">
        <v>86393</v>
      </c>
      <c r="T18" s="340">
        <f>IF($AE18&lt;1," ",IF(S18&lt;1," ",(S18)/$AE18))</f>
        <v>6.1225770064318341E-2</v>
      </c>
      <c r="U18" s="390">
        <f>233386-U21</f>
        <v>150461</v>
      </c>
      <c r="V18" s="340">
        <f>IF($AE18&lt;1," ",IF(U18&lt;1," ",(U18)/$AE18))</f>
        <v>0.106630057870978</v>
      </c>
      <c r="W18" s="390">
        <f>233386-W16-W21</f>
        <v>159743.5</v>
      </c>
      <c r="X18" s="340">
        <f>IF($AE18&lt;1," ",IF(W18&lt;1," ",(W18)/$AE18))</f>
        <v>0.11320846365179398</v>
      </c>
      <c r="Y18" s="390">
        <f>233386-Y21</f>
        <v>191923.5</v>
      </c>
      <c r="Z18" s="340">
        <f>IF($AE18&lt;1," ",IF(Y18&lt;1," ",(Y18)/$AE18))</f>
        <v>0.13601407615129932</v>
      </c>
      <c r="AA18" s="390"/>
      <c r="AB18" s="340" t="str">
        <f>IF($AE18&lt;1," ",IF(AA18&lt;1," ",(AA18)/$AE18))</f>
        <v xml:space="preserve"> </v>
      </c>
      <c r="AC18" s="1600">
        <f t="shared" si="0"/>
        <v>49450.858625512104</v>
      </c>
      <c r="AD18" s="379">
        <f>+E18+G18+I18+K18+M18+O18+Q18+S18+U18+W18+Y18+AA18+AC18</f>
        <v>1411056.1600000001</v>
      </c>
      <c r="AE18" s="379">
        <f>'Budget-Summary MYP'!F21</f>
        <v>1411056.1600000001</v>
      </c>
      <c r="AF18" s="379">
        <f t="shared" si="1"/>
        <v>0</v>
      </c>
      <c r="AG18" s="1212"/>
    </row>
    <row r="19" spans="1:33" ht="15.75">
      <c r="A19" s="406" t="s">
        <v>249</v>
      </c>
      <c r="B19" s="140"/>
      <c r="C19" s="140"/>
      <c r="D19" s="376"/>
      <c r="E19" s="381"/>
      <c r="F19" s="340"/>
      <c r="G19" s="510"/>
      <c r="H19" s="340"/>
      <c r="I19" s="510"/>
      <c r="J19" s="340"/>
      <c r="K19" s="510"/>
      <c r="L19" s="340"/>
      <c r="M19" s="510"/>
      <c r="N19" s="340"/>
      <c r="O19" s="510"/>
      <c r="P19" s="340"/>
      <c r="Q19" s="510"/>
      <c r="R19" s="340"/>
      <c r="S19" s="510"/>
      <c r="T19" s="340"/>
      <c r="U19" s="510"/>
      <c r="V19" s="340"/>
      <c r="W19" s="510"/>
      <c r="X19" s="340"/>
      <c r="Y19" s="510"/>
      <c r="Z19" s="340"/>
      <c r="AA19" s="510"/>
      <c r="AB19" s="340"/>
      <c r="AC19" s="1601"/>
      <c r="AD19" s="379"/>
      <c r="AE19" s="379"/>
      <c r="AF19" s="379"/>
      <c r="AG19" s="1212"/>
    </row>
    <row r="20" spans="1:33" ht="15.75">
      <c r="A20" s="406"/>
      <c r="B20" s="140" t="s">
        <v>250</v>
      </c>
      <c r="C20" s="278">
        <v>8660</v>
      </c>
      <c r="D20" s="376"/>
      <c r="E20" s="377"/>
      <c r="F20" s="340" t="str">
        <f>IF($AE20&lt;1," ",IF(E20&lt;1," ",(E20)/$AE20))</f>
        <v xml:space="preserve"> </v>
      </c>
      <c r="G20" s="390"/>
      <c r="H20" s="340" t="str">
        <f>IF($AE20&lt;1," ",IF(G20&lt;1," ",(G20)/$AE20))</f>
        <v xml:space="preserve"> </v>
      </c>
      <c r="I20" s="390"/>
      <c r="J20" s="340" t="str">
        <f>IF($AE20&lt;1," ",IF(I20&lt;1," ",(I20)/$AE20))</f>
        <v xml:space="preserve"> </v>
      </c>
      <c r="K20" s="390"/>
      <c r="L20" s="340" t="str">
        <f>IF($AE20&lt;1," ",IF(K20&lt;1," ",(K20)/$AE20))</f>
        <v xml:space="preserve"> </v>
      </c>
      <c r="M20" s="390"/>
      <c r="N20" s="531" t="str">
        <f>IF($AE20&lt;1," ",IF(M20&lt;1," ",(M20)/$AE20))</f>
        <v xml:space="preserve"> </v>
      </c>
      <c r="O20" s="390"/>
      <c r="P20" s="340" t="str">
        <f>IF($AE20&lt;1," ",IF(O20&lt;1," ",(O20)/$AE20))</f>
        <v xml:space="preserve"> </v>
      </c>
      <c r="Q20" s="390"/>
      <c r="R20" s="531" t="str">
        <f>IF($AE20&lt;1," ",IF(Q20&lt;1," ",(Q20)/$AE20))</f>
        <v xml:space="preserve"> </v>
      </c>
      <c r="S20" s="378"/>
      <c r="T20" s="340" t="str">
        <f>IF($AE20&lt;1," ",IF(S20&lt;1," ",(S20)/$AE20))</f>
        <v xml:space="preserve"> </v>
      </c>
      <c r="U20" s="390"/>
      <c r="V20" s="340" t="str">
        <f>IF($AE20&lt;1," ",IF(U20&lt;1," ",(U20)/$AE20))</f>
        <v xml:space="preserve"> </v>
      </c>
      <c r="W20" s="390"/>
      <c r="X20" s="340" t="str">
        <f>IF($AE20&lt;1," ",IF(W20&lt;1," ",(W20)/$AE20))</f>
        <v xml:space="preserve"> </v>
      </c>
      <c r="Y20" s="390"/>
      <c r="Z20" s="340" t="str">
        <f>IF($AE20&lt;1," ",IF(Y20&lt;1," ",(Y20)/$AE20))</f>
        <v xml:space="preserve"> </v>
      </c>
      <c r="AA20" s="390"/>
      <c r="AB20" s="340" t="str">
        <f>IF($AE20&lt;1," ",IF(AA20&lt;1," ",(AA20)/$AE20))</f>
        <v xml:space="preserve"> </v>
      </c>
      <c r="AC20" s="1600">
        <f t="shared" si="0"/>
        <v>0</v>
      </c>
      <c r="AD20" s="379">
        <f>+E20+G20+I20+K20+M20+O20+Q20+S20+U20+W20+Y20+AA20+AC20</f>
        <v>0</v>
      </c>
      <c r="AE20" s="379">
        <f>'Budget-Summary MYP'!F23</f>
        <v>0</v>
      </c>
      <c r="AF20" s="379">
        <f t="shared" si="1"/>
        <v>0</v>
      </c>
      <c r="AG20" s="1212"/>
    </row>
    <row r="21" spans="1:33" ht="15.75">
      <c r="A21" s="406"/>
      <c r="B21" s="140" t="s">
        <v>251</v>
      </c>
      <c r="C21" s="278">
        <v>8792</v>
      </c>
      <c r="D21" s="376"/>
      <c r="E21" s="377">
        <v>0</v>
      </c>
      <c r="F21" s="340" t="str">
        <f>IF($AE21&lt;1," ",IF(E21&lt;1," ",(E21)/$AE21))</f>
        <v xml:space="preserve"> </v>
      </c>
      <c r="G21" s="390">
        <v>39804</v>
      </c>
      <c r="H21" s="340">
        <f>IF($AE21&lt;1," ",IF(G21&lt;1," ",(G21)/$AE21))</f>
        <v>0.08</v>
      </c>
      <c r="I21" s="390">
        <v>59706</v>
      </c>
      <c r="J21" s="340">
        <f>IF($AE21&lt;1," ",IF(I21&lt;1," ",(I21)/$AE21))</f>
        <v>0.12</v>
      </c>
      <c r="K21" s="390">
        <v>29853</v>
      </c>
      <c r="L21" s="340">
        <f>IF($AE21&lt;1," ",IF(K21&lt;1," ",(K21)/$AE21))</f>
        <v>0.06</v>
      </c>
      <c r="M21" s="390">
        <v>29853</v>
      </c>
      <c r="N21" s="531">
        <f>IF($AE21&lt;1," ",IF(M21&lt;1," ",(M21)/$AE21))</f>
        <v>0.06</v>
      </c>
      <c r="O21" s="390">
        <v>29853</v>
      </c>
      <c r="P21" s="340">
        <f>IF($AE21&lt;1," ",IF(O21&lt;1," ",(O21)/$AE21))</f>
        <v>0.06</v>
      </c>
      <c r="Q21" s="390">
        <v>29853</v>
      </c>
      <c r="R21" s="531">
        <f>IF($AE21&lt;1," ",IF(Q21&lt;1," ",(Q21)/$AE21))</f>
        <v>0.06</v>
      </c>
      <c r="S21" s="378">
        <v>29853</v>
      </c>
      <c r="T21" s="340">
        <f>IF($AE21&lt;1," ",IF(S21&lt;1," ",(S21)/$AE21))</f>
        <v>0.06</v>
      </c>
      <c r="U21" s="390">
        <v>82925</v>
      </c>
      <c r="V21" s="340">
        <f>IF($AE21&lt;1," ",IF(U21&lt;1," ",(U21)/$AE21))</f>
        <v>0.16666666666666666</v>
      </c>
      <c r="W21" s="390">
        <v>41462.5</v>
      </c>
      <c r="X21" s="340">
        <f>IF($AE21&lt;1," ",IF(W21&lt;1," ",(W21)/$AE21))</f>
        <v>8.3333333333333329E-2</v>
      </c>
      <c r="Y21" s="390">
        <v>41462.5</v>
      </c>
      <c r="Z21" s="340">
        <f>IF($AE21&lt;1," ",IF(Y21&lt;1," ",(Y21)/$AE21))</f>
        <v>8.3333333333333329E-2</v>
      </c>
      <c r="AA21" s="390"/>
      <c r="AB21" s="340" t="str">
        <f>IF($AE21&lt;1," ",IF(AA21&lt;1," ",(AA21)/$AE21))</f>
        <v xml:space="preserve"> </v>
      </c>
      <c r="AC21" s="1600">
        <f t="shared" si="0"/>
        <v>82925</v>
      </c>
      <c r="AD21" s="379">
        <f>+E21+G21+I21+K21+M21+O21+Q21+S21+U21+W21+Y21+AA21+AC21</f>
        <v>497550</v>
      </c>
      <c r="AE21" s="379">
        <f>'Budget-Summary MYP'!F24</f>
        <v>497550</v>
      </c>
      <c r="AF21" s="379">
        <f t="shared" si="1"/>
        <v>0</v>
      </c>
      <c r="AG21" s="1212"/>
    </row>
    <row r="22" spans="1:33" ht="15.75">
      <c r="A22" s="406"/>
      <c r="B22" s="140" t="s">
        <v>252</v>
      </c>
      <c r="C22" s="278" t="s">
        <v>253</v>
      </c>
      <c r="D22" s="376"/>
      <c r="E22" s="377">
        <v>625</v>
      </c>
      <c r="F22" s="340">
        <f>IF($AE22&lt;1," ",IF(E22&lt;1," ",(E22)/$AE22))</f>
        <v>3.1133250311332503E-4</v>
      </c>
      <c r="G22" s="390">
        <v>625</v>
      </c>
      <c r="H22" s="340">
        <f>IF($AE22&lt;1," ",IF(G22&lt;1," ",(G22)/$AE22))</f>
        <v>3.1133250311332503E-4</v>
      </c>
      <c r="I22" s="390">
        <v>625</v>
      </c>
      <c r="J22" s="340">
        <f>IF($AE22&lt;1," ",IF(I22&lt;1," ",(I22)/$AE22))</f>
        <v>3.1133250311332503E-4</v>
      </c>
      <c r="K22" s="390">
        <v>625</v>
      </c>
      <c r="L22" s="340">
        <f>IF($AE22&lt;1," ",IF(K22&lt;1," ",(K22)/$AE22))</f>
        <v>3.1133250311332503E-4</v>
      </c>
      <c r="M22" s="390">
        <v>625</v>
      </c>
      <c r="N22" s="531">
        <f>IF($AE22&lt;1," ",IF(M22&lt;1," ",(M22)/$AE22))</f>
        <v>3.1133250311332503E-4</v>
      </c>
      <c r="O22" s="390">
        <v>2000625</v>
      </c>
      <c r="P22" s="340">
        <f>IF($AE22&lt;1," ",IF(O22&lt;1," ",(O22)/$AE22))</f>
        <v>0.99657534246575341</v>
      </c>
      <c r="Q22" s="390">
        <v>625</v>
      </c>
      <c r="R22" s="531">
        <f>IF($AE22&lt;1," ",IF(Q22&lt;1," ",(Q22)/$AE22))</f>
        <v>3.1133250311332503E-4</v>
      </c>
      <c r="S22" s="378">
        <v>625</v>
      </c>
      <c r="T22" s="340">
        <f>IF($AE22&lt;1," ",IF(S22&lt;1," ",(S22)/$AE22))</f>
        <v>3.1133250311332503E-4</v>
      </c>
      <c r="U22" s="390">
        <v>625</v>
      </c>
      <c r="V22" s="340">
        <f>IF($AE22&lt;1," ",IF(U22&lt;1," ",(U22)/$AE22))</f>
        <v>3.1133250311332503E-4</v>
      </c>
      <c r="W22" s="390">
        <v>625</v>
      </c>
      <c r="X22" s="340">
        <f>IF($AE22&lt;1," ",IF(W22&lt;1," ",(W22)/$AE22))</f>
        <v>3.1133250311332503E-4</v>
      </c>
      <c r="Y22" s="390">
        <v>625</v>
      </c>
      <c r="Z22" s="340">
        <f>IF($AE22&lt;1," ",IF(Y22&lt;1," ",(Y22)/$AE22))</f>
        <v>3.1133250311332503E-4</v>
      </c>
      <c r="AA22" s="390">
        <v>625</v>
      </c>
      <c r="AB22" s="340">
        <f>IF($AE22&lt;1," ",IF(AA22&lt;1," ",(AA22)/$AE22))</f>
        <v>3.1133250311332503E-4</v>
      </c>
      <c r="AC22" s="1600">
        <f t="shared" si="0"/>
        <v>0</v>
      </c>
      <c r="AD22" s="379">
        <f>+E22+G22+I22+K22+M22+O22+Q22+S22+U22+W22+Y22+AA22+AC22</f>
        <v>2007500</v>
      </c>
      <c r="AE22" s="379">
        <f>'Budget-Summary MYP'!F25</f>
        <v>2007500</v>
      </c>
      <c r="AF22" s="379">
        <f t="shared" si="1"/>
        <v>0</v>
      </c>
      <c r="AG22" s="1212"/>
    </row>
    <row r="23" spans="1:33" ht="16.5" thickBot="1">
      <c r="A23" s="405" t="s">
        <v>254</v>
      </c>
      <c r="B23" s="382"/>
      <c r="C23" s="383"/>
      <c r="D23" s="383"/>
      <c r="E23" s="770">
        <f>SUM(E10:E22)</f>
        <v>344333.65</v>
      </c>
      <c r="F23" s="384">
        <f>IF($AE23&lt;1," ",IF(E23&lt;1," ",(E23)/$AE23))</f>
        <v>2.4725567226997897E-2</v>
      </c>
      <c r="G23" s="771">
        <f>SUM(G10:G22)</f>
        <v>364352.7052895719</v>
      </c>
      <c r="H23" s="384">
        <f>IF($AE23&lt;1," ",IF(G23&lt;1," ",(G23)/$AE23))</f>
        <v>2.6163075577933962E-2</v>
      </c>
      <c r="I23" s="771">
        <f>SUM(I10:I22)</f>
        <v>1306083.2415212288</v>
      </c>
      <c r="J23" s="384">
        <f>IF($AE23&lt;1," ",IF(I23&lt;1," ",(I23)/$AE23))</f>
        <v>9.3785922439728067E-2</v>
      </c>
      <c r="K23" s="771">
        <f>SUM(K10:K22)</f>
        <v>728331.5681878957</v>
      </c>
      <c r="L23" s="384">
        <f>IF($AE23&lt;1," ",IF(K23&lt;1," ",(K23)/$AE23))</f>
        <v>5.2299306654387728E-2</v>
      </c>
      <c r="M23" s="771">
        <f>SUM(M10:M22)</f>
        <v>728331.56818789558</v>
      </c>
      <c r="N23" s="533">
        <f>IF($AE23&lt;1," ",IF(M23&lt;1," ",(M23)/$AE23))</f>
        <v>5.2299306654387721E-2</v>
      </c>
      <c r="O23" s="771">
        <f>SUM(O10:O22)</f>
        <v>3292737.0015212288</v>
      </c>
      <c r="P23" s="384">
        <f>IF($AE23&lt;1," ",IF(O23&lt;1," ",(O23)/$AE23))</f>
        <v>0.23644157372344124</v>
      </c>
      <c r="Q23" s="771">
        <f>SUM(Q10:Q22)</f>
        <v>917518.6</v>
      </c>
      <c r="R23" s="533">
        <f>IF($AE23&lt;1," ",IF(Q23&lt;1," ",(Q23)/$AE23))</f>
        <v>6.5884260299047134E-2</v>
      </c>
      <c r="S23" s="772">
        <f>SUM(S10:S22)</f>
        <v>965327.11666666658</v>
      </c>
      <c r="T23" s="384">
        <f>IF($AE23&lt;1," ",IF(S23&lt;1," ",(S23)/$AE23))</f>
        <v>6.931724656938322E-2</v>
      </c>
      <c r="U23" s="771">
        <f>SUM(U10:U22)</f>
        <v>1469027.8866666665</v>
      </c>
      <c r="V23" s="384">
        <f>IF($AE23&lt;1," ",IF(U23&lt;1," ",(U23)/$AE23))</f>
        <v>0.10548648896240988</v>
      </c>
      <c r="W23" s="771">
        <f>SUM(W10:W22)</f>
        <v>1072749.3899999999</v>
      </c>
      <c r="X23" s="384">
        <f>IF($AE23&lt;1," ",IF(W23&lt;1," ",(W23)/$AE23))</f>
        <v>7.7030918006898194E-2</v>
      </c>
      <c r="Y23" s="771">
        <f>SUM(Y10:Y22)</f>
        <v>1072749.3899999999</v>
      </c>
      <c r="Z23" s="384">
        <f>IF($AE23&lt;1," ",IF(Y23&lt;1," ",(Y23)/$AE23))</f>
        <v>7.7030918006898194E-2</v>
      </c>
      <c r="AA23" s="771">
        <f>SUM(AA10:AA22)</f>
        <v>551289.25333333341</v>
      </c>
      <c r="AB23" s="384">
        <f>IF($AE23&lt;1," ",IF(AA23&lt;1," ",(AA23)/$AE23))</f>
        <v>3.9586428729271185E-2</v>
      </c>
      <c r="AC23" s="1602">
        <f>SUM(AC10:AC22)</f>
        <v>1113387.0582687114</v>
      </c>
      <c r="AD23" s="773">
        <f>SUM(AD10:AD22)</f>
        <v>13926218.429643201</v>
      </c>
      <c r="AE23" s="773">
        <f>SUM(AE10:AE22)</f>
        <v>13926218.429643201</v>
      </c>
      <c r="AF23" s="773">
        <f>SUM(AF10:AF22)</f>
        <v>0</v>
      </c>
      <c r="AG23" s="1212"/>
    </row>
    <row r="24" spans="1:33" ht="15.75">
      <c r="A24" s="407"/>
      <c r="B24" s="370"/>
      <c r="C24" s="71"/>
      <c r="D24" s="71"/>
      <c r="E24" s="72"/>
      <c r="F24" s="195"/>
      <c r="G24" s="73"/>
      <c r="H24" s="195"/>
      <c r="I24" s="73"/>
      <c r="J24" s="195"/>
      <c r="K24" s="73"/>
      <c r="L24" s="195"/>
      <c r="M24" s="73"/>
      <c r="N24" s="195"/>
      <c r="O24" s="73"/>
      <c r="P24" s="195"/>
      <c r="Q24" s="73"/>
      <c r="R24" s="195"/>
      <c r="S24" s="73"/>
      <c r="T24" s="195"/>
      <c r="U24" s="73"/>
      <c r="V24" s="195"/>
      <c r="W24" s="73"/>
      <c r="X24" s="195"/>
      <c r="Y24" s="73"/>
      <c r="Z24" s="195"/>
      <c r="AA24" s="73"/>
      <c r="AB24" s="195"/>
      <c r="AC24" s="1023"/>
      <c r="AD24" s="1023"/>
      <c r="AE24" s="1023"/>
      <c r="AF24" s="1039"/>
      <c r="AG24" s="1212"/>
    </row>
    <row r="25" spans="1:33" ht="15.75">
      <c r="A25" s="66" t="s">
        <v>255</v>
      </c>
      <c r="B25" s="180"/>
      <c r="C25" s="373"/>
      <c r="D25" s="373"/>
      <c r="E25" s="545"/>
      <c r="F25" s="482"/>
      <c r="G25" s="525"/>
      <c r="H25" s="482"/>
      <c r="I25" s="525"/>
      <c r="J25" s="482"/>
      <c r="K25" s="525"/>
      <c r="L25" s="482"/>
      <c r="M25" s="525"/>
      <c r="N25" s="482"/>
      <c r="O25" s="525"/>
      <c r="P25" s="482"/>
      <c r="Q25" s="525"/>
      <c r="R25" s="482"/>
      <c r="S25" s="525"/>
      <c r="T25" s="482"/>
      <c r="U25" s="525"/>
      <c r="V25" s="482"/>
      <c r="W25" s="525"/>
      <c r="X25" s="482"/>
      <c r="Y25" s="525"/>
      <c r="Z25" s="482"/>
      <c r="AA25" s="525"/>
      <c r="AB25" s="482"/>
      <c r="AC25" s="1027"/>
      <c r="AD25" s="1027"/>
      <c r="AE25" s="1027"/>
      <c r="AF25" s="1035"/>
      <c r="AG25" s="1212"/>
    </row>
    <row r="26" spans="1:33" ht="15.75">
      <c r="A26" s="406" t="s">
        <v>256</v>
      </c>
      <c r="B26" s="140"/>
      <c r="C26" s="278" t="s">
        <v>257</v>
      </c>
      <c r="D26" s="376"/>
      <c r="E26" s="377">
        <v>124285.48320000002</v>
      </c>
      <c r="F26" s="340">
        <f>IF($AE$26&lt;1," ",IF(E26&lt;1," ",(E26)/$AE$26))</f>
        <v>4.0000000000000008E-2</v>
      </c>
      <c r="G26" s="390">
        <v>252612.77073170734</v>
      </c>
      <c r="H26" s="340">
        <f>IF($AE$26&lt;1," ",IF(G26&lt;1," ",(G26)/$AE$26))</f>
        <v>8.1300813008130093E-2</v>
      </c>
      <c r="I26" s="390">
        <v>252612.77073170734</v>
      </c>
      <c r="J26" s="340">
        <f>IF($AE$26&lt;1," ",IF(I26&lt;1," ",(I26)/$AE$26))</f>
        <v>8.1300813008130093E-2</v>
      </c>
      <c r="K26" s="390">
        <v>252612.77073170734</v>
      </c>
      <c r="L26" s="340">
        <f>IF($AE$26&lt;1," ",IF(K26&lt;1," ",(K26)/$AE$26))</f>
        <v>8.1300813008130093E-2</v>
      </c>
      <c r="M26" s="390">
        <v>252612.77073170734</v>
      </c>
      <c r="N26" s="531">
        <f>IF($AE$26&lt;1," ",IF(M26&lt;1," ",(M26)/$AE$26))</f>
        <v>8.1300813008130093E-2</v>
      </c>
      <c r="O26" s="390">
        <v>252612.77073170734</v>
      </c>
      <c r="P26" s="531">
        <f>IF($AE$26&lt;1," ",IF(O26&lt;1," ",(O26)/$AE$26))</f>
        <v>8.1300813008130093E-2</v>
      </c>
      <c r="Q26" s="390">
        <v>252612.77073170734</v>
      </c>
      <c r="R26" s="531">
        <f>IF($AE$26&lt;1," ",IF(Q26&lt;1," ",(Q26)/$AE$26))</f>
        <v>8.1300813008130093E-2</v>
      </c>
      <c r="S26" s="378">
        <v>252612.77073170734</v>
      </c>
      <c r="T26" s="340">
        <f>IF($AE$26&lt;1," ",IF(S26&lt;1," ",(S26)/$AE$26))</f>
        <v>8.1300813008130093E-2</v>
      </c>
      <c r="U26" s="390">
        <v>252612.77073170734</v>
      </c>
      <c r="V26" s="340">
        <f>IF($AE$26&lt;1," ",IF(U26&lt;1," ",(U26)/$AE$26))</f>
        <v>8.1300813008130093E-2</v>
      </c>
      <c r="W26" s="390">
        <v>252612.77073170734</v>
      </c>
      <c r="X26" s="340">
        <f>IF($AE$26&lt;1," ",IF(W26&lt;1," ",(W26)/$AE$26))</f>
        <v>8.1300813008130093E-2</v>
      </c>
      <c r="Y26" s="390">
        <v>252612.77073170734</v>
      </c>
      <c r="Z26" s="340">
        <f>IF($AE$26&lt;1," ",IF(Y26&lt;1," ",(Y26)/$AE$26))</f>
        <v>8.1300813008130093E-2</v>
      </c>
      <c r="AA26" s="390">
        <v>252612.77073170734</v>
      </c>
      <c r="AB26" s="340">
        <f>IF($AE$26&lt;1," ",IF(AA26&lt;1," ",(AA26)/$AE$26))</f>
        <v>8.1300813008130093E-2</v>
      </c>
      <c r="AC26" s="1603">
        <f t="shared" ref="AC26:AC33" si="2">AE26-(E26+G26+I26+K26+M26+O26+Q26+S26+U26+W26+Y26+AA26)</f>
        <v>204111.11875121901</v>
      </c>
      <c r="AD26" s="387">
        <f t="shared" ref="AD26:AD33" si="3">+E26+G26+I26+K26+M26+O26+Q26+S26+U26+W26+Y26+AA26+AC26</f>
        <v>3107137.0799999996</v>
      </c>
      <c r="AE26" s="387">
        <f>'Budget-Summary MYP'!F29</f>
        <v>3107137.0799999996</v>
      </c>
      <c r="AF26" s="387">
        <f t="shared" ref="AF26:AF33" si="4">+AE26-AD26</f>
        <v>0</v>
      </c>
      <c r="AG26" s="1212"/>
    </row>
    <row r="27" spans="1:33" ht="15.75">
      <c r="A27" s="406" t="s">
        <v>258</v>
      </c>
      <c r="B27" s="140"/>
      <c r="C27" s="278" t="s">
        <v>259</v>
      </c>
      <c r="D27" s="376"/>
      <c r="E27" s="377">
        <v>125037.10781250001</v>
      </c>
      <c r="F27" s="340">
        <f>IF($AE$27&lt;1," ",IF(E27&lt;1," ",(E27)/$AE$27))</f>
        <v>6.25E-2</v>
      </c>
      <c r="G27" s="390">
        <v>156296.384765625</v>
      </c>
      <c r="H27" s="340">
        <f>IF($AE$27&lt;1," ",IF(G27&lt;1," ",(G27)/$AE$27))</f>
        <v>7.8125E-2</v>
      </c>
      <c r="I27" s="390">
        <v>156296.384765625</v>
      </c>
      <c r="J27" s="340">
        <f>IF($AE$27&lt;1," ",IF(I27&lt;1," ",(I27)/$AE$27))</f>
        <v>7.8125E-2</v>
      </c>
      <c r="K27" s="390">
        <v>156296.384765625</v>
      </c>
      <c r="L27" s="340">
        <f>IF($AE$27&lt;1," ",IF(K27&lt;1," ",(K27)/$AE$27))</f>
        <v>7.8125E-2</v>
      </c>
      <c r="M27" s="390">
        <v>156296.384765625</v>
      </c>
      <c r="N27" s="531">
        <f>IF($AE$27&lt;1," ",IF(M27&lt;1," ",(M27)/$AE$27))</f>
        <v>7.8125E-2</v>
      </c>
      <c r="O27" s="390">
        <v>156296.384765625</v>
      </c>
      <c r="P27" s="531">
        <f>IF($AE$27&lt;1," ",IF(O27&lt;1," ",(O27)/$AE$27))</f>
        <v>7.8125E-2</v>
      </c>
      <c r="Q27" s="390">
        <v>156296.384765625</v>
      </c>
      <c r="R27" s="531">
        <f>IF($AE$27&lt;1," ",IF(Q27&lt;1," ",(Q27)/$AE$27))</f>
        <v>7.8125E-2</v>
      </c>
      <c r="S27" s="378">
        <v>156296.384765625</v>
      </c>
      <c r="T27" s="340">
        <f>IF($AE$27&lt;1," ",IF(S27&lt;1," ",(S27)/$AE$27))</f>
        <v>7.8125E-2</v>
      </c>
      <c r="U27" s="390">
        <v>156296.384765625</v>
      </c>
      <c r="V27" s="340">
        <f>IF($AE$27&lt;1," ",IF(U27&lt;1," ",(U27)/$AE$27))</f>
        <v>7.8125E-2</v>
      </c>
      <c r="W27" s="390">
        <v>156296.384765625</v>
      </c>
      <c r="X27" s="340">
        <f>IF($AE$27&lt;1," ",IF(W27&lt;1," ",(W27)/$AE$27))</f>
        <v>7.8125E-2</v>
      </c>
      <c r="Y27" s="390">
        <v>156296.384765625</v>
      </c>
      <c r="Z27" s="340">
        <f>IF($AE$27&lt;1," ",IF(Y27&lt;1," ",(Y27)/$AE$27))</f>
        <v>7.8125E-2</v>
      </c>
      <c r="AA27" s="390">
        <v>156296.384765625</v>
      </c>
      <c r="AB27" s="340">
        <f>IF($AE$27&lt;1," ",IF(AA27&lt;1," ",(AA27)/$AE$27))</f>
        <v>7.8125E-2</v>
      </c>
      <c r="AC27" s="1603">
        <f t="shared" si="2"/>
        <v>156296.384765625</v>
      </c>
      <c r="AD27" s="387">
        <f t="shared" si="3"/>
        <v>2000593.7250000001</v>
      </c>
      <c r="AE27" s="387">
        <f>'Budget-Summary MYP'!F30</f>
        <v>2000593.7250000001</v>
      </c>
      <c r="AF27" s="387">
        <f t="shared" si="4"/>
        <v>0</v>
      </c>
      <c r="AG27" s="1212"/>
    </row>
    <row r="28" spans="1:33" ht="15.75">
      <c r="A28" s="406" t="s">
        <v>260</v>
      </c>
      <c r="B28" s="140"/>
      <c r="C28" s="278" t="s">
        <v>261</v>
      </c>
      <c r="D28" s="376"/>
      <c r="E28" s="377">
        <v>94326.46595315641</v>
      </c>
      <c r="F28" s="340">
        <f>IF($AE$28&lt;1," ",IF(E28&lt;1," ",(E28)/$AE$28))</f>
        <v>4.881278851864531E-2</v>
      </c>
      <c r="G28" s="390">
        <v>154703.01097592583</v>
      </c>
      <c r="H28" s="340">
        <f>IF($AE$28&lt;1," ",IF(G28&lt;1," ",(G28)/$AE$28))</f>
        <v>8.0056909602822232E-2</v>
      </c>
      <c r="I28" s="390">
        <v>154703.01097592583</v>
      </c>
      <c r="J28" s="340">
        <f>IF($AE$28&lt;1," ",IF(I28&lt;1," ",(I28)/$AE$28))</f>
        <v>8.0056909602822232E-2</v>
      </c>
      <c r="K28" s="390">
        <v>154703.01097592583</v>
      </c>
      <c r="L28" s="340">
        <f>IF($AE$28&lt;1," ",IF(K28&lt;1," ",(K28)/$AE$28))</f>
        <v>8.0056909602822232E-2</v>
      </c>
      <c r="M28" s="390">
        <v>154703.01097592583</v>
      </c>
      <c r="N28" s="531">
        <f>IF($AE$28&lt;1," ",IF(M28&lt;1," ",(M28)/$AE$28))</f>
        <v>8.0056909602822232E-2</v>
      </c>
      <c r="O28" s="390">
        <v>154703.01097592583</v>
      </c>
      <c r="P28" s="531">
        <f>IF($AE$28&lt;1," ",IF(O28&lt;1," ",(O28)/$AE$28))</f>
        <v>8.0056909602822232E-2</v>
      </c>
      <c r="Q28" s="390">
        <v>154703.01097592583</v>
      </c>
      <c r="R28" s="531">
        <f>IF($AE$28&lt;1," ",IF(Q28&lt;1," ",(Q28)/$AE$28))</f>
        <v>8.0056909602822232E-2</v>
      </c>
      <c r="S28" s="378">
        <v>154703.01097592583</v>
      </c>
      <c r="T28" s="340">
        <f>IF($AE$28&lt;1," ",IF(S28&lt;1," ",(S28)/$AE$28))</f>
        <v>8.0056909602822232E-2</v>
      </c>
      <c r="U28" s="390">
        <v>154703.01097592583</v>
      </c>
      <c r="V28" s="340">
        <f>IF($AE$28&lt;1," ",IF(U28&lt;1," ",(U28)/$AE$28))</f>
        <v>8.0056909602822232E-2</v>
      </c>
      <c r="W28" s="390">
        <v>154703.01097592583</v>
      </c>
      <c r="X28" s="340">
        <f>IF($AE$28&lt;1," ",IF(W28&lt;1," ",(W28)/$AE$28))</f>
        <v>8.0056909602822232E-2</v>
      </c>
      <c r="Y28" s="390">
        <v>154703.01097592583</v>
      </c>
      <c r="Z28" s="340">
        <f>IF($AE$28&lt;1," ",IF(Y28&lt;1," ",(Y28)/$AE$28))</f>
        <v>8.0056909602822232E-2</v>
      </c>
      <c r="AA28" s="390">
        <v>154703.01097592583</v>
      </c>
      <c r="AB28" s="340">
        <f>IF($AE$28&lt;1," ",IF(AA28&lt;1," ",(AA28)/$AE$28))</f>
        <v>8.0056909602822232E-2</v>
      </c>
      <c r="AC28" s="1603">
        <f t="shared" si="2"/>
        <v>136353.38982346002</v>
      </c>
      <c r="AD28" s="387">
        <f t="shared" si="3"/>
        <v>1932412.9765118002</v>
      </c>
      <c r="AE28" s="387">
        <f>'Budget-Summary MYP'!F31</f>
        <v>1932412.9765118002</v>
      </c>
      <c r="AF28" s="387">
        <f t="shared" si="4"/>
        <v>0</v>
      </c>
      <c r="AG28" s="1212"/>
    </row>
    <row r="29" spans="1:33" ht="15.75">
      <c r="A29" s="406" t="s">
        <v>262</v>
      </c>
      <c r="B29" s="140"/>
      <c r="C29" s="278" t="s">
        <v>263</v>
      </c>
      <c r="D29" s="376"/>
      <c r="E29" s="377">
        <v>92656.543749999997</v>
      </c>
      <c r="F29" s="340">
        <f>IF($AE$29&lt;1," ",IF(E29&lt;1," ",(E29)/$AE$29))</f>
        <v>0.125</v>
      </c>
      <c r="G29" s="390">
        <v>105893.19285714286</v>
      </c>
      <c r="H29" s="340">
        <f>IF($AE$29&lt;1," ",IF(G29&lt;1," ",(G29)/$AE$29))</f>
        <v>0.14285714285714285</v>
      </c>
      <c r="I29" s="390">
        <v>185313.08749999999</v>
      </c>
      <c r="J29" s="340">
        <f>IF($AE$29&lt;1," ",IF(I29&lt;1," ",(I29)/$AE$29))</f>
        <v>0.25</v>
      </c>
      <c r="K29" s="390">
        <v>61771.029166666667</v>
      </c>
      <c r="L29" s="340">
        <f>IF($AE$29&lt;1," ",IF(K29&lt;1," ",(K29)/$AE$29))</f>
        <v>8.3333333333333343E-2</v>
      </c>
      <c r="M29" s="390">
        <v>46328.271874999999</v>
      </c>
      <c r="N29" s="531">
        <f>IF($AE$29&lt;1," ",IF(M29&lt;1," ",(M29)/$AE$29))</f>
        <v>6.25E-2</v>
      </c>
      <c r="O29" s="390">
        <v>33693.288636363635</v>
      </c>
      <c r="P29" s="531">
        <f>IF($AE$29&lt;1," ",IF(O29&lt;1," ",(O29)/$AE$29))</f>
        <v>4.5454545454545456E-2</v>
      </c>
      <c r="Q29" s="390">
        <v>33693.288636363635</v>
      </c>
      <c r="R29" s="531">
        <f>IF($AE$29&lt;1," ",IF(Q29&lt;1," ",(Q29)/$AE$29))</f>
        <v>4.5454545454545456E-2</v>
      </c>
      <c r="S29" s="378">
        <v>33693.288636363635</v>
      </c>
      <c r="T29" s="340">
        <f>IF($AE$29&lt;1," ",IF(S29&lt;1," ",(S29)/$AE$29))</f>
        <v>4.5454545454545456E-2</v>
      </c>
      <c r="U29" s="390">
        <v>33693.288636363635</v>
      </c>
      <c r="V29" s="340">
        <f>IF($AE$29&lt;1," ",IF(U29&lt;1," ",(U29)/$AE$29))</f>
        <v>4.5454545454545456E-2</v>
      </c>
      <c r="W29" s="390">
        <v>33693.288636363635</v>
      </c>
      <c r="X29" s="340">
        <f>IF($AE$29&lt;1," ",IF(W29&lt;1," ",(W29)/$AE$29))</f>
        <v>4.5454545454545456E-2</v>
      </c>
      <c r="Y29" s="390">
        <v>33693.288636363635</v>
      </c>
      <c r="Z29" s="340">
        <f>IF($AE$29&lt;1," ",IF(Y29&lt;1," ",(Y29)/$AE$29))</f>
        <v>4.5454545454545456E-2</v>
      </c>
      <c r="AA29" s="390">
        <v>33693.288636363635</v>
      </c>
      <c r="AB29" s="340">
        <f>IF($AE$29&lt;1," ",IF(AA29&lt;1," ",(AA29)/$AE$29))</f>
        <v>4.5454545454545456E-2</v>
      </c>
      <c r="AC29" s="1603">
        <f t="shared" si="2"/>
        <v>13437.204396645422</v>
      </c>
      <c r="AD29" s="387">
        <f t="shared" si="3"/>
        <v>741252.35</v>
      </c>
      <c r="AE29" s="387">
        <f>'Budget-Summary MYP'!F32</f>
        <v>741252.35</v>
      </c>
      <c r="AF29" s="387">
        <f t="shared" si="4"/>
        <v>0</v>
      </c>
      <c r="AG29" s="1212"/>
    </row>
    <row r="30" spans="1:33" ht="15.75">
      <c r="A30" s="406" t="s">
        <v>264</v>
      </c>
      <c r="B30" s="140"/>
      <c r="C30" s="278" t="s">
        <v>265</v>
      </c>
      <c r="D30" s="376"/>
      <c r="E30" s="377">
        <v>330718.8219696969</v>
      </c>
      <c r="F30" s="340">
        <f>IF($AE$30&lt;1," ",IF(E30&lt;1," ",(E30)/$AE$30))</f>
        <v>7.5757575757575746E-2</v>
      </c>
      <c r="G30" s="390">
        <v>330718.8219696969</v>
      </c>
      <c r="H30" s="340">
        <f>IF($AE$30&lt;1," ",IF(G30&lt;1," ",(G30)/$AE$30))</f>
        <v>7.5757575757575746E-2</v>
      </c>
      <c r="I30" s="390">
        <v>330718.8219696969</v>
      </c>
      <c r="J30" s="340">
        <f>IF($AE$30&lt;1," ",IF(I30&lt;1," ",(I30)/$AE$30))</f>
        <v>7.5757575757575746E-2</v>
      </c>
      <c r="K30" s="390">
        <v>330718.8219696969</v>
      </c>
      <c r="L30" s="340">
        <f>IF($AE$30&lt;1," ",IF(K30&lt;1," ",(K30)/$AE$30))</f>
        <v>7.5757575757575746E-2</v>
      </c>
      <c r="M30" s="390">
        <v>330718.8219696969</v>
      </c>
      <c r="N30" s="531">
        <f>IF($AE$30&lt;1," ",IF(M30&lt;1," ",(M30)/$AE$30))</f>
        <v>7.5757575757575746E-2</v>
      </c>
      <c r="O30" s="390">
        <v>330718.8219696969</v>
      </c>
      <c r="P30" s="531">
        <f>IF($AE$30&lt;1," ",IF(O30&lt;1," ",(O30)/$AE$30))</f>
        <v>7.5757575757575746E-2</v>
      </c>
      <c r="Q30" s="390">
        <v>330718.8219696969</v>
      </c>
      <c r="R30" s="531">
        <f>IF($AE$30&lt;1," ",IF(Q30&lt;1," ",(Q30)/$AE$30))</f>
        <v>7.5757575757575746E-2</v>
      </c>
      <c r="S30" s="378">
        <v>330718.8219696969</v>
      </c>
      <c r="T30" s="340">
        <f>IF($AE$30&lt;1," ",IF(S30&lt;1," ",(S30)/$AE$30))</f>
        <v>7.5757575757575746E-2</v>
      </c>
      <c r="U30" s="390">
        <v>330718.8219696969</v>
      </c>
      <c r="V30" s="340">
        <f>IF($AE$30&lt;1," ",IF(U30&lt;1," ",(U30)/$AE$30))</f>
        <v>7.5757575757575746E-2</v>
      </c>
      <c r="W30" s="390">
        <v>330718.8219696969</v>
      </c>
      <c r="X30" s="340">
        <f>IF($AE$30&lt;1," ",IF(W30&lt;1," ",(W30)/$AE$30))</f>
        <v>7.5757575757575746E-2</v>
      </c>
      <c r="Y30" s="390">
        <v>330718.8219696969</v>
      </c>
      <c r="Z30" s="340">
        <f>IF($AE$30&lt;1," ",IF(Y30&lt;1," ",(Y30)/$AE$30))</f>
        <v>7.5757575757575746E-2</v>
      </c>
      <c r="AA30" s="390">
        <v>330718.8219696969</v>
      </c>
      <c r="AB30" s="340">
        <f>IF($AE$30&lt;1," ",IF(AA30&lt;1," ",(AA30)/$AE$30))</f>
        <v>7.5757575757575746E-2</v>
      </c>
      <c r="AC30" s="1603">
        <f t="shared" si="2"/>
        <v>396862.58636363829</v>
      </c>
      <c r="AD30" s="387">
        <f t="shared" si="3"/>
        <v>4365488.45</v>
      </c>
      <c r="AE30" s="387">
        <f>'Budget-Summary MYP'!F33</f>
        <v>4365488.45</v>
      </c>
      <c r="AF30" s="387">
        <f t="shared" si="4"/>
        <v>0</v>
      </c>
      <c r="AG30" s="1212"/>
    </row>
    <row r="31" spans="1:33" ht="15.75">
      <c r="A31" s="406" t="s">
        <v>266</v>
      </c>
      <c r="B31" s="140"/>
      <c r="C31" s="278" t="s">
        <v>267</v>
      </c>
      <c r="D31" s="376"/>
      <c r="E31" s="377"/>
      <c r="F31" s="340" t="str">
        <f>IF($AE$31&lt;1," ",IF(E31&lt;1," ",(E31)/$AE$31))</f>
        <v xml:space="preserve"> </v>
      </c>
      <c r="G31" s="390">
        <v>0</v>
      </c>
      <c r="H31" s="340" t="str">
        <f>IF($AE$31&lt;1," ",IF(G31&lt;1," ",(G31)/$AE$31))</f>
        <v xml:space="preserve"> </v>
      </c>
      <c r="I31" s="390">
        <v>0</v>
      </c>
      <c r="J31" s="340" t="str">
        <f>IF($AE$31&lt;1," ",IF(I31&lt;1," ",(I31)/$AE$31))</f>
        <v xml:space="preserve"> </v>
      </c>
      <c r="K31" s="390">
        <v>0</v>
      </c>
      <c r="L31" s="340" t="str">
        <f>IF($AE$31&lt;1," ",IF(K31&lt;1," ",(K31)/$AE$31))</f>
        <v xml:space="preserve"> </v>
      </c>
      <c r="M31" s="390">
        <v>0</v>
      </c>
      <c r="N31" s="531" t="str">
        <f>IF($AE$31&lt;1," ",IF(M31&lt;1," ",(M31)/$AE$31))</f>
        <v xml:space="preserve"> </v>
      </c>
      <c r="O31" s="390">
        <v>0</v>
      </c>
      <c r="P31" s="531" t="str">
        <f>IF($AE$31&lt;1," ",IF(O31&lt;1," ",(O31)/$AE$31))</f>
        <v xml:space="preserve"> </v>
      </c>
      <c r="Q31" s="390">
        <v>0</v>
      </c>
      <c r="R31" s="531" t="str">
        <f>IF($AE$31&lt;1," ",IF(Q31&lt;1," ",(Q31)/$AE$31))</f>
        <v xml:space="preserve"> </v>
      </c>
      <c r="S31" s="378">
        <v>0</v>
      </c>
      <c r="T31" s="340" t="str">
        <f>IF($AE$31&lt;1," ",IF(S31&lt;1," ",(S31)/$AE$31))</f>
        <v xml:space="preserve"> </v>
      </c>
      <c r="U31" s="390">
        <v>0</v>
      </c>
      <c r="V31" s="340" t="str">
        <f>IF($AE$31&lt;1," ",IF(U31&lt;1," ",(U31)/$AE$31))</f>
        <v xml:space="preserve"> </v>
      </c>
      <c r="W31" s="390">
        <v>0</v>
      </c>
      <c r="X31" s="340" t="str">
        <f>IF($AE$31&lt;1," ",IF(W31&lt;1," ",(W31)/$AE$31))</f>
        <v xml:space="preserve"> </v>
      </c>
      <c r="Y31" s="390">
        <v>0</v>
      </c>
      <c r="Z31" s="340" t="str">
        <f>IF($AE$31&lt;1," ",IF(Y31&lt;1," ",(Y31)/$AE$31))</f>
        <v xml:space="preserve"> </v>
      </c>
      <c r="AA31" s="390">
        <v>0</v>
      </c>
      <c r="AB31" s="340" t="str">
        <f>IF($AE$31&lt;1," ",IF(AA31&lt;1," ",(AA31)/$AE$31))</f>
        <v xml:space="preserve"> </v>
      </c>
      <c r="AC31" s="1603">
        <f t="shared" si="2"/>
        <v>204240.28571428571</v>
      </c>
      <c r="AD31" s="387">
        <f t="shared" si="3"/>
        <v>204240.28571428571</v>
      </c>
      <c r="AE31" s="387">
        <f>'Budget-Summary MYP'!F34</f>
        <v>204240.28571428571</v>
      </c>
      <c r="AF31" s="387">
        <f t="shared" si="4"/>
        <v>0</v>
      </c>
      <c r="AG31" s="1212"/>
    </row>
    <row r="32" spans="1:33" ht="15.75">
      <c r="A32" s="406" t="s">
        <v>268</v>
      </c>
      <c r="B32" s="140"/>
      <c r="C32" s="278" t="s">
        <v>269</v>
      </c>
      <c r="D32" s="376"/>
      <c r="E32" s="377"/>
      <c r="F32" s="340" t="str">
        <f>IF($AE$32&lt;1," ",IF(E32&lt;1," ",(E32)/$AE$32))</f>
        <v xml:space="preserve"> </v>
      </c>
      <c r="G32" s="390"/>
      <c r="H32" s="340" t="str">
        <f>IF($AE$32&lt;1," ",IF(G32&lt;1," ",(G32)/$AE$32))</f>
        <v xml:space="preserve"> </v>
      </c>
      <c r="I32" s="390"/>
      <c r="J32" s="340" t="str">
        <f>IF($AE$32&lt;1," ",IF(I32&lt;1," ",(I32)/$AE$32))</f>
        <v xml:space="preserve"> </v>
      </c>
      <c r="K32" s="390"/>
      <c r="L32" s="340" t="str">
        <f>IF($AE$32&lt;1," ",IF(K32&lt;1," ",(K32)/$AE$32))</f>
        <v xml:space="preserve"> </v>
      </c>
      <c r="M32" s="390"/>
      <c r="N32" s="531" t="str">
        <f>IF($AE$32&lt;1," ",IF(M32&lt;1," ",(M32)/$AE$32))</f>
        <v xml:space="preserve"> </v>
      </c>
      <c r="O32" s="390"/>
      <c r="P32" s="531" t="str">
        <f>IF($AE$32&lt;1," ",IF(O32&lt;1," ",(O32)/$AE$32))</f>
        <v xml:space="preserve"> </v>
      </c>
      <c r="Q32" s="390"/>
      <c r="R32" s="531" t="str">
        <f>IF($AE$32&lt;1," ",IF(Q32&lt;1," ",(Q32)/$AE$32))</f>
        <v xml:space="preserve"> </v>
      </c>
      <c r="S32" s="378"/>
      <c r="T32" s="340" t="str">
        <f>IF($AE$32&lt;1," ",IF(S32&lt;1," ",(S32)/$AE$32))</f>
        <v xml:space="preserve"> </v>
      </c>
      <c r="U32" s="390"/>
      <c r="V32" s="340" t="str">
        <f>IF($AE$32&lt;1," ",IF(U32&lt;1," ",(U32)/$AE$32))</f>
        <v xml:space="preserve"> </v>
      </c>
      <c r="W32" s="390"/>
      <c r="X32" s="340" t="str">
        <f>IF($AE$32&lt;1," ",IF(W32&lt;1," ",(W32)/$AE$32))</f>
        <v xml:space="preserve"> </v>
      </c>
      <c r="Y32" s="390"/>
      <c r="Z32" s="340" t="str">
        <f>IF($AE$32&lt;1," ",IF(Y32&lt;1," ",(Y32)/$AE$32))</f>
        <v xml:space="preserve"> </v>
      </c>
      <c r="AA32" s="390"/>
      <c r="AB32" s="340" t="str">
        <f>IF($AE$32&lt;1," ",IF(AA32&lt;1," ",(AA32)/$AE$32))</f>
        <v xml:space="preserve"> </v>
      </c>
      <c r="AC32" s="1603">
        <f t="shared" si="2"/>
        <v>0</v>
      </c>
      <c r="AD32" s="387">
        <f t="shared" si="3"/>
        <v>0</v>
      </c>
      <c r="AE32" s="387">
        <f>'Budget-Summary MYP'!F35</f>
        <v>0</v>
      </c>
      <c r="AF32" s="387">
        <f t="shared" si="4"/>
        <v>0</v>
      </c>
      <c r="AG32" s="1212"/>
    </row>
    <row r="33" spans="1:33" ht="15.75">
      <c r="A33" s="406" t="s">
        <v>270</v>
      </c>
      <c r="B33" s="140"/>
      <c r="C33" s="278" t="s">
        <v>271</v>
      </c>
      <c r="D33" s="376"/>
      <c r="E33" s="377">
        <v>3950.5492424242425</v>
      </c>
      <c r="F33" s="340">
        <f>IF($AE33&lt;1," ",IF(E33&lt;1," ",(E33)/$AE33))</f>
        <v>7.5757938949973014E-2</v>
      </c>
      <c r="G33" s="390">
        <v>3950.5492424242425</v>
      </c>
      <c r="H33" s="340">
        <f>IF($AE33&lt;1," ",IF(G33&lt;1," ",(G33)/$AE33))</f>
        <v>7.5757938949973014E-2</v>
      </c>
      <c r="I33" s="390">
        <v>3950.5492424242425</v>
      </c>
      <c r="J33" s="340">
        <f>IF($AE33&lt;1," ",IF(I33&lt;1," ",(I33)/$AE33))</f>
        <v>7.5757938949973014E-2</v>
      </c>
      <c r="K33" s="390">
        <v>3950.5492424242425</v>
      </c>
      <c r="L33" s="340">
        <f>IF($AE33&lt;1," ",IF(K33&lt;1," ",(K33)/$AE33))</f>
        <v>7.5757938949973014E-2</v>
      </c>
      <c r="M33" s="390">
        <v>3950.5492424242425</v>
      </c>
      <c r="N33" s="531">
        <f>IF($AE33&lt;1," ",IF(M33&lt;1," ",(M33)/$AE33))</f>
        <v>7.5757938949973014E-2</v>
      </c>
      <c r="O33" s="390">
        <v>3950.5492424242425</v>
      </c>
      <c r="P33" s="531">
        <f>IF($AE33&lt;1," ",IF(O33&lt;1," ",(O33)/$AE33))</f>
        <v>7.5757938949973014E-2</v>
      </c>
      <c r="Q33" s="390">
        <v>3950.5492424242425</v>
      </c>
      <c r="R33" s="531">
        <f>IF($AE33&lt;1," ",IF(Q33&lt;1," ",(Q33)/$AE33))</f>
        <v>7.5757938949973014E-2</v>
      </c>
      <c r="S33" s="378">
        <v>3950.5492424242425</v>
      </c>
      <c r="T33" s="340">
        <f>IF($AE33&lt;1," ",IF(S33&lt;1," ",(S33)/$AE33))</f>
        <v>7.5757938949973014E-2</v>
      </c>
      <c r="U33" s="390">
        <v>3950.5492424242425</v>
      </c>
      <c r="V33" s="340">
        <f>IF($AE33&lt;1," ",IF(U33&lt;1," ",(U33)/$AE33))</f>
        <v>7.5757938949973014E-2</v>
      </c>
      <c r="W33" s="390">
        <v>3950.5492424242425</v>
      </c>
      <c r="X33" s="340">
        <f>IF($AE33&lt;1," ",IF(W33&lt;1," ",(W33)/$AE33))</f>
        <v>7.5757938949973014E-2</v>
      </c>
      <c r="Y33" s="390">
        <v>3950.5492424242425</v>
      </c>
      <c r="Z33" s="340">
        <f>IF($AE33&lt;1," ",IF(Y33&lt;1," ",(Y33)/$AE33))</f>
        <v>7.5757938949973014E-2</v>
      </c>
      <c r="AA33" s="390">
        <v>3950.5492424242425</v>
      </c>
      <c r="AB33" s="340">
        <f>IF($AE33&lt;1," ",IF(AA33&lt;1," ",(AA33)/$AE33))</f>
        <v>7.5757938949973014E-2</v>
      </c>
      <c r="AC33" s="1603">
        <f t="shared" si="2"/>
        <v>4740.4090909090955</v>
      </c>
      <c r="AD33" s="387">
        <f t="shared" si="3"/>
        <v>52147</v>
      </c>
      <c r="AE33" s="387">
        <f>'Budget-Summary MYP'!F36</f>
        <v>52147</v>
      </c>
      <c r="AF33" s="387">
        <f t="shared" si="4"/>
        <v>0</v>
      </c>
      <c r="AG33" s="1212"/>
    </row>
    <row r="34" spans="1:33" ht="16.5" thickBot="1">
      <c r="A34" s="405" t="s">
        <v>272</v>
      </c>
      <c r="B34" s="382"/>
      <c r="C34" s="383"/>
      <c r="D34" s="383"/>
      <c r="E34" s="770">
        <f>+SUM(E26:E33)</f>
        <v>770974.97192777751</v>
      </c>
      <c r="F34" s="384">
        <f>IF($AE34&lt;1," ",IF(E34&lt;1," ",(E34)/$AE34))</f>
        <v>6.215899967209227E-2</v>
      </c>
      <c r="G34" s="771">
        <f>+SUM(G26:G33)</f>
        <v>1004174.7305425222</v>
      </c>
      <c r="H34" s="384">
        <f>IF($AE34&lt;1," ",IF(G34&lt;1," ",(G34)/$AE34))</f>
        <v>8.0960470857364158E-2</v>
      </c>
      <c r="I34" s="771">
        <f>+SUM(I26:I33)</f>
        <v>1083594.6251853793</v>
      </c>
      <c r="J34" s="384">
        <f>IF($AE34&lt;1," ",IF(I34&lt;1," ",(I34)/$AE34))</f>
        <v>8.736361153613241E-2</v>
      </c>
      <c r="K34" s="771">
        <f>+SUM(K26:K33)</f>
        <v>960052.56685204594</v>
      </c>
      <c r="L34" s="384">
        <f>IF($AE34&lt;1," ",IF(K34&lt;1," ",(K34)/$AE34))</f>
        <v>7.7403170480270692E-2</v>
      </c>
      <c r="M34" s="771">
        <f>+SUM(M26:M33)</f>
        <v>944609.80956037925</v>
      </c>
      <c r="N34" s="533">
        <f>IF($AE34&lt;1," ",IF(M34&lt;1," ",(M34)/$AE34))</f>
        <v>7.6158115348287966E-2</v>
      </c>
      <c r="O34" s="771">
        <f>+SUM(O26:O33)</f>
        <v>931974.82632174296</v>
      </c>
      <c r="P34" s="384">
        <f>IF($AE34&lt;1," ",IF(O34&lt;1," ",(O34)/$AE34))</f>
        <v>7.5139433876665759E-2</v>
      </c>
      <c r="Q34" s="771">
        <f>+SUM(Q26:Q33)</f>
        <v>931974.82632174296</v>
      </c>
      <c r="R34" s="533">
        <f>IF($AE34&lt;1," ",IF(Q34&lt;1," ",(Q34)/$AE34))</f>
        <v>7.5139433876665759E-2</v>
      </c>
      <c r="S34" s="772">
        <f>+SUM(S26:S33)</f>
        <v>931974.82632174296</v>
      </c>
      <c r="T34" s="384">
        <f>IF($AE34&lt;1," ",IF(S34&lt;1," ",(S34)/$AE34))</f>
        <v>7.5139433876665759E-2</v>
      </c>
      <c r="U34" s="771">
        <f>+SUM(U26:U33)</f>
        <v>931974.82632174296</v>
      </c>
      <c r="V34" s="384">
        <f>IF($AE34&lt;1," ",IF(U34&lt;1," ",(U34)/$AE34))</f>
        <v>7.5139433876665759E-2</v>
      </c>
      <c r="W34" s="771">
        <f>+SUM(W26:W33)</f>
        <v>931974.82632174296</v>
      </c>
      <c r="X34" s="384">
        <f>IF($AE34&lt;1," ",IF(W34&lt;1," ",(W34)/$AE34))</f>
        <v>7.5139433876665759E-2</v>
      </c>
      <c r="Y34" s="771">
        <f>+SUM(Y26:Y33)</f>
        <v>931974.82632174296</v>
      </c>
      <c r="Z34" s="384">
        <f>IF($AE34&lt;1," ",IF(Y34&lt;1," ",(Y34)/$AE34))</f>
        <v>7.5139433876665759E-2</v>
      </c>
      <c r="AA34" s="771">
        <f>+SUM(AA26:AA33)</f>
        <v>931974.82632174296</v>
      </c>
      <c r="AB34" s="384">
        <f>IF($AE34&lt;1," ",IF(AA34&lt;1," ",(AA34)/$AE34))</f>
        <v>7.5139433876665759E-2</v>
      </c>
      <c r="AC34" s="1602">
        <f>+SUM(AC26:AC33)</f>
        <v>1116041.3789057827</v>
      </c>
      <c r="AD34" s="773">
        <f>+SUM(AD26:AD33)</f>
        <v>12403271.867226085</v>
      </c>
      <c r="AE34" s="773">
        <f>+SUM(AE26:AE33)</f>
        <v>12403271.867226085</v>
      </c>
      <c r="AF34" s="773">
        <f>+SUM(AF26:AF33)</f>
        <v>0</v>
      </c>
      <c r="AG34" s="1212"/>
    </row>
    <row r="35" spans="1:33" ht="15.75">
      <c r="A35" s="409"/>
      <c r="B35" s="371"/>
      <c r="C35" s="71"/>
      <c r="D35" s="71"/>
      <c r="E35" s="74"/>
      <c r="F35" s="196"/>
      <c r="G35" s="75"/>
      <c r="H35" s="196"/>
      <c r="I35" s="75"/>
      <c r="J35" s="196"/>
      <c r="K35" s="75"/>
      <c r="L35" s="196"/>
      <c r="M35" s="75"/>
      <c r="N35" s="196"/>
      <c r="O35" s="75"/>
      <c r="P35" s="196"/>
      <c r="Q35" s="75"/>
      <c r="R35" s="196"/>
      <c r="S35" s="75"/>
      <c r="T35" s="196"/>
      <c r="U35" s="75"/>
      <c r="V35" s="196"/>
      <c r="W35" s="75"/>
      <c r="X35" s="196"/>
      <c r="Y35" s="75"/>
      <c r="Z35" s="196"/>
      <c r="AA35" s="75"/>
      <c r="AB35" s="196"/>
      <c r="AC35" s="1023"/>
      <c r="AD35" s="1023"/>
      <c r="AE35" s="1023"/>
      <c r="AF35" s="1039"/>
      <c r="AG35" s="1212"/>
    </row>
    <row r="36" spans="1:33" ht="15.75">
      <c r="A36" s="66" t="s">
        <v>424</v>
      </c>
      <c r="B36" s="180"/>
      <c r="C36" s="373"/>
      <c r="D36" s="373"/>
      <c r="E36" s="545"/>
      <c r="F36" s="482"/>
      <c r="G36" s="525"/>
      <c r="H36" s="482"/>
      <c r="I36" s="525"/>
      <c r="J36" s="482"/>
      <c r="K36" s="525"/>
      <c r="L36" s="482"/>
      <c r="M36" s="525"/>
      <c r="N36" s="482"/>
      <c r="O36" s="525"/>
      <c r="P36" s="482"/>
      <c r="Q36" s="525"/>
      <c r="R36" s="482"/>
      <c r="S36" s="525"/>
      <c r="T36" s="482"/>
      <c r="U36" s="525"/>
      <c r="V36" s="482"/>
      <c r="W36" s="525"/>
      <c r="X36" s="482"/>
      <c r="Y36" s="525"/>
      <c r="Z36" s="482"/>
      <c r="AA36" s="525"/>
      <c r="AB36" s="482"/>
      <c r="AC36" s="1027"/>
      <c r="AD36" s="1027"/>
      <c r="AE36" s="1027"/>
      <c r="AF36" s="1035"/>
      <c r="AG36" s="1212"/>
    </row>
    <row r="37" spans="1:33" ht="15.75">
      <c r="A37" s="406" t="s">
        <v>275</v>
      </c>
      <c r="B37" s="140"/>
      <c r="C37" s="278">
        <v>8900</v>
      </c>
      <c r="D37" s="395"/>
      <c r="E37" s="377"/>
      <c r="F37" s="340" t="str">
        <f>IF($AE37&lt;1," ",IF(E37&lt;1," ",(E37)/$AE37))</f>
        <v xml:space="preserve"> </v>
      </c>
      <c r="G37" s="390"/>
      <c r="H37" s="340" t="str">
        <f>IF($AE37&lt;1," ",IF(G37&lt;1," ",(G37)/$AE37))</f>
        <v xml:space="preserve"> </v>
      </c>
      <c r="I37" s="390"/>
      <c r="J37" s="340" t="str">
        <f>IF($AE37&lt;1," ",IF(I37&lt;1," ",(I37)/$AE37))</f>
        <v xml:space="preserve"> </v>
      </c>
      <c r="K37" s="390"/>
      <c r="L37" s="340" t="str">
        <f>IF($AE37&lt;1," ",IF(K37&lt;1," ",(K37)/$AE37))</f>
        <v xml:space="preserve"> </v>
      </c>
      <c r="M37" s="390"/>
      <c r="N37" s="531" t="str">
        <f>IF($AE37&lt;1," ",IF(M37&lt;1," ",(M37)/$AE37))</f>
        <v xml:space="preserve"> </v>
      </c>
      <c r="O37" s="390"/>
      <c r="P37" s="340" t="str">
        <f>IF($AE37&lt;1," ",IF(O37&lt;1," ",(O37)/$AE37))</f>
        <v xml:space="preserve"> </v>
      </c>
      <c r="Q37" s="390"/>
      <c r="R37" s="340" t="str">
        <f>IF($AE37&lt;1," ",IF(Q37&lt;1," ",(Q37)/$AE37))</f>
        <v xml:space="preserve"> </v>
      </c>
      <c r="S37" s="390"/>
      <c r="T37" s="340" t="str">
        <f>IF($AE37&lt;1," ",IF(S37&lt;1," ",(S37)/$AE37))</f>
        <v xml:space="preserve"> </v>
      </c>
      <c r="U37" s="390"/>
      <c r="V37" s="340" t="str">
        <f>IF($AE37&lt;1," ",IF(U37&lt;1," ",(U37)/$AE37))</f>
        <v xml:space="preserve"> </v>
      </c>
      <c r="W37" s="390"/>
      <c r="X37" s="340" t="str">
        <f>IF($AE37&lt;1," ",IF(W37&lt;1," ",(W37)/$AE37))</f>
        <v xml:space="preserve"> </v>
      </c>
      <c r="Y37" s="390"/>
      <c r="Z37" s="340" t="str">
        <f>IF($AE37&lt;1," ",IF(Y37&lt;1," ",(Y37)/$AE37))</f>
        <v xml:space="preserve"> </v>
      </c>
      <c r="AA37" s="390"/>
      <c r="AB37" s="340" t="str">
        <f>IF($AE37&lt;1," ",IF(AA37&lt;1," ",(AA37)/$AE37))</f>
        <v xml:space="preserve"> </v>
      </c>
      <c r="AC37" s="1603">
        <f>AE37-(E37+G37+I37+K37+M37+O37+Q37+S37+U37+W37+Y37+AA37)</f>
        <v>0</v>
      </c>
      <c r="AD37" s="387">
        <f>+E37+G37+I37+K37+M37+O37+Q37+S37+U37+W37+Y37+AA37+AC37</f>
        <v>0</v>
      </c>
      <c r="AE37" s="387">
        <f>'Budget-Summary MYP'!F42</f>
        <v>0</v>
      </c>
      <c r="AF37" s="387">
        <f>+AE37-AD37</f>
        <v>0</v>
      </c>
      <c r="AG37" s="1212"/>
    </row>
    <row r="38" spans="1:33" ht="15.75">
      <c r="A38" s="406" t="s">
        <v>276</v>
      </c>
      <c r="B38" s="140"/>
      <c r="C38" s="278">
        <v>7600</v>
      </c>
      <c r="D38" s="395"/>
      <c r="E38" s="377"/>
      <c r="F38" s="340" t="str">
        <f>IF($AE38&lt;1," ",IF(E38&lt;1," ",(E38)/$AE38))</f>
        <v xml:space="preserve"> </v>
      </c>
      <c r="G38" s="390"/>
      <c r="H38" s="340" t="str">
        <f>IF($AE38&lt;1," ",IF(G38&lt;1," ",(G38)/$AE38))</f>
        <v xml:space="preserve"> </v>
      </c>
      <c r="I38" s="390"/>
      <c r="J38" s="340" t="str">
        <f>IF($AE38&lt;1," ",IF(I38&lt;1," ",(I38)/$AE38))</f>
        <v xml:space="preserve"> </v>
      </c>
      <c r="K38" s="390"/>
      <c r="L38" s="340" t="str">
        <f>IF($AE38&lt;1," ",IF(K38&lt;1," ",(K38)/$AE38))</f>
        <v xml:space="preserve"> </v>
      </c>
      <c r="M38" s="390"/>
      <c r="N38" s="531" t="str">
        <f>IF($AE38&lt;1," ",IF(M38&lt;1," ",(M38)/$AE38))</f>
        <v xml:space="preserve"> </v>
      </c>
      <c r="O38" s="390"/>
      <c r="P38" s="340" t="str">
        <f>IF($AE38&lt;1," ",IF(O38&lt;1," ",(O38)/$AE38))</f>
        <v xml:space="preserve"> </v>
      </c>
      <c r="Q38" s="390"/>
      <c r="R38" s="340" t="str">
        <f>IF($AE38&lt;1," ",IF(Q38&lt;1," ",(Q38)/$AE38))</f>
        <v xml:space="preserve"> </v>
      </c>
      <c r="S38" s="390"/>
      <c r="T38" s="340" t="str">
        <f>IF($AE38&lt;1," ",IF(S38&lt;1," ",(S38)/$AE38))</f>
        <v xml:space="preserve"> </v>
      </c>
      <c r="U38" s="390"/>
      <c r="V38" s="340" t="str">
        <f>IF($AE38&lt;1," ",IF(U38&lt;1," ",(U38)/$AE38))</f>
        <v xml:space="preserve"> </v>
      </c>
      <c r="W38" s="390"/>
      <c r="X38" s="340" t="str">
        <f>IF($AE38&lt;1," ",IF(W38&lt;1," ",(W38)/$AE38))</f>
        <v xml:space="preserve"> </v>
      </c>
      <c r="Y38" s="390"/>
      <c r="Z38" s="340" t="str">
        <f>IF($AE38&lt;1," ",IF(Y38&lt;1," ",(Y38)/$AE38))</f>
        <v xml:space="preserve"> </v>
      </c>
      <c r="AA38" s="390"/>
      <c r="AB38" s="340" t="str">
        <f>IF($AE38&lt;1," ",IF(AA38&lt;1," ",(AA38)/$AE38))</f>
        <v xml:space="preserve"> </v>
      </c>
      <c r="AC38" s="1603">
        <f>AE38-(E38+G38+I38+K38+M38+O38+Q38+S38+U38+W38+Y38+AA38)</f>
        <v>0</v>
      </c>
      <c r="AD38" s="387">
        <f>+E38+G38+I38+K38+M38+O38+Q38+S38+U38+W38+Y38+AA38+AC38</f>
        <v>0</v>
      </c>
      <c r="AE38" s="387">
        <f>'Budget-Summary MYP'!F43</f>
        <v>0</v>
      </c>
      <c r="AF38" s="387">
        <f>+AE38-AD38</f>
        <v>0</v>
      </c>
      <c r="AG38" s="1212"/>
    </row>
    <row r="39" spans="1:33" ht="16.5" thickBot="1">
      <c r="A39" s="410" t="s">
        <v>277</v>
      </c>
      <c r="B39" s="382"/>
      <c r="C39" s="383"/>
      <c r="D39" s="383"/>
      <c r="E39" s="770">
        <f>+E37-E38</f>
        <v>0</v>
      </c>
      <c r="F39" s="384" t="str">
        <f>IF($AE39&lt;1," ",IF(E39&lt;1," ",(E39)/$AE39))</f>
        <v xml:space="preserve"> </v>
      </c>
      <c r="G39" s="771">
        <f>+G37-G38</f>
        <v>0</v>
      </c>
      <c r="H39" s="384" t="str">
        <f>IF($AE39&lt;1," ",IF(G39&lt;1," ",(G39)/$AE39))</f>
        <v xml:space="preserve"> </v>
      </c>
      <c r="I39" s="771">
        <f>+I37-I38</f>
        <v>0</v>
      </c>
      <c r="J39" s="384" t="str">
        <f>IF($AE39&lt;1," ",IF(I39&lt;1," ",(I39)/$AE39))</f>
        <v xml:space="preserve"> </v>
      </c>
      <c r="K39" s="771">
        <f>+K37-K38</f>
        <v>0</v>
      </c>
      <c r="L39" s="384" t="str">
        <f>IF($AE39&lt;1," ",IF(K39&lt;1," ",(K39)/$AE39))</f>
        <v xml:space="preserve"> </v>
      </c>
      <c r="M39" s="771">
        <f>+M37-M38</f>
        <v>0</v>
      </c>
      <c r="N39" s="533" t="str">
        <f>IF($AE39&lt;1," ",IF(M39&lt;1," ",(M39)/$AE39))</f>
        <v xml:space="preserve"> </v>
      </c>
      <c r="O39" s="771">
        <f>+O37-O38</f>
        <v>0</v>
      </c>
      <c r="P39" s="384" t="str">
        <f>IF($AE39&lt;1," ",IF(O39&lt;1," ",(O39)/$AE39))</f>
        <v xml:space="preserve"> </v>
      </c>
      <c r="Q39" s="771">
        <f>+Q37-Q38</f>
        <v>0</v>
      </c>
      <c r="R39" s="533" t="str">
        <f>IF($AE39&lt;1," ",IF(Q39&lt;1," ",(Q39)/$AE39))</f>
        <v xml:space="preserve"> </v>
      </c>
      <c r="S39" s="772">
        <f>+S37-S38</f>
        <v>0</v>
      </c>
      <c r="T39" s="384" t="str">
        <f>IF($AE39&lt;1," ",IF(S39&lt;1," ",(S39)/$AE39))</f>
        <v xml:space="preserve"> </v>
      </c>
      <c r="U39" s="771">
        <f>+U37-U38</f>
        <v>0</v>
      </c>
      <c r="V39" s="384" t="str">
        <f>IF($AE39&lt;1," ",IF(U39&lt;1," ",(U39)/$AE39))</f>
        <v xml:space="preserve"> </v>
      </c>
      <c r="W39" s="771">
        <f>+W37-W38</f>
        <v>0</v>
      </c>
      <c r="X39" s="384" t="str">
        <f>IF($AE39&lt;1," ",IF(W39&lt;1," ",(W39)/$AE39))</f>
        <v xml:space="preserve"> </v>
      </c>
      <c r="Y39" s="771">
        <f>+Y37-Y38</f>
        <v>0</v>
      </c>
      <c r="Z39" s="384" t="str">
        <f>IF($AE39&lt;1," ",IF(Y39&lt;1," ",(Y39)/$AE39))</f>
        <v xml:space="preserve"> </v>
      </c>
      <c r="AA39" s="771">
        <f>+AA37-AA38</f>
        <v>0</v>
      </c>
      <c r="AB39" s="384" t="str">
        <f>IF($AE39&lt;1," ",IF(AA39&lt;1," ",(AA39)/$AE39))</f>
        <v xml:space="preserve"> </v>
      </c>
      <c r="AC39" s="1602">
        <f>+AC37-AC38</f>
        <v>0</v>
      </c>
      <c r="AD39" s="773">
        <f>+AD37-AD38</f>
        <v>0</v>
      </c>
      <c r="AE39" s="773">
        <f>+AE37-AE38</f>
        <v>0</v>
      </c>
      <c r="AF39" s="773">
        <f>+AF37-AF38</f>
        <v>0</v>
      </c>
      <c r="AG39" s="1212"/>
    </row>
    <row r="40" spans="1:33" ht="15.75" customHeight="1">
      <c r="A40" s="409"/>
      <c r="B40" s="182"/>
      <c r="C40" s="22"/>
      <c r="D40" s="1809" t="s">
        <v>425</v>
      </c>
      <c r="E40" s="23"/>
      <c r="F40" s="198" t="s">
        <v>426</v>
      </c>
      <c r="G40" s="392"/>
      <c r="H40" s="198" t="s">
        <v>426</v>
      </c>
      <c r="I40" s="392"/>
      <c r="J40" s="198" t="s">
        <v>426</v>
      </c>
      <c r="K40" s="392"/>
      <c r="L40" s="198" t="s">
        <v>426</v>
      </c>
      <c r="M40" s="392"/>
      <c r="N40" s="535" t="s">
        <v>426</v>
      </c>
      <c r="O40" s="392"/>
      <c r="P40" s="198" t="s">
        <v>426</v>
      </c>
      <c r="Q40" s="392"/>
      <c r="R40" s="534" t="s">
        <v>426</v>
      </c>
      <c r="S40" s="20"/>
      <c r="T40" s="198" t="s">
        <v>426</v>
      </c>
      <c r="U40" s="392"/>
      <c r="V40" s="198" t="s">
        <v>426</v>
      </c>
      <c r="W40" s="392"/>
      <c r="X40" s="198" t="s">
        <v>426</v>
      </c>
      <c r="Y40" s="392"/>
      <c r="Z40" s="198" t="s">
        <v>426</v>
      </c>
      <c r="AA40" s="392"/>
      <c r="AB40" s="198" t="s">
        <v>426</v>
      </c>
      <c r="AC40" s="1604"/>
      <c r="AD40" s="1034"/>
      <c r="AE40" s="1812" t="s">
        <v>427</v>
      </c>
      <c r="AF40" s="1040"/>
    </row>
    <row r="41" spans="1:33" ht="15.75">
      <c r="A41" s="66" t="s">
        <v>428</v>
      </c>
      <c r="B41" s="180"/>
      <c r="C41" s="22"/>
      <c r="D41" s="1810"/>
      <c r="E41" s="23"/>
      <c r="F41" s="198" t="s">
        <v>429</v>
      </c>
      <c r="G41" s="392"/>
      <c r="H41" s="198" t="s">
        <v>429</v>
      </c>
      <c r="I41" s="392"/>
      <c r="J41" s="198" t="s">
        <v>429</v>
      </c>
      <c r="K41" s="392"/>
      <c r="L41" s="198" t="s">
        <v>429</v>
      </c>
      <c r="M41" s="392"/>
      <c r="N41" s="535" t="s">
        <v>429</v>
      </c>
      <c r="O41" s="392"/>
      <c r="P41" s="198" t="s">
        <v>429</v>
      </c>
      <c r="Q41" s="392"/>
      <c r="R41" s="535" t="s">
        <v>429</v>
      </c>
      <c r="S41" s="20"/>
      <c r="T41" s="198" t="s">
        <v>429</v>
      </c>
      <c r="U41" s="392"/>
      <c r="V41" s="198" t="s">
        <v>429</v>
      </c>
      <c r="W41" s="392"/>
      <c r="X41" s="198" t="s">
        <v>429</v>
      </c>
      <c r="Y41" s="392"/>
      <c r="Z41" s="198" t="s">
        <v>429</v>
      </c>
      <c r="AA41" s="392"/>
      <c r="AB41" s="198" t="s">
        <v>429</v>
      </c>
      <c r="AC41" s="1604"/>
      <c r="AD41" s="1034"/>
      <c r="AE41" s="1813"/>
      <c r="AF41" s="774"/>
    </row>
    <row r="42" spans="1:33" ht="15.75">
      <c r="A42" s="68"/>
      <c r="B42" s="182"/>
      <c r="C42" s="22"/>
      <c r="D42" s="1811"/>
      <c r="E42" s="23"/>
      <c r="F42" s="194"/>
      <c r="G42" s="392"/>
      <c r="H42" s="194"/>
      <c r="I42" s="392"/>
      <c r="J42" s="194"/>
      <c r="K42" s="392"/>
      <c r="L42" s="194"/>
      <c r="M42" s="392"/>
      <c r="N42" s="536"/>
      <c r="O42" s="392"/>
      <c r="P42" s="194"/>
      <c r="Q42" s="392"/>
      <c r="R42" s="536"/>
      <c r="S42" s="20"/>
      <c r="T42" s="194"/>
      <c r="U42" s="392"/>
      <c r="V42" s="194"/>
      <c r="W42" s="392"/>
      <c r="X42" s="194"/>
      <c r="Y42" s="392"/>
      <c r="Z42" s="194"/>
      <c r="AA42" s="392"/>
      <c r="AB42" s="194"/>
      <c r="AC42" s="1604"/>
      <c r="AD42" s="1034"/>
      <c r="AE42" s="1814"/>
      <c r="AF42" s="774"/>
    </row>
    <row r="43" spans="1:33" ht="15.75">
      <c r="A43" s="411" t="s">
        <v>430</v>
      </c>
      <c r="B43" s="396"/>
      <c r="C43" s="623">
        <v>9210</v>
      </c>
      <c r="D43" s="1018">
        <v>2597053</v>
      </c>
      <c r="E43" s="397">
        <v>748870</v>
      </c>
      <c r="F43" s="340">
        <f>IF($D43&lt;1," ",IF(E43&lt;1," ",(E43)/$D43))</f>
        <v>0.28835376097445836</v>
      </c>
      <c r="G43" s="398">
        <v>452951</v>
      </c>
      <c r="H43" s="340">
        <f>IF($D43&lt;1," ",IF(G43&lt;1," ",(G43)/$D43))</f>
        <v>0.17440960966141239</v>
      </c>
      <c r="I43" s="398">
        <v>661819</v>
      </c>
      <c r="J43" s="340">
        <f>IF($D43&lt;1," ",IF(I43&lt;1," ",(I43)/$D43))</f>
        <v>0.25483461446493388</v>
      </c>
      <c r="K43" s="398">
        <v>445452</v>
      </c>
      <c r="L43" s="340">
        <f>IF($D43&lt;1," ",IF(K43&lt;1," ",(K43)/$D43))</f>
        <v>0.17152210601785947</v>
      </c>
      <c r="M43" s="398">
        <v>287961</v>
      </c>
      <c r="N43" s="531">
        <f>IF($D43&lt;1," ",IF(M43&lt;1," ",(M43)/$D43))</f>
        <v>0.11087990888133588</v>
      </c>
      <c r="O43" s="398"/>
      <c r="P43" s="340" t="str">
        <f>IF($D43&lt;1," ",IF(O43&lt;1," ",(O43)/$D43))</f>
        <v xml:space="preserve"> </v>
      </c>
      <c r="Q43" s="398"/>
      <c r="R43" s="531" t="str">
        <f>IF($D43&lt;1," ",IF(Q43&lt;1," ",(Q43)/$D43))</f>
        <v xml:space="preserve"> </v>
      </c>
      <c r="S43" s="511"/>
      <c r="T43" s="340" t="str">
        <f>IF($D43&lt;1," ",IF(S43&lt;1," ",(S43)/$D43))</f>
        <v xml:space="preserve"> </v>
      </c>
      <c r="U43" s="398"/>
      <c r="V43" s="340" t="str">
        <f>IF($D43&lt;1," ",IF(U43&lt;1," ",(U43)/$D43))</f>
        <v xml:space="preserve"> </v>
      </c>
      <c r="W43" s="398"/>
      <c r="X43" s="340" t="str">
        <f>IF($D43&lt;1," ",IF(W43&lt;1," ",(W43)/$D43))</f>
        <v xml:space="preserve"> </v>
      </c>
      <c r="Y43" s="398"/>
      <c r="Z43" s="340" t="str">
        <f>IF($D43&lt;1," ",IF(Y43&lt;1," ",(Y43)/$D43))</f>
        <v xml:space="preserve"> </v>
      </c>
      <c r="AA43" s="398"/>
      <c r="AB43" s="340" t="str">
        <f>IF($D43&lt;1," ",IF(AA43&lt;1," ",(AA43)/$D43))</f>
        <v xml:space="preserve"> </v>
      </c>
      <c r="AC43" s="1605"/>
      <c r="AD43" s="1608">
        <f>+E43+G43+I43+K43+M43+O43+Q43+S43+U43+W43+Y43+AA43</f>
        <v>2597053</v>
      </c>
      <c r="AE43" s="399">
        <f>D43-AD43</f>
        <v>0</v>
      </c>
      <c r="AF43" s="774"/>
      <c r="AG43" s="1609" t="str">
        <f>IF(AD43=D43,"","Prior Year Transactions should be zero'd out by Year End")</f>
        <v/>
      </c>
    </row>
    <row r="44" spans="1:33" ht="15.75">
      <c r="A44" s="411" t="s">
        <v>292</v>
      </c>
      <c r="B44" s="396"/>
      <c r="C44" s="623">
        <v>9330</v>
      </c>
      <c r="D44" s="1018">
        <v>33438</v>
      </c>
      <c r="E44" s="397">
        <v>33438</v>
      </c>
      <c r="F44" s="340">
        <f>IF($D44&lt;1," ",IF(E44&lt;1," ",(E44)/$D44))</f>
        <v>1</v>
      </c>
      <c r="G44" s="398"/>
      <c r="H44" s="340" t="str">
        <f>IF($D44&lt;1," ",IF(G44&lt;1," ",(G44)/$D44))</f>
        <v xml:space="preserve"> </v>
      </c>
      <c r="I44" s="398"/>
      <c r="J44" s="340" t="str">
        <f>IF($D44&lt;1," ",IF(I44&lt;1," ",(I44)/$D44))</f>
        <v xml:space="preserve"> </v>
      </c>
      <c r="K44" s="398"/>
      <c r="L44" s="340" t="str">
        <f>IF($D44&lt;1," ",IF(K44&lt;1," ",(K44)/$D44))</f>
        <v xml:space="preserve"> </v>
      </c>
      <c r="M44" s="398"/>
      <c r="N44" s="531" t="str">
        <f>IF($D44&lt;1," ",IF(M44&lt;1," ",(M44)/$D44))</f>
        <v xml:space="preserve"> </v>
      </c>
      <c r="O44" s="398"/>
      <c r="P44" s="340" t="str">
        <f>IF($D44&lt;1," ",IF(O44&lt;1," ",(O44)/$D44))</f>
        <v xml:space="preserve"> </v>
      </c>
      <c r="Q44" s="398"/>
      <c r="R44" s="531" t="str">
        <f>IF($D44&lt;1," ",IF(Q44&lt;1," ",(Q44)/$D44))</f>
        <v xml:space="preserve"> </v>
      </c>
      <c r="S44" s="511"/>
      <c r="T44" s="340" t="str">
        <f>IF($D44&lt;1," ",IF(S44&lt;1," ",(S44)/$D44))</f>
        <v xml:space="preserve"> </v>
      </c>
      <c r="U44" s="398"/>
      <c r="V44" s="340" t="str">
        <f>IF($D44&lt;1," ",IF(U44&lt;1," ",(U44)/$D44))</f>
        <v xml:space="preserve"> </v>
      </c>
      <c r="W44" s="398"/>
      <c r="X44" s="340" t="str">
        <f>IF($D44&lt;1," ",IF(W44&lt;1," ",(W44)/$D44))</f>
        <v xml:space="preserve"> </v>
      </c>
      <c r="Y44" s="398"/>
      <c r="Z44" s="340" t="str">
        <f>IF($D44&lt;1," ",IF(Y44&lt;1," ",(Y44)/$D44))</f>
        <v xml:space="preserve"> </v>
      </c>
      <c r="AA44" s="398"/>
      <c r="AB44" s="340" t="str">
        <f>IF($D44&lt;1," ",IF(AA44&lt;1," ",(AA44)/$D44))</f>
        <v xml:space="preserve"> </v>
      </c>
      <c r="AC44" s="1605"/>
      <c r="AD44" s="1608">
        <f>+E44+G44+I44+K44+M44+O44+Q44+S44+U44+W44+Y44+AA44</f>
        <v>33438</v>
      </c>
      <c r="AE44" s="399">
        <f>D44-AD44</f>
        <v>0</v>
      </c>
      <c r="AF44" s="774"/>
      <c r="AG44" s="1609" t="str">
        <f>IF(AD44=D44,"","Prior Year Transactions should be zero'd out by Year End")</f>
        <v/>
      </c>
    </row>
    <row r="45" spans="1:33" ht="15.75">
      <c r="A45" s="411" t="s">
        <v>431</v>
      </c>
      <c r="B45" s="396"/>
      <c r="C45" s="623">
        <v>9510</v>
      </c>
      <c r="D45" s="1018">
        <v>90207</v>
      </c>
      <c r="E45" s="397">
        <v>90207</v>
      </c>
      <c r="F45" s="340">
        <f>IF($D45&lt;1," ",IF(E45&lt;1," ",(E45)/$D45))</f>
        <v>1</v>
      </c>
      <c r="G45" s="398"/>
      <c r="H45" s="340" t="str">
        <f>IF($D45&lt;1," ",IF(G45&lt;1," ",(G45)/$D45))</f>
        <v xml:space="preserve"> </v>
      </c>
      <c r="I45" s="398"/>
      <c r="J45" s="340" t="str">
        <f>IF($D45&lt;1," ",IF(I45&lt;1," ",(I45)/$D45))</f>
        <v xml:space="preserve"> </v>
      </c>
      <c r="K45" s="398"/>
      <c r="L45" s="340" t="str">
        <f>IF($D45&lt;1," ",IF(K45&lt;1," ",(K45)/$D45))</f>
        <v xml:space="preserve"> </v>
      </c>
      <c r="M45" s="398"/>
      <c r="N45" s="531" t="str">
        <f>IF($D45&lt;1," ",IF(M45&lt;1," ",(M45)/$D45))</f>
        <v xml:space="preserve"> </v>
      </c>
      <c r="O45" s="398"/>
      <c r="P45" s="340" t="str">
        <f>IF($D45&lt;1," ",IF(O45&lt;1," ",(O45)/$D45))</f>
        <v xml:space="preserve"> </v>
      </c>
      <c r="Q45" s="398"/>
      <c r="R45" s="531" t="str">
        <f>IF($D45&lt;1," ",IF(Q45&lt;1," ",(Q45)/$D45))</f>
        <v xml:space="preserve"> </v>
      </c>
      <c r="S45" s="511"/>
      <c r="T45" s="340" t="str">
        <f>IF($D45&lt;1," ",IF(S45&lt;1," ",(S45)/$D45))</f>
        <v xml:space="preserve"> </v>
      </c>
      <c r="U45" s="398"/>
      <c r="V45" s="340" t="str">
        <f>IF($D45&lt;1," ",IF(U45&lt;1," ",(U45)/$D45))</f>
        <v xml:space="preserve"> </v>
      </c>
      <c r="W45" s="398"/>
      <c r="X45" s="340" t="str">
        <f>IF($D45&lt;1," ",IF(W45&lt;1," ",(W45)/$D45))</f>
        <v xml:space="preserve"> </v>
      </c>
      <c r="Y45" s="398"/>
      <c r="Z45" s="340" t="str">
        <f>IF($D45&lt;1," ",IF(Y45&lt;1," ",(Y45)/$D45))</f>
        <v xml:space="preserve"> </v>
      </c>
      <c r="AA45" s="398"/>
      <c r="AB45" s="340" t="str">
        <f>IF($D45&lt;1," ",IF(AA45&lt;1," ",(AA45)/$D45))</f>
        <v xml:space="preserve"> </v>
      </c>
      <c r="AC45" s="1605"/>
      <c r="AD45" s="1608">
        <f>+E45+G45+I45+K45+M45+O45+Q45+S45+U45+W45+Y45+AA45</f>
        <v>90207</v>
      </c>
      <c r="AE45" s="399">
        <f>D45-AD45</f>
        <v>0</v>
      </c>
      <c r="AF45" s="774"/>
      <c r="AG45" s="1609" t="str">
        <f>IF(AD45=D45,"","Prior Year Transactions should be zero'd out by Year End")</f>
        <v/>
      </c>
    </row>
    <row r="46" spans="1:33" ht="15.75">
      <c r="A46" s="411" t="s">
        <v>432</v>
      </c>
      <c r="B46" s="396"/>
      <c r="C46" s="624">
        <v>9640</v>
      </c>
      <c r="D46" s="1019">
        <v>4467017</v>
      </c>
      <c r="E46" s="397">
        <v>610000</v>
      </c>
      <c r="F46" s="340">
        <f>IF($D46&lt;1," ",IF(E46&lt;1," ",(E46)/$D46))</f>
        <v>0.13655645366919356</v>
      </c>
      <c r="G46" s="398">
        <v>333710</v>
      </c>
      <c r="H46" s="340">
        <f>IF($D46&lt;1," ",IF(G46&lt;1," ",(G46)/$D46))</f>
        <v>7.4705334678600951E-2</v>
      </c>
      <c r="I46" s="398">
        <v>566035</v>
      </c>
      <c r="J46" s="340">
        <f>IF($D46&lt;1," ",IF(I46&lt;1," ",(I46)/$D46))</f>
        <v>0.12671431516826553</v>
      </c>
      <c r="K46" s="398">
        <v>607439</v>
      </c>
      <c r="L46" s="340">
        <f>IF($D46&lt;1," ",IF(K46&lt;1," ",(K46)/$D46))</f>
        <v>0.13598314042682175</v>
      </c>
      <c r="M46" s="398">
        <v>349833</v>
      </c>
      <c r="N46" s="531">
        <f>IF($D46&lt;1," ",IF(M46&lt;1," ",(M46)/$D46))</f>
        <v>7.8314678453204903E-2</v>
      </c>
      <c r="O46" s="398">
        <v>2000000</v>
      </c>
      <c r="P46" s="340">
        <f>IF($D46&lt;1," ",IF(O46&lt;1," ",(O46)/$D46))</f>
        <v>0.44772607760391331</v>
      </c>
      <c r="Q46" s="398"/>
      <c r="R46" s="531" t="str">
        <f>IF($D46&lt;1," ",IF(Q46&lt;1," ",(Q46)/$D46))</f>
        <v xml:space="preserve"> </v>
      </c>
      <c r="S46" s="511"/>
      <c r="T46" s="340" t="str">
        <f>IF($D46&lt;1," ",IF(S46&lt;1," ",(S46)/$D46))</f>
        <v xml:space="preserve"> </v>
      </c>
      <c r="U46" s="398"/>
      <c r="V46" s="340" t="str">
        <f>IF($D46&lt;1," ",IF(U46&lt;1," ",(U46)/$D46))</f>
        <v xml:space="preserve"> </v>
      </c>
      <c r="W46" s="398"/>
      <c r="X46" s="340" t="str">
        <f>IF($D46&lt;1," ",IF(W46&lt;1," ",(W46)/$D46))</f>
        <v xml:space="preserve"> </v>
      </c>
      <c r="Y46" s="398"/>
      <c r="Z46" s="340" t="str">
        <f>IF($D46&lt;1," ",IF(Y46&lt;1," ",(Y46)/$D46))</f>
        <v xml:space="preserve"> </v>
      </c>
      <c r="AA46" s="398"/>
      <c r="AB46" s="340" t="str">
        <f>IF($D46&lt;1," ",IF(AA46&lt;1," ",(AA46)/$D46))</f>
        <v xml:space="preserve"> </v>
      </c>
      <c r="AC46" s="1605"/>
      <c r="AD46" s="1608">
        <f>+E46+G46+I46+K46+M46+O46+Q46+S46+U46+W46+Y46+AA46</f>
        <v>4467017</v>
      </c>
      <c r="AE46" s="399">
        <f>D46-AD46</f>
        <v>0</v>
      </c>
      <c r="AF46" s="774"/>
      <c r="AG46" s="1609" t="str">
        <f>IF(AD46=D46,"","Prior Year Transactions should be zero'd out by Year End")</f>
        <v/>
      </c>
    </row>
    <row r="47" spans="1:33" ht="15.75">
      <c r="A47" s="411" t="s">
        <v>433</v>
      </c>
      <c r="B47" s="396"/>
      <c r="C47" s="623">
        <v>9650</v>
      </c>
      <c r="D47" s="1018"/>
      <c r="E47" s="397"/>
      <c r="F47" s="340" t="str">
        <f>IF($D47&lt;1," ",IF(E47&lt;1," ",(E47)/$D47))</f>
        <v xml:space="preserve"> </v>
      </c>
      <c r="G47" s="398"/>
      <c r="H47" s="340" t="str">
        <f>IF($D47&lt;1," ",IF(G47&lt;1," ",(G47)/$D47))</f>
        <v xml:space="preserve"> </v>
      </c>
      <c r="I47" s="398"/>
      <c r="J47" s="340" t="str">
        <f>IF($D47&lt;1," ",IF(I47&lt;1," ",(I47)/$D47))</f>
        <v xml:space="preserve"> </v>
      </c>
      <c r="K47" s="398"/>
      <c r="L47" s="340" t="str">
        <f>IF($D47&lt;1," ",IF(K47&lt;1," ",(K47)/$D47))</f>
        <v xml:space="preserve"> </v>
      </c>
      <c r="M47" s="398"/>
      <c r="N47" s="531" t="str">
        <f>IF($D47&lt;1," ",IF(M47&lt;1," ",(M47)/$D47))</f>
        <v xml:space="preserve"> </v>
      </c>
      <c r="O47" s="398"/>
      <c r="P47" s="340" t="str">
        <f>IF($D47&lt;1," ",IF(O47&lt;1," ",(O47)/$D47))</f>
        <v xml:space="preserve"> </v>
      </c>
      <c r="Q47" s="398"/>
      <c r="R47" s="531" t="str">
        <f>IF($D47&lt;1," ",IF(Q47&lt;1," ",(Q47)/$D47))</f>
        <v xml:space="preserve"> </v>
      </c>
      <c r="S47" s="511"/>
      <c r="T47" s="340" t="str">
        <f>IF($D47&lt;1," ",IF(S47&lt;1," ",(S47)/$D47))</f>
        <v xml:space="preserve"> </v>
      </c>
      <c r="U47" s="398"/>
      <c r="V47" s="340" t="str">
        <f>IF($D47&lt;1," ",IF(U47&lt;1," ",(U47)/$D47))</f>
        <v xml:space="preserve"> </v>
      </c>
      <c r="W47" s="398"/>
      <c r="X47" s="340" t="str">
        <f>IF($D47&lt;1," ",IF(W47&lt;1," ",(W47)/$D47))</f>
        <v xml:space="preserve"> </v>
      </c>
      <c r="Y47" s="398"/>
      <c r="Z47" s="340" t="str">
        <f>IF($D47&lt;1," ",IF(Y47&lt;1," ",(Y47)/$D47))</f>
        <v xml:space="preserve"> </v>
      </c>
      <c r="AA47" s="398"/>
      <c r="AB47" s="340" t="str">
        <f>IF($D47&lt;1," ",IF(AA47&lt;1," ",(AA47)/$D47))</f>
        <v xml:space="preserve"> </v>
      </c>
      <c r="AC47" s="1605"/>
      <c r="AD47" s="1608">
        <f>+E47+G47+I47+K47+M47+O47+Q47+S47+U47+W47+Y47+AA47</f>
        <v>0</v>
      </c>
      <c r="AE47" s="399">
        <f>D47-AD47</f>
        <v>0</v>
      </c>
      <c r="AF47" s="774"/>
      <c r="AG47" s="1609" t="str">
        <f>IF(AD47=D47,"","Prior Year Transactions should be zero'd out by Year End")</f>
        <v/>
      </c>
    </row>
    <row r="48" spans="1:33" ht="16.5" thickBot="1">
      <c r="A48" s="69" t="s">
        <v>434</v>
      </c>
      <c r="B48" s="369"/>
      <c r="C48" s="70"/>
      <c r="D48" s="1044">
        <f>+D43+D44-D45-D46-D47</f>
        <v>-1926733</v>
      </c>
      <c r="E48" s="770">
        <f>+E43+E44-E45-E46-E47</f>
        <v>82101</v>
      </c>
      <c r="F48" s="384"/>
      <c r="G48" s="771">
        <f>+G43+G44-G45-G46-G47</f>
        <v>119241</v>
      </c>
      <c r="H48" s="384"/>
      <c r="I48" s="771">
        <f>+I43+I44-I45-I46-I47</f>
        <v>95784</v>
      </c>
      <c r="J48" s="384"/>
      <c r="K48" s="771">
        <f>+K43+K44-K45-K46-K47</f>
        <v>-161987</v>
      </c>
      <c r="L48" s="384"/>
      <c r="M48" s="771">
        <f>+M43+M44-M45-M46-M47</f>
        <v>-61872</v>
      </c>
      <c r="N48" s="533"/>
      <c r="O48" s="771">
        <f>+O43+O44-O45-O46-O47</f>
        <v>-2000000</v>
      </c>
      <c r="P48" s="384"/>
      <c r="Q48" s="771">
        <f>+Q43+Q44-Q45-Q46-Q47</f>
        <v>0</v>
      </c>
      <c r="R48" s="533"/>
      <c r="S48" s="772">
        <f>+S43+S44-S45-S46-S47</f>
        <v>0</v>
      </c>
      <c r="T48" s="384"/>
      <c r="U48" s="771">
        <f>+U43+U44-U45-U46-U47</f>
        <v>0</v>
      </c>
      <c r="V48" s="384"/>
      <c r="W48" s="771">
        <f>+W43+W44-W45-W46-W47</f>
        <v>0</v>
      </c>
      <c r="X48" s="384"/>
      <c r="Y48" s="771">
        <f>+Y43+Y44-Y45-Y46-Y47</f>
        <v>0</v>
      </c>
      <c r="Z48" s="384"/>
      <c r="AA48" s="771">
        <f>+AA43+AA44-AA45-AA46-AA47</f>
        <v>0</v>
      </c>
      <c r="AB48" s="384"/>
      <c r="AC48" s="1602"/>
      <c r="AD48" s="773">
        <f>+AD43+AD44-AD45-AD46-AD47</f>
        <v>-1926733</v>
      </c>
      <c r="AE48" s="773">
        <f>+AE43+AE44-AE45-AE46-AE47</f>
        <v>0</v>
      </c>
      <c r="AF48" s="1041"/>
    </row>
    <row r="49" spans="1:33" ht="15.75">
      <c r="A49" s="407"/>
      <c r="B49" s="370"/>
      <c r="C49" s="71"/>
      <c r="D49" s="71"/>
      <c r="E49" s="72"/>
      <c r="F49" s="196"/>
      <c r="G49" s="73"/>
      <c r="H49" s="196"/>
      <c r="I49" s="73"/>
      <c r="J49" s="196"/>
      <c r="K49" s="73"/>
      <c r="L49" s="196"/>
      <c r="M49" s="73"/>
      <c r="N49" s="196"/>
      <c r="O49" s="73"/>
      <c r="P49" s="196"/>
      <c r="Q49" s="73"/>
      <c r="R49" s="196"/>
      <c r="S49" s="73"/>
      <c r="T49" s="196"/>
      <c r="U49" s="73"/>
      <c r="V49" s="196"/>
      <c r="W49" s="73"/>
      <c r="X49" s="196"/>
      <c r="Y49" s="73"/>
      <c r="Z49" s="196"/>
      <c r="AA49" s="73"/>
      <c r="AB49" s="196"/>
      <c r="AC49" s="1023"/>
      <c r="AD49" s="1023"/>
      <c r="AE49" s="1023"/>
      <c r="AF49" s="1039"/>
    </row>
    <row r="50" spans="1:33" ht="15.75">
      <c r="A50" s="66" t="s">
        <v>435</v>
      </c>
      <c r="B50" s="180"/>
      <c r="C50" s="373"/>
      <c r="D50" s="373"/>
      <c r="E50" s="545"/>
      <c r="F50" s="530"/>
      <c r="G50" s="525"/>
      <c r="H50" s="530"/>
      <c r="I50" s="525"/>
      <c r="J50" s="530"/>
      <c r="K50" s="525"/>
      <c r="L50" s="530"/>
      <c r="M50" s="525"/>
      <c r="N50" s="530"/>
      <c r="O50" s="525"/>
      <c r="P50" s="530"/>
      <c r="Q50" s="525"/>
      <c r="R50" s="530"/>
      <c r="S50" s="525"/>
      <c r="T50" s="530"/>
      <c r="U50" s="525"/>
      <c r="V50" s="530"/>
      <c r="W50" s="525"/>
      <c r="X50" s="530"/>
      <c r="Y50" s="525"/>
      <c r="Z50" s="530"/>
      <c r="AA50" s="525"/>
      <c r="AB50" s="530"/>
      <c r="AC50" s="1027"/>
      <c r="AD50" s="1027"/>
      <c r="AE50" s="1027"/>
      <c r="AF50" s="1035"/>
    </row>
    <row r="51" spans="1:33" ht="15.75">
      <c r="A51" s="1806" t="s">
        <v>436</v>
      </c>
      <c r="B51" s="1807"/>
      <c r="C51" s="376"/>
      <c r="D51" s="376"/>
      <c r="E51" s="397">
        <v>1000000</v>
      </c>
      <c r="F51" s="340" t="str">
        <f>IF($AE51&lt;1," ",IF(E51&lt;1," ",(E51)/$AE51))</f>
        <v xml:space="preserve"> </v>
      </c>
      <c r="G51" s="398">
        <v>500000</v>
      </c>
      <c r="H51" s="340" t="str">
        <f>IF($AE51&lt;1," ",IF(G51&lt;1," ",(G51)/$AE51))</f>
        <v xml:space="preserve"> </v>
      </c>
      <c r="I51" s="398">
        <v>500000</v>
      </c>
      <c r="J51" s="340" t="str">
        <f>IF($AE51&lt;1," ",IF(I51&lt;1," ",(I51)/$AE51))</f>
        <v xml:space="preserve"> </v>
      </c>
      <c r="K51" s="398">
        <v>500000</v>
      </c>
      <c r="L51" s="340" t="str">
        <f>IF($AE51&lt;1," ",IF(K51&lt;1," ",(K51)/$AE51))</f>
        <v xml:space="preserve"> </v>
      </c>
      <c r="M51" s="398"/>
      <c r="N51" s="531" t="str">
        <f>IF($AE51&lt;1," ",IF(M51&lt;1," ",(M51)/$AE51))</f>
        <v xml:space="preserve"> </v>
      </c>
      <c r="O51" s="398"/>
      <c r="P51" s="340" t="str">
        <f>IF($AE51&lt;1," ",IF(O51&lt;1," ",(O51)/$AE51))</f>
        <v xml:space="preserve"> </v>
      </c>
      <c r="Q51" s="398"/>
      <c r="R51" s="531" t="str">
        <f>IF($AE51&lt;1," ",IF(Q51&lt;1," ",(Q51)/$AE51))</f>
        <v xml:space="preserve"> </v>
      </c>
      <c r="S51" s="511"/>
      <c r="T51" s="340" t="str">
        <f>IF($AE51&lt;1," ",IF(S51&lt;1," ",(S51)/$AE51))</f>
        <v xml:space="preserve"> </v>
      </c>
      <c r="U51" s="398"/>
      <c r="V51" s="340" t="str">
        <f>IF($AE51&lt;1," ",IF(U51&lt;1," ",(U51)/$AE51))</f>
        <v xml:space="preserve"> </v>
      </c>
      <c r="W51" s="398"/>
      <c r="X51" s="340" t="str">
        <f>IF($AE51&lt;1," ",IF(W51&lt;1," ",(W51)/$AE51))</f>
        <v xml:space="preserve"> </v>
      </c>
      <c r="Y51" s="398">
        <v>500000</v>
      </c>
      <c r="Z51" s="340" t="str">
        <f>IF($AE51&lt;1," ",IF(Y51&lt;1," ",(Y51)/$AE51))</f>
        <v xml:space="preserve"> </v>
      </c>
      <c r="AA51" s="398"/>
      <c r="AB51" s="340" t="str">
        <f>IF($AE51&lt;1," ",IF(AA51&lt;1," ",(AA51)/$AE51))</f>
        <v xml:space="preserve"> </v>
      </c>
      <c r="AC51" s="1605"/>
      <c r="AD51" s="379">
        <f>+E51+G51+I51+K51+M51+O51+Q51+S51+U51+W51+Y51+AA51+AC51</f>
        <v>3000000</v>
      </c>
      <c r="AE51" s="775"/>
      <c r="AF51" s="776"/>
      <c r="AG51" s="1212"/>
    </row>
    <row r="52" spans="1:33" ht="15.75">
      <c r="A52" s="1806" t="s">
        <v>437</v>
      </c>
      <c r="B52" s="1807"/>
      <c r="C52" s="395"/>
      <c r="D52" s="395"/>
      <c r="E52" s="397"/>
      <c r="F52" s="340" t="str">
        <f>IF($AE52&lt;1," ",IF(E52&lt;1," ",(E52)/$AE52))</f>
        <v xml:space="preserve"> </v>
      </c>
      <c r="G52" s="398"/>
      <c r="H52" s="340" t="str">
        <f>IF($AE52&lt;1," ",IF(G52&lt;1," ",(G52)/$AE52))</f>
        <v xml:space="preserve"> </v>
      </c>
      <c r="I52" s="398">
        <v>-222433</v>
      </c>
      <c r="J52" s="340" t="str">
        <f>IF($AE52&lt;1," ",IF(I52&lt;1," ",(I52)/$AE52))</f>
        <v xml:space="preserve"> </v>
      </c>
      <c r="K52" s="398">
        <v>-477550</v>
      </c>
      <c r="L52" s="340" t="str">
        <f>IF($AE52&lt;1," ",IF(K52&lt;1," ",(K52)/$AE52))</f>
        <v xml:space="preserve"> </v>
      </c>
      <c r="M52" s="398">
        <v>-800017</v>
      </c>
      <c r="N52" s="531" t="str">
        <f>IF($AE52&lt;1," ",IF(M52&lt;1," ",(M52)/$AE52))</f>
        <v xml:space="preserve"> </v>
      </c>
      <c r="O52" s="398">
        <v>-500000</v>
      </c>
      <c r="P52" s="340" t="str">
        <f>IF($AE52&lt;1," ",IF(O52&lt;1," ",(O52)/$AE52))</f>
        <v xml:space="preserve"> </v>
      </c>
      <c r="Q52" s="398"/>
      <c r="R52" s="531" t="str">
        <f>IF($AE52&lt;1," ",IF(Q52&lt;1," ",(Q52)/$AE52))</f>
        <v xml:space="preserve"> </v>
      </c>
      <c r="S52" s="511"/>
      <c r="T52" s="340" t="str">
        <f>IF($AE52&lt;1," ",IF(S52&lt;1," ",(S52)/$AE52))</f>
        <v xml:space="preserve"> </v>
      </c>
      <c r="U52" s="398">
        <v>-500000</v>
      </c>
      <c r="V52" s="340" t="str">
        <f>IF($AE52&lt;1," ",IF(U52&lt;1," ",(U52)/$AE52))</f>
        <v xml:space="preserve"> </v>
      </c>
      <c r="W52" s="398"/>
      <c r="X52" s="340" t="str">
        <f>IF($AE52&lt;1," ",IF(W52&lt;1," ",(W52)/$AE52))</f>
        <v xml:space="preserve"> </v>
      </c>
      <c r="Y52" s="398"/>
      <c r="Z52" s="340" t="str">
        <f>IF($AE52&lt;1," ",IF(Y52&lt;1," ",(Y52)/$AE52))</f>
        <v xml:space="preserve"> </v>
      </c>
      <c r="AA52" s="398"/>
      <c r="AB52" s="340" t="str">
        <f>IF($AE52&lt;1," ",IF(AA52&lt;1," ",(AA52)/$AE52))</f>
        <v xml:space="preserve"> </v>
      </c>
      <c r="AC52" s="1605"/>
      <c r="AD52" s="379">
        <f>+E52+G52+I52+K52+M52+O52+Q52+S52+U52+W52+Y52+AA52+AC52</f>
        <v>-2500000</v>
      </c>
      <c r="AE52" s="777"/>
      <c r="AF52" s="778"/>
      <c r="AG52" s="1240"/>
    </row>
    <row r="53" spans="1:33" ht="15.75">
      <c r="A53" s="1806"/>
      <c r="B53" s="1807"/>
      <c r="C53" s="376"/>
      <c r="D53" s="376"/>
      <c r="E53" s="397"/>
      <c r="F53" s="340" t="str">
        <f>IF($AE53&lt;1," ",IF(E53&lt;1," ",(E53)/$AE53))</f>
        <v xml:space="preserve"> </v>
      </c>
      <c r="G53" s="398"/>
      <c r="H53" s="340" t="str">
        <f>IF($AE53&lt;1," ",IF(G53&lt;1," ",(G53)/$AE53))</f>
        <v xml:space="preserve"> </v>
      </c>
      <c r="I53" s="398"/>
      <c r="J53" s="340" t="str">
        <f>IF($AE53&lt;1," ",IF(I53&lt;1," ",(I53)/$AE53))</f>
        <v xml:space="preserve"> </v>
      </c>
      <c r="K53" s="398"/>
      <c r="L53" s="340" t="str">
        <f>IF($AE53&lt;1," ",IF(K53&lt;1," ",(K53)/$AE53))</f>
        <v xml:space="preserve"> </v>
      </c>
      <c r="M53" s="398"/>
      <c r="N53" s="531" t="str">
        <f>IF($AE53&lt;1," ",IF(M53&lt;1," ",(M53)/$AE53))</f>
        <v xml:space="preserve"> </v>
      </c>
      <c r="O53" s="398"/>
      <c r="P53" s="340" t="str">
        <f>IF($AE53&lt;1," ",IF(O53&lt;1," ",(O53)/$AE53))</f>
        <v xml:space="preserve"> </v>
      </c>
      <c r="Q53" s="398"/>
      <c r="R53" s="531" t="str">
        <f>IF($AE53&lt;1," ",IF(Q53&lt;1," ",(Q53)/$AE53))</f>
        <v xml:space="preserve"> </v>
      </c>
      <c r="S53" s="511"/>
      <c r="T53" s="340" t="str">
        <f>IF($AE53&lt;1," ",IF(S53&lt;1," ",(S53)/$AE53))</f>
        <v xml:space="preserve"> </v>
      </c>
      <c r="U53" s="398"/>
      <c r="V53" s="340" t="str">
        <f>IF($AE53&lt;1," ",IF(U53&lt;1," ",(U53)/$AE53))</f>
        <v xml:space="preserve"> </v>
      </c>
      <c r="W53" s="398"/>
      <c r="X53" s="340" t="str">
        <f>IF($AE53&lt;1," ",IF(W53&lt;1," ",(W53)/$AE53))</f>
        <v xml:space="preserve"> </v>
      </c>
      <c r="Y53" s="398"/>
      <c r="Z53" s="340" t="str">
        <f>IF($AE53&lt;1," ",IF(Y53&lt;1," ",(Y53)/$AE53))</f>
        <v xml:space="preserve"> </v>
      </c>
      <c r="AA53" s="398"/>
      <c r="AB53" s="340" t="str">
        <f>IF($AE53&lt;1," ",IF(AA53&lt;1," ",(AA53)/$AE53))</f>
        <v xml:space="preserve"> </v>
      </c>
      <c r="AC53" s="1605"/>
      <c r="AD53" s="379">
        <f>+E53+G53+I53+K53+M53+O53+Q53+S53+U53+W53+Y53+AA53+AC53</f>
        <v>0</v>
      </c>
      <c r="AE53" s="777"/>
      <c r="AF53" s="778"/>
      <c r="AG53" s="1240"/>
    </row>
    <row r="54" spans="1:33" ht="15.75">
      <c r="A54" s="1806"/>
      <c r="B54" s="1807"/>
      <c r="C54" s="376"/>
      <c r="D54" s="376"/>
      <c r="E54" s="397"/>
      <c r="F54" s="340" t="str">
        <f>IF($AE54&lt;1," ",IF(E54&lt;1," ",(E54)/$AE54))</f>
        <v xml:space="preserve"> </v>
      </c>
      <c r="G54" s="398"/>
      <c r="H54" s="340" t="str">
        <f>IF($AE54&lt;1," ",IF(G54&lt;1," ",(G54)/$AE54))</f>
        <v xml:space="preserve"> </v>
      </c>
      <c r="I54" s="398"/>
      <c r="J54" s="340" t="str">
        <f>IF($AE54&lt;1," ",IF(I54&lt;1," ",(I54)/$AE54))</f>
        <v xml:space="preserve"> </v>
      </c>
      <c r="K54" s="398"/>
      <c r="L54" s="340" t="str">
        <f>IF($AE54&lt;1," ",IF(K54&lt;1," ",(K54)/$AE54))</f>
        <v xml:space="preserve"> </v>
      </c>
      <c r="M54" s="398"/>
      <c r="N54" s="531" t="str">
        <f>IF($AE54&lt;1," ",IF(M54&lt;1," ",(M54)/$AE54))</f>
        <v xml:space="preserve"> </v>
      </c>
      <c r="O54" s="398"/>
      <c r="P54" s="340" t="str">
        <f>IF($AE54&lt;1," ",IF(O54&lt;1," ",(O54)/$AE54))</f>
        <v xml:space="preserve"> </v>
      </c>
      <c r="Q54" s="398"/>
      <c r="R54" s="531" t="str">
        <f>IF($AE54&lt;1," ",IF(Q54&lt;1," ",(Q54)/$AE54))</f>
        <v xml:space="preserve"> </v>
      </c>
      <c r="S54" s="511"/>
      <c r="T54" s="340" t="str">
        <f>IF($AE54&lt;1," ",IF(S54&lt;1," ",(S54)/$AE54))</f>
        <v xml:space="preserve"> </v>
      </c>
      <c r="U54" s="398"/>
      <c r="V54" s="340" t="str">
        <f>IF($AE54&lt;1," ",IF(U54&lt;1," ",(U54)/$AE54))</f>
        <v xml:space="preserve"> </v>
      </c>
      <c r="W54" s="398"/>
      <c r="X54" s="340" t="str">
        <f>IF($AE54&lt;1," ",IF(W54&lt;1," ",(W54)/$AE54))</f>
        <v xml:space="preserve"> </v>
      </c>
      <c r="Y54" s="398"/>
      <c r="Z54" s="340" t="str">
        <f>IF($AE54&lt;1," ",IF(Y54&lt;1," ",(Y54)/$AE54))</f>
        <v xml:space="preserve"> </v>
      </c>
      <c r="AA54" s="398"/>
      <c r="AB54" s="340" t="str">
        <f>IF($AE54&lt;1," ",IF(AA54&lt;1," ",(AA54)/$AE54))</f>
        <v xml:space="preserve"> </v>
      </c>
      <c r="AC54" s="1605"/>
      <c r="AD54" s="379">
        <f>+E54+G54+I54+K54+M54+O54+Q54+S54+U54+W54+Y54+AA54+AC54</f>
        <v>0</v>
      </c>
      <c r="AE54" s="777"/>
      <c r="AF54" s="778"/>
      <c r="AG54" s="1212"/>
    </row>
    <row r="55" spans="1:33" ht="15.75">
      <c r="A55" s="1806"/>
      <c r="B55" s="1807"/>
      <c r="C55" s="376"/>
      <c r="D55" s="376"/>
      <c r="E55" s="397"/>
      <c r="F55" s="340" t="str">
        <f>IF($AE55&lt;1," ",IF(E55&lt;1," ",(E55)/$AE55))</f>
        <v xml:space="preserve"> </v>
      </c>
      <c r="G55" s="398"/>
      <c r="H55" s="340" t="str">
        <f>IF($AE55&lt;1," ",IF(G55&lt;1," ",(G55)/$AE55))</f>
        <v xml:space="preserve"> </v>
      </c>
      <c r="I55" s="398"/>
      <c r="J55" s="340" t="str">
        <f>IF($AE55&lt;1," ",IF(I55&lt;1," ",(I55)/$AE55))</f>
        <v xml:space="preserve"> </v>
      </c>
      <c r="K55" s="398"/>
      <c r="L55" s="340" t="str">
        <f>IF($AE55&lt;1," ",IF(K55&lt;1," ",(K55)/$AE55))</f>
        <v xml:space="preserve"> </v>
      </c>
      <c r="M55" s="398"/>
      <c r="N55" s="531" t="str">
        <f>IF($AE55&lt;1," ",IF(M55&lt;1," ",(M55)/$AE55))</f>
        <v xml:space="preserve"> </v>
      </c>
      <c r="O55" s="398"/>
      <c r="P55" s="340" t="str">
        <f>IF($AE55&lt;1," ",IF(O55&lt;1," ",(O55)/$AE55))</f>
        <v xml:space="preserve"> </v>
      </c>
      <c r="Q55" s="398"/>
      <c r="R55" s="531" t="str">
        <f>IF($AE55&lt;1," ",IF(Q55&lt;1," ",(Q55)/$AE55))</f>
        <v xml:space="preserve"> </v>
      </c>
      <c r="S55" s="511"/>
      <c r="T55" s="340" t="str">
        <f>IF($AE55&lt;1," ",IF(S55&lt;1," ",(S55)/$AE55))</f>
        <v xml:space="preserve"> </v>
      </c>
      <c r="U55" s="398"/>
      <c r="V55" s="340" t="str">
        <f>IF($AE55&lt;1," ",IF(U55&lt;1," ",(U55)/$AE55))</f>
        <v xml:space="preserve"> </v>
      </c>
      <c r="W55" s="398"/>
      <c r="X55" s="340" t="str">
        <f>IF($AE55&lt;1," ",IF(W55&lt;1," ",(W55)/$AE55))</f>
        <v xml:space="preserve"> </v>
      </c>
      <c r="Y55" s="398"/>
      <c r="Z55" s="340" t="str">
        <f>IF($AE55&lt;1," ",IF(Y55&lt;1," ",(Y55)/$AE55))</f>
        <v xml:space="preserve"> </v>
      </c>
      <c r="AA55" s="398"/>
      <c r="AB55" s="340" t="str">
        <f>IF($AE55&lt;1," ",IF(AA55&lt;1," ",(AA55)/$AE55))</f>
        <v xml:space="preserve"> </v>
      </c>
      <c r="AC55" s="1605"/>
      <c r="AD55" s="379">
        <f>+E55+G55+I55+K55+M55+O55+Q55+S55+U55+W55+Y55+AA55+AC55</f>
        <v>0</v>
      </c>
      <c r="AE55" s="777"/>
      <c r="AF55" s="778"/>
      <c r="AG55" s="1212"/>
    </row>
    <row r="56" spans="1:33" ht="16.5" thickBot="1">
      <c r="A56" s="400" t="s">
        <v>438</v>
      </c>
      <c r="B56" s="401"/>
      <c r="C56" s="376"/>
      <c r="D56" s="376"/>
      <c r="E56" s="770">
        <f>SUM(E51:E55)</f>
        <v>1000000</v>
      </c>
      <c r="F56" s="384" t="s">
        <v>103</v>
      </c>
      <c r="G56" s="771">
        <f>SUM(G51:G55)</f>
        <v>500000</v>
      </c>
      <c r="H56" s="384" t="s">
        <v>103</v>
      </c>
      <c r="I56" s="771">
        <f>SUM(I51:I55)</f>
        <v>277567</v>
      </c>
      <c r="J56" s="384" t="s">
        <v>103</v>
      </c>
      <c r="K56" s="771">
        <f>SUM(K51:K55)</f>
        <v>22450</v>
      </c>
      <c r="L56" s="384" t="s">
        <v>103</v>
      </c>
      <c r="M56" s="771">
        <f>SUM(M51:M55)</f>
        <v>-800017</v>
      </c>
      <c r="N56" s="533" t="s">
        <v>103</v>
      </c>
      <c r="O56" s="771">
        <f>SUM(O51:O55)</f>
        <v>-500000</v>
      </c>
      <c r="P56" s="384" t="s">
        <v>103</v>
      </c>
      <c r="Q56" s="771">
        <f>SUM(Q51:Q55)</f>
        <v>0</v>
      </c>
      <c r="R56" s="533" t="s">
        <v>103</v>
      </c>
      <c r="S56" s="772">
        <f>SUM(S51:S55)</f>
        <v>0</v>
      </c>
      <c r="T56" s="384" t="s">
        <v>103</v>
      </c>
      <c r="U56" s="771">
        <f>SUM(U51:U55)</f>
        <v>-500000</v>
      </c>
      <c r="V56" s="384" t="s">
        <v>103</v>
      </c>
      <c r="W56" s="771">
        <f>SUM(W51:W55)</f>
        <v>0</v>
      </c>
      <c r="X56" s="384" t="s">
        <v>103</v>
      </c>
      <c r="Y56" s="771">
        <f>SUM(Y51:Y55)</f>
        <v>500000</v>
      </c>
      <c r="Z56" s="384" t="s">
        <v>103</v>
      </c>
      <c r="AA56" s="771">
        <f>SUM(AA51:AA55)</f>
        <v>0</v>
      </c>
      <c r="AB56" s="384" t="s">
        <v>103</v>
      </c>
      <c r="AC56" s="1602"/>
      <c r="AD56" s="773">
        <f>SUM(AD51:AD55)</f>
        <v>500000</v>
      </c>
      <c r="AE56" s="779"/>
      <c r="AF56" s="780"/>
      <c r="AG56" s="1212"/>
    </row>
    <row r="57" spans="1:33" ht="15.75">
      <c r="A57" s="782"/>
      <c r="B57" s="783"/>
      <c r="C57" s="373"/>
      <c r="D57" s="373"/>
      <c r="E57" s="545"/>
      <c r="F57" s="482"/>
      <c r="G57" s="525"/>
      <c r="H57" s="482"/>
      <c r="I57" s="525"/>
      <c r="J57" s="482"/>
      <c r="K57" s="525"/>
      <c r="L57" s="482"/>
      <c r="M57" s="525"/>
      <c r="N57" s="482"/>
      <c r="O57" s="525"/>
      <c r="P57" s="482"/>
      <c r="Q57" s="525"/>
      <c r="R57" s="482"/>
      <c r="S57" s="525"/>
      <c r="T57" s="482"/>
      <c r="U57" s="525"/>
      <c r="V57" s="482"/>
      <c r="W57" s="525"/>
      <c r="X57" s="482"/>
      <c r="Y57" s="525"/>
      <c r="Z57" s="482"/>
      <c r="AA57" s="525"/>
      <c r="AB57" s="482"/>
      <c r="AC57" s="1606"/>
      <c r="AD57" s="1035"/>
      <c r="AE57" s="1036"/>
      <c r="AF57" s="1042"/>
      <c r="AG57" s="1212"/>
    </row>
    <row r="58" spans="1:33" ht="16.5" thickBot="1">
      <c r="A58" s="400" t="s">
        <v>439</v>
      </c>
      <c r="B58" s="401"/>
      <c r="C58" s="376"/>
      <c r="D58" s="376"/>
      <c r="E58" s="770">
        <f>+E23-E34+E39+E48+E56</f>
        <v>655459.67807222251</v>
      </c>
      <c r="F58" s="384"/>
      <c r="G58" s="771">
        <f>+G23-G34+G39+G48+G56</f>
        <v>-20581.025252950261</v>
      </c>
      <c r="H58" s="384"/>
      <c r="I58" s="771">
        <f>+I23-I34+I39+I48+I56</f>
        <v>595839.61633584951</v>
      </c>
      <c r="J58" s="384"/>
      <c r="K58" s="771">
        <f>+K23-K34+K39+K48+K56</f>
        <v>-371257.99866415025</v>
      </c>
      <c r="L58" s="384"/>
      <c r="M58" s="771">
        <f>+M23-M34+M39+M48+M56</f>
        <v>-1078167.2413724838</v>
      </c>
      <c r="N58" s="533"/>
      <c r="O58" s="771">
        <f>+O23-O34+O39+O48+O56</f>
        <v>-139237.82480051415</v>
      </c>
      <c r="P58" s="384"/>
      <c r="Q58" s="771">
        <f>+Q23-Q34+Q39+Q48+Q56</f>
        <v>-14456.226321742986</v>
      </c>
      <c r="R58" s="533"/>
      <c r="S58" s="772">
        <f>+S23-S34+S39+S48+S56</f>
        <v>33352.290344923618</v>
      </c>
      <c r="T58" s="384"/>
      <c r="U58" s="771">
        <f>+U23-U34+U39+U48+U56</f>
        <v>37053.06034492352</v>
      </c>
      <c r="V58" s="384"/>
      <c r="W58" s="771">
        <f>+W23-W34+W39+W48+W56</f>
        <v>140774.56367825693</v>
      </c>
      <c r="X58" s="384"/>
      <c r="Y58" s="771">
        <f>+Y23-Y34+Y39+Y48+Y56</f>
        <v>640774.56367825693</v>
      </c>
      <c r="Z58" s="384"/>
      <c r="AA58" s="771">
        <f>+AA23-AA34+AA39+AA48+AA56</f>
        <v>-380685.57298840955</v>
      </c>
      <c r="AB58" s="384"/>
      <c r="AC58" s="1602">
        <f>+AC23-AC34+AC39+AC48+AC56</f>
        <v>-2654.3206370712724</v>
      </c>
      <c r="AD58" s="773">
        <f>+AD23-AD34+AD39+AD48+AD56</f>
        <v>96213.562417116016</v>
      </c>
      <c r="AE58" s="779"/>
      <c r="AF58" s="780"/>
      <c r="AG58" s="1212"/>
    </row>
    <row r="59" spans="1:33" ht="16.5" thickBot="1">
      <c r="A59" s="69"/>
      <c r="B59" s="369"/>
      <c r="C59" s="70"/>
      <c r="D59" s="70"/>
      <c r="E59" s="47"/>
      <c r="F59" s="197"/>
      <c r="G59" s="21"/>
      <c r="H59" s="197"/>
      <c r="I59" s="21"/>
      <c r="J59" s="197"/>
      <c r="K59" s="21"/>
      <c r="L59" s="197"/>
      <c r="M59" s="21"/>
      <c r="N59" s="197"/>
      <c r="O59" s="21"/>
      <c r="P59" s="197"/>
      <c r="Q59" s="21"/>
      <c r="R59" s="197"/>
      <c r="S59" s="21"/>
      <c r="T59" s="197"/>
      <c r="U59" s="21"/>
      <c r="V59" s="197"/>
      <c r="W59" s="21"/>
      <c r="X59" s="197"/>
      <c r="Y59" s="21"/>
      <c r="Z59" s="197"/>
      <c r="AA59" s="21"/>
      <c r="AB59" s="197"/>
      <c r="AC59" s="1607"/>
      <c r="AD59" s="191"/>
      <c r="AE59" s="779"/>
      <c r="AF59" s="780"/>
      <c r="AG59" s="1212"/>
    </row>
    <row r="60" spans="1:33" ht="16.5" thickBot="1">
      <c r="A60" s="69" t="s">
        <v>440</v>
      </c>
      <c r="B60" s="369"/>
      <c r="C60" s="70"/>
      <c r="D60" s="70"/>
      <c r="E60" s="770">
        <f>+E6+E58</f>
        <v>1048522.6780722225</v>
      </c>
      <c r="F60" s="384"/>
      <c r="G60" s="771">
        <f>+G6+G58</f>
        <v>1027941.6528192722</v>
      </c>
      <c r="H60" s="384"/>
      <c r="I60" s="771">
        <f>+I6+I58</f>
        <v>1623781.2691551219</v>
      </c>
      <c r="J60" s="384"/>
      <c r="K60" s="771">
        <f>+K6+K58</f>
        <v>1252523.2704909716</v>
      </c>
      <c r="L60" s="384"/>
      <c r="M60" s="771">
        <f>+M6+M58</f>
        <v>174356.02911848784</v>
      </c>
      <c r="N60" s="1002"/>
      <c r="O60" s="1003">
        <f>+O6+O58</f>
        <v>35118.204317973694</v>
      </c>
      <c r="P60" s="384"/>
      <c r="Q60" s="771">
        <f>+Q6+Q58</f>
        <v>20661.977996230708</v>
      </c>
      <c r="R60" s="533"/>
      <c r="S60" s="772">
        <f>+S6+S58</f>
        <v>54014.268341154326</v>
      </c>
      <c r="T60" s="384"/>
      <c r="U60" s="771">
        <f>+U6+U58</f>
        <v>91067.328686077846</v>
      </c>
      <c r="V60" s="384"/>
      <c r="W60" s="771">
        <f>+W6+W58</f>
        <v>231841.89236433478</v>
      </c>
      <c r="X60" s="384"/>
      <c r="Y60" s="771">
        <f>+Y6+Y58</f>
        <v>872616.45604259172</v>
      </c>
      <c r="Z60" s="384"/>
      <c r="AA60" s="771">
        <f>+AA6+AA58</f>
        <v>491930.88305418217</v>
      </c>
      <c r="AB60" s="384"/>
      <c r="AC60" s="1602">
        <f>+AC6+AC58</f>
        <v>489276.56241711089</v>
      </c>
      <c r="AD60" s="1260"/>
      <c r="AE60" s="1037"/>
      <c r="AF60" s="1043"/>
      <c r="AG60" s="1212"/>
    </row>
    <row r="62" spans="1:33" ht="16.5">
      <c r="AB62" s="1611" t="s">
        <v>441</v>
      </c>
      <c r="AC62" s="1612">
        <f>'Budget-Summary MYP'!F55</f>
        <v>3611101.8078057151</v>
      </c>
    </row>
    <row r="63" spans="1:33" ht="17.25" thickBot="1">
      <c r="AB63" s="1613" t="s">
        <v>442</v>
      </c>
      <c r="AC63" s="1615">
        <f>AC60-AC62</f>
        <v>-3121825.2453886042</v>
      </c>
    </row>
    <row r="64" spans="1:33" ht="17.25" thickTop="1">
      <c r="AA64" s="1610"/>
    </row>
    <row r="65" spans="27:27" ht="15.75">
      <c r="AA65" s="983"/>
    </row>
  </sheetData>
  <sheetProtection password="CC5F" sheet="1" objects="1" scenarios="1"/>
  <mergeCells count="10">
    <mergeCell ref="A55:B55"/>
    <mergeCell ref="G2:K2"/>
    <mergeCell ref="D40:D42"/>
    <mergeCell ref="AE40:AE42"/>
    <mergeCell ref="F1:L1"/>
    <mergeCell ref="T1:Z1"/>
    <mergeCell ref="A51:B51"/>
    <mergeCell ref="A52:B52"/>
    <mergeCell ref="A53:B53"/>
    <mergeCell ref="A54:B54"/>
  </mergeCells>
  <conditionalFormatting sqref="T1">
    <cfRule type="containsText" dxfId="334" priority="8" stopIfTrue="1" operator="containsText" text="Enter">
      <formula>NOT(ISERROR(SEARCH("Enter",T1)))</formula>
    </cfRule>
  </conditionalFormatting>
  <conditionalFormatting sqref="F1">
    <cfRule type="containsText" dxfId="333" priority="9" stopIfTrue="1" operator="containsText" text="Enter">
      <formula>NOT(ISERROR(SEARCH("Enter",F1)))</formula>
    </cfRule>
  </conditionalFormatting>
  <conditionalFormatting sqref="E60 G60 I60 K60 M60 O60 Q60 S60 U60 W60 Y60 AA60">
    <cfRule type="expression" dxfId="332" priority="7" stopIfTrue="1">
      <formula>"&lt;0"</formula>
    </cfRule>
  </conditionalFormatting>
  <conditionalFormatting sqref="AD47">
    <cfRule type="cellIs" dxfId="331" priority="2" stopIfTrue="1" operator="notEqual">
      <formula>$D$47</formula>
    </cfRule>
  </conditionalFormatting>
  <conditionalFormatting sqref="AD43">
    <cfRule type="cellIs" dxfId="330" priority="6" stopIfTrue="1" operator="notEqual">
      <formula>$D$43</formula>
    </cfRule>
  </conditionalFormatting>
  <conditionalFormatting sqref="AD44">
    <cfRule type="cellIs" dxfId="329" priority="5" stopIfTrue="1" operator="notEqual">
      <formula>$D$44</formula>
    </cfRule>
  </conditionalFormatting>
  <conditionalFormatting sqref="AD45">
    <cfRule type="cellIs" dxfId="328" priority="4" stopIfTrue="1" operator="notEqual">
      <formula>$D$45</formula>
    </cfRule>
  </conditionalFormatting>
  <conditionalFormatting sqref="AD46">
    <cfRule type="cellIs" dxfId="327" priority="3" stopIfTrue="1" operator="notEqual">
      <formula>$D$46</formula>
    </cfRule>
  </conditionalFormatting>
  <printOptions horizontalCentered="1"/>
  <pageMargins left="0.25" right="0.25" top="0.75" bottom="0.75" header="0.3" footer="0.3"/>
  <pageSetup scale="51" fitToWidth="0" orientation="landscape" r:id="rId1"/>
  <headerFooter>
    <oddHeader>&amp;RPage &amp;P of &amp;N</oddHeader>
  </headerFooter>
  <colBreaks count="1" manualBreakCount="1">
    <brk id="18" max="1048575" man="1"/>
  </colBreaks>
  <customProperties>
    <customPr name="DrillPoint.FROID" r:id="rId2"/>
    <customPr name="DrillPoint.Mode" r:id="rId3"/>
    <customPr name="DrillPoint.Subsheet" r:id="rId4"/>
  </customProperties>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6" tint="-0.249977111117893"/>
  </sheetPr>
  <dimension ref="A1:AG65"/>
  <sheetViews>
    <sheetView showGridLines="0" zoomScale="70" zoomScaleNormal="70" workbookViewId="0">
      <pane xSplit="4" ySplit="7" topLeftCell="M8" activePane="bottomRight" state="frozen"/>
      <selection pane="topRight" activeCell="H25" sqref="H25"/>
      <selection pane="bottomLeft" activeCell="H25" sqref="H25"/>
      <selection pane="bottomRight" activeCell="H25" sqref="H25"/>
    </sheetView>
  </sheetViews>
  <sheetFormatPr defaultRowHeight="12.75"/>
  <cols>
    <col min="1" max="1" width="2.5703125" customWidth="1"/>
    <col min="2" max="2" width="45.85546875" customWidth="1"/>
    <col min="3" max="3" width="14.7109375" customWidth="1"/>
    <col min="4" max="4" width="12.85546875" customWidth="1"/>
    <col min="5" max="5" width="13.140625" customWidth="1"/>
    <col min="6" max="6" width="8.7109375" customWidth="1"/>
    <col min="7" max="7" width="13.140625" customWidth="1"/>
    <col min="8" max="8" width="8.7109375" customWidth="1"/>
    <col min="9" max="9" width="13.140625" customWidth="1"/>
    <col min="10" max="10" width="8.7109375" customWidth="1"/>
    <col min="11" max="11" width="13.140625" customWidth="1"/>
    <col min="12" max="12" width="8.7109375" customWidth="1"/>
    <col min="13" max="13" width="13.140625" customWidth="1"/>
    <col min="14" max="14" width="8.7109375" customWidth="1"/>
    <col min="15" max="15" width="13.140625" customWidth="1"/>
    <col min="16" max="16" width="8.7109375" customWidth="1"/>
    <col min="17" max="17" width="13.140625" customWidth="1"/>
    <col min="18" max="18" width="8.7109375" customWidth="1"/>
    <col min="19" max="19" width="13.42578125" customWidth="1"/>
    <col min="20" max="20" width="9.140625" customWidth="1"/>
    <col min="21" max="21" width="13.42578125" customWidth="1"/>
    <col min="22" max="22" width="9.140625" customWidth="1"/>
    <col min="23" max="23" width="13.42578125" customWidth="1"/>
    <col min="24" max="24" width="9.140625" customWidth="1"/>
    <col min="25" max="25" width="13.42578125" customWidth="1"/>
    <col min="26" max="26" width="9.140625" customWidth="1"/>
    <col min="27" max="27" width="13.42578125" customWidth="1"/>
    <col min="28" max="28" width="9.140625" customWidth="1"/>
    <col min="29" max="29" width="13.42578125" style="174" customWidth="1"/>
    <col min="30" max="30" width="16.5703125" style="174" customWidth="1"/>
    <col min="31" max="32" width="13.7109375" style="174" customWidth="1"/>
    <col min="33" max="33" width="70.5703125" customWidth="1"/>
  </cols>
  <sheetData>
    <row r="1" spans="1:33" ht="16.5" thickBot="1">
      <c r="A1" s="176"/>
      <c r="B1" s="176"/>
      <c r="C1" s="176"/>
      <c r="D1" s="176"/>
      <c r="E1" s="1020"/>
      <c r="F1" s="1815" t="str">
        <f>IF('BUDGET-CERTIFICATION'!$H$1="","CHARTER NAME: Enter Charter Name on BUDGET-CERTIFICATION Worksheet",(CONCATENATE("CHARTER NAME: ",'BUDGET-CERTIFICATION'!$H$1)))</f>
        <v>CHARTER NAME: Encore High School -</v>
      </c>
      <c r="G1" s="1815"/>
      <c r="H1" s="1815"/>
      <c r="I1" s="1815"/>
      <c r="J1" s="1815"/>
      <c r="K1" s="1815"/>
      <c r="L1" s="1815"/>
      <c r="M1" s="1029"/>
      <c r="N1" s="178"/>
      <c r="O1" s="1030"/>
      <c r="P1" s="178"/>
      <c r="Q1" s="1020"/>
      <c r="R1" s="178"/>
      <c r="S1" s="1029"/>
      <c r="T1" s="1815" t="str">
        <f>IF('BUDGET-CERTIFICATION'!$H$1="","CHARTER NAME: Enter Charter Name on BUDGET-CERTIFICATION Worksheet",(CONCATENATE("CHARTER NAME: ",'BUDGET-CERTIFICATION'!$H$1)))</f>
        <v>CHARTER NAME: Encore High School -</v>
      </c>
      <c r="U1" s="1815"/>
      <c r="V1" s="1815"/>
      <c r="W1" s="1815"/>
      <c r="X1" s="1815"/>
      <c r="Y1" s="1815"/>
      <c r="Z1" s="1815"/>
      <c r="AA1" s="174"/>
      <c r="AD1" s="1023"/>
      <c r="AE1" s="1023"/>
      <c r="AF1" s="1023"/>
      <c r="AG1" s="1212"/>
    </row>
    <row r="2" spans="1:33" ht="15.75">
      <c r="B2" s="183" t="s">
        <v>405</v>
      </c>
      <c r="C2" s="96">
        <v>44344</v>
      </c>
      <c r="D2" s="184"/>
      <c r="E2" s="174"/>
      <c r="G2" s="1808" t="str">
        <f>""&amp;'Budget-ADA'!N7&amp;"  Budget Cash Flow"</f>
        <v>2022-23  Budget Cash Flow</v>
      </c>
      <c r="H2" s="1808"/>
      <c r="I2" s="1808"/>
      <c r="J2" s="1808"/>
      <c r="K2" s="1808"/>
      <c r="M2" s="1029"/>
      <c r="O2" s="1020"/>
      <c r="Q2" s="1023"/>
      <c r="S2" s="174"/>
      <c r="U2" s="1020"/>
      <c r="W2" s="1029" t="str">
        <f>+G2</f>
        <v>2022-23  Budget Cash Flow</v>
      </c>
      <c r="Y2" s="1020"/>
      <c r="AA2" s="1029"/>
      <c r="AC2" s="1023"/>
      <c r="AD2" s="1023"/>
      <c r="AE2" s="1023"/>
      <c r="AF2" s="1023"/>
      <c r="AG2" s="1212"/>
    </row>
    <row r="3" spans="1:33" ht="16.5" thickBot="1">
      <c r="A3" s="182" t="str">
        <f>Instructions!H1</f>
        <v>Rev. 5/28/2021</v>
      </c>
      <c r="B3" s="1090"/>
      <c r="C3" s="22"/>
      <c r="D3" s="22"/>
      <c r="E3" s="20"/>
      <c r="F3" s="24"/>
      <c r="G3" s="1023"/>
      <c r="H3" s="24"/>
      <c r="I3" s="1023"/>
      <c r="J3" s="24"/>
      <c r="K3" s="1023"/>
      <c r="L3" s="24"/>
      <c r="M3" s="1023"/>
      <c r="N3" s="24"/>
      <c r="O3" s="1023"/>
      <c r="P3" s="24"/>
      <c r="Q3" s="1023"/>
      <c r="R3" s="24"/>
      <c r="S3" s="1023"/>
      <c r="T3" s="24"/>
      <c r="U3" s="1023"/>
      <c r="V3" s="24"/>
      <c r="W3" s="1023"/>
      <c r="X3" s="24"/>
      <c r="Y3" s="1023"/>
      <c r="Z3" s="24"/>
      <c r="AA3" s="1023"/>
      <c r="AB3" s="24"/>
      <c r="AC3" s="1023"/>
      <c r="AD3" s="1023"/>
      <c r="AE3" s="1023"/>
      <c r="AF3" s="1023"/>
      <c r="AG3" s="1212"/>
    </row>
    <row r="4" spans="1:33" ht="15.75">
      <c r="A4" s="402"/>
      <c r="B4" s="71"/>
      <c r="C4" s="71"/>
      <c r="D4" s="71"/>
      <c r="E4" s="1082" t="s">
        <v>406</v>
      </c>
      <c r="F4" s="403" t="s">
        <v>407</v>
      </c>
      <c r="G4" s="1024" t="s">
        <v>408</v>
      </c>
      <c r="H4" s="403" t="s">
        <v>407</v>
      </c>
      <c r="I4" s="1024" t="s">
        <v>409</v>
      </c>
      <c r="J4" s="403" t="s">
        <v>407</v>
      </c>
      <c r="K4" s="1024" t="s">
        <v>410</v>
      </c>
      <c r="L4" s="403" t="s">
        <v>407</v>
      </c>
      <c r="M4" s="1024" t="s">
        <v>411</v>
      </c>
      <c r="N4" s="403" t="s">
        <v>407</v>
      </c>
      <c r="O4" s="1024" t="s">
        <v>412</v>
      </c>
      <c r="P4" s="403" t="s">
        <v>407</v>
      </c>
      <c r="Q4" s="1024" t="s">
        <v>413</v>
      </c>
      <c r="R4" s="1004" t="s">
        <v>407</v>
      </c>
      <c r="S4" s="1024" t="s">
        <v>414</v>
      </c>
      <c r="T4" s="403" t="s">
        <v>407</v>
      </c>
      <c r="U4" s="1024" t="s">
        <v>415</v>
      </c>
      <c r="V4" s="403" t="s">
        <v>407</v>
      </c>
      <c r="W4" s="1024" t="s">
        <v>416</v>
      </c>
      <c r="X4" s="403" t="s">
        <v>407</v>
      </c>
      <c r="Y4" s="1024" t="s">
        <v>417</v>
      </c>
      <c r="Z4" s="403" t="s">
        <v>407</v>
      </c>
      <c r="AA4" s="1024" t="s">
        <v>418</v>
      </c>
      <c r="AB4" s="403" t="s">
        <v>407</v>
      </c>
      <c r="AC4" s="1024" t="s">
        <v>229</v>
      </c>
      <c r="AD4" s="1032"/>
      <c r="AE4" s="1032" t="s">
        <v>232</v>
      </c>
      <c r="AF4" s="1032"/>
      <c r="AG4" s="1212"/>
    </row>
    <row r="5" spans="1:33" ht="16.5" thickBot="1">
      <c r="A5" s="186"/>
      <c r="B5" s="22"/>
      <c r="C5" s="22"/>
      <c r="D5" s="22"/>
      <c r="E5" s="1083" t="s">
        <v>229</v>
      </c>
      <c r="F5" s="60" t="s">
        <v>419</v>
      </c>
      <c r="G5" s="1025" t="s">
        <v>229</v>
      </c>
      <c r="H5" s="60" t="s">
        <v>419</v>
      </c>
      <c r="I5" s="1025" t="s">
        <v>229</v>
      </c>
      <c r="J5" s="60" t="s">
        <v>419</v>
      </c>
      <c r="K5" s="1025" t="s">
        <v>229</v>
      </c>
      <c r="L5" s="60" t="s">
        <v>419</v>
      </c>
      <c r="M5" s="1025" t="s">
        <v>229</v>
      </c>
      <c r="N5" s="60" t="s">
        <v>419</v>
      </c>
      <c r="O5" s="1025" t="s">
        <v>229</v>
      </c>
      <c r="P5" s="60" t="s">
        <v>419</v>
      </c>
      <c r="Q5" s="1025" t="s">
        <v>229</v>
      </c>
      <c r="R5" s="1005" t="s">
        <v>419</v>
      </c>
      <c r="S5" s="1025" t="s">
        <v>229</v>
      </c>
      <c r="T5" s="60" t="s">
        <v>419</v>
      </c>
      <c r="U5" s="1025" t="s">
        <v>229</v>
      </c>
      <c r="V5" s="60" t="s">
        <v>419</v>
      </c>
      <c r="W5" s="1025" t="s">
        <v>229</v>
      </c>
      <c r="X5" s="60" t="s">
        <v>419</v>
      </c>
      <c r="Y5" s="1025" t="s">
        <v>229</v>
      </c>
      <c r="Z5" s="60" t="s">
        <v>419</v>
      </c>
      <c r="AA5" s="1025" t="s">
        <v>229</v>
      </c>
      <c r="AB5" s="60" t="s">
        <v>419</v>
      </c>
      <c r="AC5" s="1025" t="s">
        <v>420</v>
      </c>
      <c r="AD5" s="1033" t="s">
        <v>400</v>
      </c>
      <c r="AE5" s="1033" t="s">
        <v>234</v>
      </c>
      <c r="AF5" s="1033" t="s">
        <v>421</v>
      </c>
      <c r="AG5" s="1212"/>
    </row>
    <row r="6" spans="1:33" ht="17.25" thickTop="1" thickBot="1">
      <c r="A6" s="189" t="s">
        <v>422</v>
      </c>
      <c r="B6" s="180"/>
      <c r="D6" s="412" t="str">
        <f>""&amp;'Budget-DEBT'!$D$12&amp;" Cash="</f>
        <v>July 1, Cash=</v>
      </c>
      <c r="E6" s="1265">
        <f>'Budget-Cash Flow Year 1'!AA60</f>
        <v>491930.88305418217</v>
      </c>
      <c r="F6" s="61"/>
      <c r="G6" s="389">
        <f>+E60</f>
        <v>29934.352563791792</v>
      </c>
      <c r="H6" s="61"/>
      <c r="I6" s="389">
        <f>+G60</f>
        <v>97607.20240390359</v>
      </c>
      <c r="J6" s="61"/>
      <c r="K6" s="389">
        <f>+I60</f>
        <v>492924.30652165425</v>
      </c>
      <c r="L6" s="61"/>
      <c r="M6" s="389">
        <f>+K60</f>
        <v>422078.26188940497</v>
      </c>
      <c r="N6" s="61"/>
      <c r="O6" s="389">
        <f>+M60</f>
        <v>360304.92393423908</v>
      </c>
      <c r="P6" s="61"/>
      <c r="Q6" s="389">
        <f>+O60</f>
        <v>999983.13286160992</v>
      </c>
      <c r="R6" s="1006"/>
      <c r="S6" s="389">
        <f>+Q60</f>
        <v>945632.82603825035</v>
      </c>
      <c r="T6" s="61"/>
      <c r="U6" s="389">
        <f>+S60</f>
        <v>959521.88910334872</v>
      </c>
      <c r="V6" s="61"/>
      <c r="W6" s="389">
        <f>+U60</f>
        <v>1453645.1441036141</v>
      </c>
      <c r="X6" s="61"/>
      <c r="Y6" s="389">
        <f>+W60</f>
        <v>1378449.9612825667</v>
      </c>
      <c r="Z6" s="61"/>
      <c r="AA6" s="389">
        <f>+Y60</f>
        <v>1303255.1483499771</v>
      </c>
      <c r="AB6" s="61"/>
      <c r="AC6" s="389">
        <f>+AA60</f>
        <v>2092175.6661321379</v>
      </c>
      <c r="AD6" s="57"/>
      <c r="AE6" s="57"/>
      <c r="AF6" s="57"/>
      <c r="AG6" s="1212"/>
    </row>
    <row r="7" spans="1:33" ht="16.5" thickTop="1">
      <c r="A7" s="404"/>
      <c r="B7" s="368"/>
      <c r="C7" s="64"/>
      <c r="D7" s="64"/>
      <c r="E7" s="1084"/>
      <c r="F7" s="62"/>
      <c r="G7" s="1026"/>
      <c r="H7" s="62"/>
      <c r="I7" s="1026"/>
      <c r="J7" s="62"/>
      <c r="K7" s="1026"/>
      <c r="L7" s="62"/>
      <c r="M7" s="1026"/>
      <c r="N7" s="62"/>
      <c r="O7" s="1026"/>
      <c r="P7" s="62"/>
      <c r="Q7" s="1026"/>
      <c r="R7" s="62"/>
      <c r="S7" s="1026"/>
      <c r="T7" s="62"/>
      <c r="U7" s="1026"/>
      <c r="V7" s="62"/>
      <c r="W7" s="1026"/>
      <c r="X7" s="62"/>
      <c r="Y7" s="1026"/>
      <c r="Z7" s="62"/>
      <c r="AA7" s="1026"/>
      <c r="AB7" s="62"/>
      <c r="AC7" s="1026"/>
      <c r="AD7" s="1026"/>
      <c r="AE7" s="1026"/>
      <c r="AF7" s="1038"/>
      <c r="AG7" s="1212"/>
    </row>
    <row r="8" spans="1:33" ht="15.75">
      <c r="A8" s="66" t="s">
        <v>423</v>
      </c>
      <c r="B8" s="522"/>
      <c r="C8" s="373"/>
      <c r="D8" s="373"/>
      <c r="E8" s="545"/>
      <c r="F8" s="165"/>
      <c r="G8" s="1027"/>
      <c r="H8" s="165"/>
      <c r="I8" s="1027"/>
      <c r="J8" s="165"/>
      <c r="K8" s="1027"/>
      <c r="L8" s="165"/>
      <c r="M8" s="1027"/>
      <c r="N8" s="165"/>
      <c r="O8" s="1027"/>
      <c r="P8" s="165"/>
      <c r="Q8" s="1027"/>
      <c r="R8" s="165"/>
      <c r="S8" s="1027"/>
      <c r="T8" s="165"/>
      <c r="U8" s="1027"/>
      <c r="V8" s="165"/>
      <c r="W8" s="1027"/>
      <c r="X8" s="165"/>
      <c r="Y8" s="1027"/>
      <c r="Z8" s="165"/>
      <c r="AA8" s="1027"/>
      <c r="AB8" s="165"/>
      <c r="AC8" s="1027"/>
      <c r="AD8" s="1027"/>
      <c r="AE8" s="1027"/>
      <c r="AF8" s="1035"/>
      <c r="AG8" s="1212"/>
    </row>
    <row r="9" spans="1:33" ht="15.75">
      <c r="A9" s="406" t="s">
        <v>236</v>
      </c>
      <c r="B9" s="140"/>
      <c r="C9" s="140"/>
      <c r="D9" s="376"/>
      <c r="E9" s="381"/>
      <c r="F9" s="386"/>
      <c r="G9" s="1028"/>
      <c r="H9" s="386"/>
      <c r="I9" s="1028"/>
      <c r="J9" s="386"/>
      <c r="K9" s="1028"/>
      <c r="L9" s="386"/>
      <c r="M9" s="1028"/>
      <c r="N9" s="386"/>
      <c r="O9" s="1028"/>
      <c r="P9" s="386"/>
      <c r="Q9" s="1028"/>
      <c r="R9" s="386"/>
      <c r="S9" s="1031"/>
      <c r="T9" s="386"/>
      <c r="U9" s="1028"/>
      <c r="V9" s="386"/>
      <c r="W9" s="1028"/>
      <c r="X9" s="386"/>
      <c r="Y9" s="1028"/>
      <c r="Z9" s="386"/>
      <c r="AA9" s="1028"/>
      <c r="AB9" s="386"/>
      <c r="AC9" s="1031"/>
      <c r="AD9" s="1031"/>
      <c r="AE9" s="1031"/>
      <c r="AF9" s="387"/>
      <c r="AG9" s="1212"/>
    </row>
    <row r="10" spans="1:33" ht="15.75">
      <c r="A10" s="406"/>
      <c r="B10" s="279" t="s">
        <v>237</v>
      </c>
      <c r="C10" s="278">
        <v>8011</v>
      </c>
      <c r="D10" s="376"/>
      <c r="E10" s="377">
        <v>328543.45</v>
      </c>
      <c r="F10" s="340">
        <f>IF($AE10&lt;1," ",IF(E10&lt;1," ",(E10)/$AE10))</f>
        <v>3.7281297794033379E-2</v>
      </c>
      <c r="G10" s="390">
        <v>328543.45</v>
      </c>
      <c r="H10" s="340">
        <f>IF($AE10&lt;1," ",IF(G10&lt;1," ",(G10)/$AE10))</f>
        <v>3.7281297794033379E-2</v>
      </c>
      <c r="I10" s="390">
        <v>591378.21</v>
      </c>
      <c r="J10" s="340">
        <f>IF($AE10&lt;1," ",IF(I10&lt;1," ",(I10)/$AE10))</f>
        <v>6.7106336029260069E-2</v>
      </c>
      <c r="K10" s="390">
        <v>591378.21</v>
      </c>
      <c r="L10" s="340">
        <f>IF($AE10&lt;1," ",IF(K10&lt;1," ",(K10)/$AE10))</f>
        <v>6.7106336029260069E-2</v>
      </c>
      <c r="M10" s="390">
        <v>591378.21</v>
      </c>
      <c r="N10" s="531">
        <f>IF($AE10&lt;1," ",IF(M10&lt;1," ",(M10)/$AE10))</f>
        <v>6.7106336029260069E-2</v>
      </c>
      <c r="O10" s="390">
        <v>591378.21</v>
      </c>
      <c r="P10" s="340">
        <f>IF($AE10&lt;1," ",IF(O10&lt;1," ",(O10)/$AE10))</f>
        <v>6.7106336029260069E-2</v>
      </c>
      <c r="Q10" s="390">
        <v>591378.21</v>
      </c>
      <c r="R10" s="531">
        <f>IF($AE10&lt;1," ",IF(Q10&lt;1," ",(Q10)/$AE10))</f>
        <v>6.7106336029260069E-2</v>
      </c>
      <c r="S10" s="378">
        <v>591378.21</v>
      </c>
      <c r="T10" s="340">
        <f>IF($AE10&lt;1," ",IF(S10&lt;1," ",(S10)/$AE10))</f>
        <v>6.7106336029260069E-2</v>
      </c>
      <c r="U10" s="390">
        <v>504087.35245837492</v>
      </c>
      <c r="V10" s="340">
        <f>IF($AE10&lt;1," ",IF(U10&lt;1," ",(U10)/$AE10))</f>
        <v>5.7201051188835263E-2</v>
      </c>
      <c r="W10" s="390">
        <v>504087.35245837492</v>
      </c>
      <c r="X10" s="340">
        <f>IF($AE10&lt;1," ",IF(W10&lt;1," ",(W10)/$AE10))</f>
        <v>5.7201051188835263E-2</v>
      </c>
      <c r="Y10" s="390">
        <v>504087.35245837492</v>
      </c>
      <c r="Z10" s="340">
        <f>IF($AE10&lt;1," ",IF(Y10&lt;1," ",(Y10)/$AE10))</f>
        <v>5.7201051188835263E-2</v>
      </c>
      <c r="AA10" s="390">
        <v>1008174.7049167498</v>
      </c>
      <c r="AB10" s="340">
        <f>IF($AE10&lt;1," ",IF(AA10&lt;1," ",(AA10)/$AE10))</f>
        <v>0.11440210237767053</v>
      </c>
      <c r="AC10" s="1600">
        <f>AE10-(E10+G10+I10+K10+M10+O10+Q10+S10+U10+W10+Y10+AA10)</f>
        <v>2086761.077708126</v>
      </c>
      <c r="AD10" s="379">
        <f>+E10+G10+I10+K10+M10+O10+Q10+S10+U10+W10+Y10+AA10+AC10</f>
        <v>8812554</v>
      </c>
      <c r="AE10" s="379">
        <f>'Budget-Summary MYP'!H13</f>
        <v>8812554</v>
      </c>
      <c r="AF10" s="379">
        <f>+AE10-AD10</f>
        <v>0</v>
      </c>
      <c r="AG10" s="1212"/>
    </row>
    <row r="11" spans="1:33" ht="15.75">
      <c r="A11" s="406"/>
      <c r="B11" s="279" t="s">
        <v>239</v>
      </c>
      <c r="C11" s="278">
        <v>8012</v>
      </c>
      <c r="D11" s="376"/>
      <c r="E11" s="377"/>
      <c r="F11" s="340" t="str">
        <f>IF($AE11&lt;1," ",IF(E11&lt;1," ",(E11)/$AE11))</f>
        <v xml:space="preserve"> </v>
      </c>
      <c r="G11" s="390"/>
      <c r="H11" s="340" t="str">
        <f>IF($AE11&lt;1," ",IF(G11&lt;1," ",(G11)/$AE11))</f>
        <v xml:space="preserve"> </v>
      </c>
      <c r="I11" s="390">
        <v>435831.25</v>
      </c>
      <c r="J11" s="340" t="str">
        <f>IF($AE11&lt;1," ",IF(I11&lt;1," ",(I11)/$AE11))</f>
        <v xml:space="preserve"> </v>
      </c>
      <c r="K11" s="390"/>
      <c r="L11" s="340" t="str">
        <f>IF($AE11&lt;1," ",IF(K11&lt;1," ",(K11)/$AE11))</f>
        <v xml:space="preserve"> </v>
      </c>
      <c r="M11" s="390"/>
      <c r="N11" s="531" t="str">
        <f>IF($AE11&lt;1," ",IF(M11&lt;1," ",(M11)/$AE11))</f>
        <v xml:space="preserve"> </v>
      </c>
      <c r="O11" s="390">
        <v>435831.25</v>
      </c>
      <c r="P11" s="340" t="str">
        <f>IF($AE11&lt;1," ",IF(O11&lt;1," ",(O11)/$AE11))</f>
        <v xml:space="preserve"> </v>
      </c>
      <c r="Q11" s="390"/>
      <c r="R11" s="531" t="str">
        <f>IF($AE11&lt;1," ",IF(Q11&lt;1," ",(Q11)/$AE11))</f>
        <v xml:space="preserve"> </v>
      </c>
      <c r="S11" s="378"/>
      <c r="T11" s="340" t="str">
        <f>IF($AE11&lt;1," ",IF(S11&lt;1," ",(S11)/$AE11))</f>
        <v xml:space="preserve"> </v>
      </c>
      <c r="U11" s="390">
        <v>456382.77422225149</v>
      </c>
      <c r="V11" s="340" t="str">
        <f>IF($AE11&lt;1," ",IF(U11&lt;1," ",(U11)/$AE11))</f>
        <v xml:space="preserve"> </v>
      </c>
      <c r="W11" s="390"/>
      <c r="X11" s="340" t="str">
        <f>IF($AE11&lt;1," ",IF(W11&lt;1," ",(W11)/$AE11))</f>
        <v xml:space="preserve"> </v>
      </c>
      <c r="Y11" s="390"/>
      <c r="Z11" s="340" t="str">
        <f>IF($AE11&lt;1," ",IF(Y11&lt;1," ",(Y11)/$AE11))</f>
        <v xml:space="preserve"> </v>
      </c>
      <c r="AA11" s="390">
        <v>456382.77422225149</v>
      </c>
      <c r="AB11" s="340" t="str">
        <f>IF($AE11&lt;1," ",IF(AA11&lt;1," ",(AA11)/$AE11))</f>
        <v xml:space="preserve"> </v>
      </c>
      <c r="AC11" s="1600">
        <f t="shared" ref="AC11:AC22" si="0">AE11-(E11+G11+I11+K11+M11+O11+Q11+S11+U11+W11+Y11+AA11)</f>
        <v>-1784428.048444503</v>
      </c>
      <c r="AD11" s="379">
        <f>+E11+G11+I11+K11+M11+O11+Q11+S11+U11+W11+Y11+AA11+AC11</f>
        <v>0</v>
      </c>
      <c r="AE11" s="379">
        <f>'Budget-Summary MYP'!H14</f>
        <v>0</v>
      </c>
      <c r="AF11" s="379">
        <f>+AE11-AD11</f>
        <v>0</v>
      </c>
      <c r="AG11" s="1212"/>
    </row>
    <row r="12" spans="1:33" ht="15.75">
      <c r="A12" s="406"/>
      <c r="B12" s="279" t="s">
        <v>240</v>
      </c>
      <c r="C12" s="278">
        <v>8019</v>
      </c>
      <c r="D12" s="346"/>
      <c r="E12" s="377"/>
      <c r="F12" s="340" t="str">
        <f>IF($AE12&lt;1," ",IF(E12&lt;1," ",(E12)/$AE12))</f>
        <v xml:space="preserve"> </v>
      </c>
      <c r="G12" s="390"/>
      <c r="H12" s="340" t="str">
        <f>IF($AE12&lt;1," ",IF(G12&lt;1," ",(G12)/$AE12))</f>
        <v xml:space="preserve"> </v>
      </c>
      <c r="I12" s="390"/>
      <c r="J12" s="340" t="str">
        <f>IF($AE12&lt;1," ",IF(I12&lt;1," ",(I12)/$AE12))</f>
        <v xml:space="preserve"> </v>
      </c>
      <c r="K12" s="390"/>
      <c r="L12" s="340" t="str">
        <f>IF($AE12&lt;1," ",IF(K12&lt;1," ",(K12)/$AE12))</f>
        <v xml:space="preserve"> </v>
      </c>
      <c r="M12" s="390"/>
      <c r="N12" s="531" t="str">
        <f>IF($AE12&lt;1," ",IF(M12&lt;1," ",(M12)/$AE12))</f>
        <v xml:space="preserve"> </v>
      </c>
      <c r="O12" s="390"/>
      <c r="P12" s="340" t="str">
        <f>IF($AE12&lt;1," ",IF(O12&lt;1," ",(O12)/$AE12))</f>
        <v xml:space="preserve"> </v>
      </c>
      <c r="Q12" s="390"/>
      <c r="R12" s="531" t="str">
        <f>IF($AE12&lt;1," ",IF(Q12&lt;1," ",(Q12)/$AE12))</f>
        <v xml:space="preserve"> </v>
      </c>
      <c r="S12" s="378"/>
      <c r="T12" s="340" t="str">
        <f>IF($AE12&lt;1," ",IF(S12&lt;1," ",(S12)/$AE12))</f>
        <v xml:space="preserve"> </v>
      </c>
      <c r="U12" s="390"/>
      <c r="V12" s="340" t="str">
        <f>IF($AE12&lt;1," ",IF(U12&lt;1," ",(U12)/$AE12))</f>
        <v xml:space="preserve"> </v>
      </c>
      <c r="W12" s="390"/>
      <c r="X12" s="340" t="str">
        <f>IF($AE12&lt;1," ",IF(W12&lt;1," ",(W12)/$AE12))</f>
        <v xml:space="preserve"> </v>
      </c>
      <c r="Y12" s="390"/>
      <c r="Z12" s="340" t="str">
        <f>IF($AE12&lt;1," ",IF(Y12&lt;1," ",(Y12)/$AE12))</f>
        <v xml:space="preserve"> </v>
      </c>
      <c r="AA12" s="390"/>
      <c r="AB12" s="340" t="str">
        <f>IF($AE12&lt;1," ",IF(AA12&lt;1," ",(AA12)/$AE12))</f>
        <v xml:space="preserve"> </v>
      </c>
      <c r="AC12" s="1600">
        <f t="shared" si="0"/>
        <v>0</v>
      </c>
      <c r="AD12" s="379">
        <f>+E12+G12+I12+K12+M12+O12+Q12+S12+U12+W12+Y12+AA12+AC12</f>
        <v>0</v>
      </c>
      <c r="AE12" s="380">
        <f>'Budget-Summary MYP'!H15</f>
        <v>0</v>
      </c>
      <c r="AF12" s="379">
        <f>+AE12-AD12</f>
        <v>0</v>
      </c>
      <c r="AG12" s="1212"/>
    </row>
    <row r="13" spans="1:33" ht="15.75">
      <c r="A13" s="406"/>
      <c r="B13" s="279" t="s">
        <v>241</v>
      </c>
      <c r="C13" s="278">
        <v>8096</v>
      </c>
      <c r="D13" s="346"/>
      <c r="E13" s="377"/>
      <c r="F13" s="340" t="str">
        <f>IF($AE13&lt;1," ",IF(E13&lt;1," ",(E13)/$AE13))</f>
        <v xml:space="preserve"> </v>
      </c>
      <c r="G13" s="390">
        <v>17722.14</v>
      </c>
      <c r="H13" s="340" t="str">
        <f>IF($AE13&lt;1," ",IF(G13&lt;1," ",(G13)/$AE13))</f>
        <v xml:space="preserve"> </v>
      </c>
      <c r="I13" s="390">
        <v>35444.28</v>
      </c>
      <c r="J13" s="340" t="str">
        <f>IF($AE13&lt;1," ",IF(I13&lt;1," ",(I13)/$AE13))</f>
        <v xml:space="preserve"> </v>
      </c>
      <c r="K13" s="390">
        <v>23629.52</v>
      </c>
      <c r="L13" s="340" t="str">
        <f>IF($AE13&lt;1," ",IF(K13&lt;1," ",(K13)/$AE13))</f>
        <v xml:space="preserve"> </v>
      </c>
      <c r="M13" s="390">
        <v>23629.52</v>
      </c>
      <c r="N13" s="531" t="str">
        <f>IF($AE13&lt;1," ",IF(M13&lt;1," ",(M13)/$AE13))</f>
        <v xml:space="preserve"> </v>
      </c>
      <c r="O13" s="390">
        <v>23629.52</v>
      </c>
      <c r="P13" s="340" t="str">
        <f>IF($AE13&lt;1," ",IF(O13&lt;1," ",(O13)/$AE13))</f>
        <v xml:space="preserve"> </v>
      </c>
      <c r="Q13" s="390">
        <v>23629.52</v>
      </c>
      <c r="R13" s="531" t="str">
        <f>IF($AE13&lt;1," ",IF(Q13&lt;1," ",(Q13)/$AE13))</f>
        <v xml:space="preserve"> </v>
      </c>
      <c r="S13" s="378">
        <v>23629.52</v>
      </c>
      <c r="T13" s="340" t="str">
        <f>IF($AE13&lt;1," ",IF(S13&lt;1," ",(S13)/$AE13))</f>
        <v xml:space="preserve"> </v>
      </c>
      <c r="U13" s="390">
        <v>43673.003087874124</v>
      </c>
      <c r="V13" s="340" t="str">
        <f>IF($AE13&lt;1," ",IF(U13&lt;1," ",(U13)/$AE13))</f>
        <v xml:space="preserve"> </v>
      </c>
      <c r="W13" s="390">
        <v>21836.501543937062</v>
      </c>
      <c r="X13" s="340" t="str">
        <f>IF($AE13&lt;1," ",IF(W13&lt;1," ",(W13)/$AE13))</f>
        <v xml:space="preserve"> </v>
      </c>
      <c r="Y13" s="390">
        <v>21836.501543937062</v>
      </c>
      <c r="Z13" s="340" t="str">
        <f>IF($AE13&lt;1," ",IF(Y13&lt;1," ",(Y13)/$AE13))</f>
        <v xml:space="preserve"> </v>
      </c>
      <c r="AA13" s="390">
        <v>21836.501543937062</v>
      </c>
      <c r="AB13" s="340" t="str">
        <f>IF($AE13&lt;1," ",IF(AA13&lt;1," ",(AA13)/$AE13))</f>
        <v xml:space="preserve"> </v>
      </c>
      <c r="AC13" s="1600">
        <f t="shared" si="0"/>
        <v>-280496.52771968534</v>
      </c>
      <c r="AD13" s="379">
        <f>+E13+G13+I13+K13+M13+O13+Q13+S13+U13+W13+Y13+AA13+AC13</f>
        <v>0</v>
      </c>
      <c r="AE13" s="379">
        <f>'Budget-Summary MYP'!H16</f>
        <v>0</v>
      </c>
      <c r="AF13" s="379">
        <f>+AE13-AD13</f>
        <v>0</v>
      </c>
      <c r="AG13" s="1212"/>
    </row>
    <row r="14" spans="1:33" ht="15.75">
      <c r="A14" s="405" t="s">
        <v>242</v>
      </c>
      <c r="B14" s="277"/>
      <c r="C14" s="278" t="s">
        <v>243</v>
      </c>
      <c r="D14" s="376"/>
      <c r="E14" s="377"/>
      <c r="F14" s="340" t="str">
        <f>IF($AE14&lt;1," ",IF(E14&lt;1," ",(E14)/$AE14))</f>
        <v xml:space="preserve"> </v>
      </c>
      <c r="G14" s="390"/>
      <c r="H14" s="340" t="str">
        <f>IF($AE14&lt;1," ",IF(G14&lt;1," ",(G14)/$AE14))</f>
        <v xml:space="preserve"> </v>
      </c>
      <c r="I14" s="390">
        <v>195211.69749999998</v>
      </c>
      <c r="J14" s="340">
        <f>IF($AE14&lt;1," ",IF(I14&lt;1," ",(I14)/$AE14))</f>
        <v>0.12500002241157082</v>
      </c>
      <c r="K14" s="390">
        <v>104112.90533333333</v>
      </c>
      <c r="L14" s="340">
        <f>IF($AE14&lt;1," ",IF(K14&lt;1," ",(K14)/$AE14))</f>
        <v>6.6666678619504441E-2</v>
      </c>
      <c r="M14" s="390">
        <v>104112.90533333333</v>
      </c>
      <c r="N14" s="531">
        <f>IF($AE14&lt;1," ",IF(M14&lt;1," ",(M14)/$AE14))</f>
        <v>6.6666678619504441E-2</v>
      </c>
      <c r="O14" s="390">
        <v>195211.69749999998</v>
      </c>
      <c r="P14" s="340">
        <f>IF($AE14&lt;1," ",IF(O14&lt;1," ",(O14)/$AE14))</f>
        <v>0.12500002241157082</v>
      </c>
      <c r="Q14" s="390">
        <v>104112.90533333333</v>
      </c>
      <c r="R14" s="531">
        <f>IF($AE14&lt;1," ",IF(Q14&lt;1," ",(Q14)/$AE14))</f>
        <v>6.6666678619504441E-2</v>
      </c>
      <c r="S14" s="378">
        <v>104112.90533333333</v>
      </c>
      <c r="T14" s="340">
        <f>IF($AE14&lt;1," ",IF(S14&lt;1," ",(S14)/$AE14))</f>
        <v>6.6666678619504441E-2</v>
      </c>
      <c r="U14" s="390">
        <v>195211.69749999998</v>
      </c>
      <c r="V14" s="340">
        <f>IF($AE14&lt;1," ",IF(U14&lt;1," ",(U14)/$AE14))</f>
        <v>0.12500002241157082</v>
      </c>
      <c r="W14" s="390">
        <v>104112.90533333333</v>
      </c>
      <c r="X14" s="340">
        <f>IF($AE14&lt;1," ",IF(W14&lt;1," ",(W14)/$AE14))</f>
        <v>6.6666678619504441E-2</v>
      </c>
      <c r="Y14" s="390">
        <v>104112.90533333333</v>
      </c>
      <c r="Z14" s="340">
        <f>IF($AE14&lt;1," ",IF(Y14&lt;1," ",(Y14)/$AE14))</f>
        <v>6.6666678619504441E-2</v>
      </c>
      <c r="AA14" s="390">
        <v>195211.69749999998</v>
      </c>
      <c r="AB14" s="340">
        <f>IF($AE14&lt;1," ",IF(AA14&lt;1," ",(AA14)/$AE14))</f>
        <v>0.12500002241157082</v>
      </c>
      <c r="AC14" s="1600">
        <f t="shared" si="0"/>
        <v>156169.07799999998</v>
      </c>
      <c r="AD14" s="379">
        <f>+E14+G14+I14+K14+M14+O14+Q14+S14+U14+W14+Y14+AA14+AC14</f>
        <v>1561693.3</v>
      </c>
      <c r="AE14" s="379">
        <f>'Budget-Summary MYP'!H17</f>
        <v>1561693.3</v>
      </c>
      <c r="AF14" s="379">
        <f t="shared" ref="AF14:AF22" si="1">+AE14-AD14</f>
        <v>0</v>
      </c>
      <c r="AG14" s="1212"/>
    </row>
    <row r="15" spans="1:33" ht="15.75">
      <c r="A15" s="406" t="s">
        <v>244</v>
      </c>
      <c r="B15" s="140"/>
      <c r="C15" s="140"/>
      <c r="D15" s="376"/>
      <c r="E15" s="381"/>
      <c r="F15" s="340"/>
      <c r="G15" s="510"/>
      <c r="H15" s="340"/>
      <c r="I15" s="510"/>
      <c r="J15" s="340"/>
      <c r="K15" s="510"/>
      <c r="L15" s="340"/>
      <c r="M15" s="510"/>
      <c r="N15" s="340"/>
      <c r="O15" s="510"/>
      <c r="P15" s="340"/>
      <c r="Q15" s="510"/>
      <c r="R15" s="340"/>
      <c r="S15" s="510"/>
      <c r="T15" s="340"/>
      <c r="U15" s="510"/>
      <c r="V15" s="340"/>
      <c r="W15" s="510"/>
      <c r="X15" s="340"/>
      <c r="Y15" s="510"/>
      <c r="Z15" s="340"/>
      <c r="AA15" s="510"/>
      <c r="AB15" s="340"/>
      <c r="AC15" s="1601"/>
      <c r="AD15" s="379"/>
      <c r="AE15" s="379"/>
      <c r="AF15" s="379"/>
      <c r="AG15" s="1212"/>
    </row>
    <row r="16" spans="1:33" ht="15.75">
      <c r="A16" s="406"/>
      <c r="B16" s="140" t="s">
        <v>245</v>
      </c>
      <c r="C16" s="278">
        <v>8560</v>
      </c>
      <c r="D16" s="376"/>
      <c r="E16" s="377"/>
      <c r="F16" s="340" t="str">
        <f>IF($AE16&lt;1," ",IF(E16&lt;1," ",(E16)/$AE16))</f>
        <v xml:space="preserve"> </v>
      </c>
      <c r="G16" s="390"/>
      <c r="H16" s="340" t="str">
        <f>IF($AE16&lt;1," ",IF(G16&lt;1," ",(G16)/$AE16))</f>
        <v xml:space="preserve"> </v>
      </c>
      <c r="I16" s="390"/>
      <c r="J16" s="340" t="str">
        <f>IF($AE16&lt;1," ",IF(I16&lt;1," ",(I16)/$AE16))</f>
        <v xml:space="preserve"> </v>
      </c>
      <c r="K16" s="390"/>
      <c r="L16" s="340" t="str">
        <f>IF($AE16&lt;1," ",IF(K16&lt;1," ",(K16)/$AE16))</f>
        <v xml:space="preserve"> </v>
      </c>
      <c r="M16" s="390"/>
      <c r="N16" s="531" t="str">
        <f>IF($AE16&lt;1," ",IF(M16&lt;1," ",(M16)/$AE16))</f>
        <v xml:space="preserve"> </v>
      </c>
      <c r="O16" s="390"/>
      <c r="P16" s="340" t="str">
        <f>IF($AE16&lt;1," ",IF(O16&lt;1," ",(O16)/$AE16))</f>
        <v xml:space="preserve"> </v>
      </c>
      <c r="Q16" s="390">
        <v>33163</v>
      </c>
      <c r="R16" s="531">
        <f>IF($AE16&lt;1," ",IF(Q16&lt;1," ",(Q16)/$AE16))</f>
        <v>0.26589736055342583</v>
      </c>
      <c r="S16" s="378"/>
      <c r="T16" s="340" t="str">
        <f>IF($AE16&lt;1," ",IF(S16&lt;1," ",(S16)/$AE16))</f>
        <v xml:space="preserve"> </v>
      </c>
      <c r="U16" s="390"/>
      <c r="V16" s="340" t="str">
        <f>IF($AE16&lt;1," ",IF(U16&lt;1," ",(U16)/$AE16))</f>
        <v xml:space="preserve"> </v>
      </c>
      <c r="W16" s="390">
        <v>33163</v>
      </c>
      <c r="X16" s="340">
        <f>IF($AE16&lt;1," ",IF(W16&lt;1," ",(W16)/$AE16))</f>
        <v>0.26589736055342583</v>
      </c>
      <c r="Y16" s="390"/>
      <c r="Z16" s="340" t="str">
        <f>IF($AE16&lt;1," ",IF(Y16&lt;1," ",(Y16)/$AE16))</f>
        <v xml:space="preserve"> </v>
      </c>
      <c r="AA16" s="390"/>
      <c r="AB16" s="340" t="str">
        <f>IF($AE16&lt;1," ",IF(AA16&lt;1," ",(AA16)/$AE16))</f>
        <v xml:space="preserve"> </v>
      </c>
      <c r="AC16" s="1600">
        <f t="shared" si="0"/>
        <v>58395.057519999988</v>
      </c>
      <c r="AD16" s="379">
        <f>+E16+G16+I16+K16+M16+O16+Q16+S16+U16+W16+Y16+AA16+AC16</f>
        <v>124721.05751999999</v>
      </c>
      <c r="AE16" s="379">
        <f>'Budget-Summary MYP'!H19</f>
        <v>124721.05751999999</v>
      </c>
      <c r="AF16" s="379">
        <f t="shared" si="1"/>
        <v>0</v>
      </c>
      <c r="AG16" s="1212"/>
    </row>
    <row r="17" spans="1:33" ht="15.75">
      <c r="A17" s="406"/>
      <c r="B17" s="140" t="s">
        <v>246</v>
      </c>
      <c r="C17" s="278">
        <v>8560</v>
      </c>
      <c r="D17" s="376"/>
      <c r="E17" s="377"/>
      <c r="F17" s="340" t="str">
        <f>IF($AE17&lt;1," ",IF(E17&lt;1," ",(E17)/$AE17))</f>
        <v xml:space="preserve"> </v>
      </c>
      <c r="G17" s="390"/>
      <c r="H17" s="340" t="str">
        <f>IF($AE17&lt;1," ",IF(G17&lt;1," ",(G17)/$AE17))</f>
        <v xml:space="preserve"> </v>
      </c>
      <c r="I17" s="390"/>
      <c r="J17" s="340" t="str">
        <f>IF($AE17&lt;1," ",IF(I17&lt;1," ",(I17)/$AE17))</f>
        <v xml:space="preserve"> </v>
      </c>
      <c r="K17" s="390"/>
      <c r="L17" s="340" t="str">
        <f>IF($AE17&lt;1," ",IF(K17&lt;1," ",(K17)/$AE17))</f>
        <v xml:space="preserve"> </v>
      </c>
      <c r="M17" s="390"/>
      <c r="N17" s="531" t="str">
        <f>IF($AE17&lt;1," ",IF(M17&lt;1," ",(M17)/$AE17))</f>
        <v xml:space="preserve"> </v>
      </c>
      <c r="O17" s="390"/>
      <c r="P17" s="340" t="str">
        <f>IF($AE17&lt;1," ",IF(O17&lt;1," ",(O17)/$AE17))</f>
        <v xml:space="preserve"> </v>
      </c>
      <c r="Q17" s="390"/>
      <c r="R17" s="531" t="str">
        <f>IF($AE17&lt;1," ",IF(Q17&lt;1," ",(Q17)/$AE17))</f>
        <v xml:space="preserve"> </v>
      </c>
      <c r="S17" s="378"/>
      <c r="T17" s="340" t="str">
        <f>IF($AE17&lt;1," ",IF(S17&lt;1," ",(S17)/$AE17))</f>
        <v xml:space="preserve"> </v>
      </c>
      <c r="U17" s="390"/>
      <c r="V17" s="340" t="str">
        <f>IF($AE17&lt;1," ",IF(U17&lt;1," ",(U17)/$AE17))</f>
        <v xml:space="preserve"> </v>
      </c>
      <c r="W17" s="390">
        <v>0</v>
      </c>
      <c r="X17" s="340" t="str">
        <f>IF($AE17&lt;1," ",IF(W17&lt;1," ",(W17)/$AE17))</f>
        <v xml:space="preserve"> </v>
      </c>
      <c r="Y17" s="390"/>
      <c r="Z17" s="340" t="str">
        <f>IF($AE17&lt;1," ",IF(Y17&lt;1," ",(Y17)/$AE17))</f>
        <v xml:space="preserve"> </v>
      </c>
      <c r="AA17" s="390">
        <v>0</v>
      </c>
      <c r="AB17" s="340" t="str">
        <f>IF($AE17&lt;1," ",IF(AA17&lt;1," ",(AA17)/$AE17))</f>
        <v xml:space="preserve"> </v>
      </c>
      <c r="AC17" s="1600">
        <f t="shared" si="0"/>
        <v>40742.212123199999</v>
      </c>
      <c r="AD17" s="379">
        <f>+E17+G17+I17+K17+M17+O17+Q17+S17+U17+W17+Y17+AA17+AC17</f>
        <v>40742.212123199999</v>
      </c>
      <c r="AE17" s="379">
        <f>'Budget-Summary MYP'!H20</f>
        <v>40742.212123199999</v>
      </c>
      <c r="AF17" s="379">
        <f>+AE17-AD17</f>
        <v>0</v>
      </c>
      <c r="AG17" s="1212"/>
    </row>
    <row r="18" spans="1:33" ht="15.75">
      <c r="A18" s="406"/>
      <c r="B18" s="140" t="s">
        <v>247</v>
      </c>
      <c r="C18" s="278" t="s">
        <v>248</v>
      </c>
      <c r="D18" s="376"/>
      <c r="E18" s="377">
        <v>66230.051396155497</v>
      </c>
      <c r="F18" s="340">
        <f>IF($AE18&lt;1," ",IF(E18&lt;1," ",(E18)/$AE18))</f>
        <v>6.7044098154179624E-2</v>
      </c>
      <c r="G18" s="390">
        <f>66230.0513961555-G21</f>
        <v>25234.291396155495</v>
      </c>
      <c r="H18" s="340">
        <f>IF($AE18&lt;1," ",IF(G18&lt;1," ",(G18)/$AE18))</f>
        <v>2.5544451099629148E-2</v>
      </c>
      <c r="I18" s="390">
        <f>119214.09251308-I21</f>
        <v>57720.452513080003</v>
      </c>
      <c r="J18" s="340">
        <f>IF($AE18&lt;1," ",IF(I18&lt;1," ",(I18)/$AE18))</f>
        <v>5.8429906095697717E-2</v>
      </c>
      <c r="K18" s="390">
        <f>119214.09251308-K21</f>
        <v>88467.27251308001</v>
      </c>
      <c r="L18" s="340">
        <f>IF($AE18&lt;1," ",IF(K18&lt;1," ",(K18)/$AE18))</f>
        <v>8.9554641386610581E-2</v>
      </c>
      <c r="M18" s="390">
        <f>119214.09251308-M21</f>
        <v>88467.27251308001</v>
      </c>
      <c r="N18" s="531">
        <f>IF($AE18&lt;1," ",IF(M18&lt;1," ",(M18)/$AE18))</f>
        <v>8.9554641386610581E-2</v>
      </c>
      <c r="O18" s="390">
        <f>119214.09251308-O21</f>
        <v>88467.27251308001</v>
      </c>
      <c r="P18" s="340">
        <f>IF($AE18&lt;1," ",IF(O18&lt;1," ",(O18)/$AE18))</f>
        <v>8.9554641386610581E-2</v>
      </c>
      <c r="Q18" s="390">
        <f>119214-Q16-Q21</f>
        <v>55304.18</v>
      </c>
      <c r="R18" s="531">
        <f>IF($AE18&lt;1," ",IF(Q18&lt;1," ",(Q18)/$AE18))</f>
        <v>5.5983934695718017E-2</v>
      </c>
      <c r="S18" s="378">
        <f>187453.369888458-S21</f>
        <v>156706.54988845799</v>
      </c>
      <c r="T18" s="340">
        <f>IF($AE18&lt;1," ",IF(S18&lt;1," ",(S18)/$AE18))</f>
        <v>0.15863266131686085</v>
      </c>
      <c r="U18" s="390">
        <f>187453.369888458-U21</f>
        <v>102045.36988845799</v>
      </c>
      <c r="V18" s="340">
        <f>IF($AE18&lt;1," ",IF(U18&lt;1," ",(U18)/$AE18))</f>
        <v>0.10329962986226036</v>
      </c>
      <c r="W18" s="390">
        <f>187453-W16-W21</f>
        <v>111586</v>
      </c>
      <c r="X18" s="340">
        <f>IF($AE18&lt;1," ",IF(W18&lt;1," ",(W18)/$AE18))</f>
        <v>0.11295752575947046</v>
      </c>
      <c r="Y18" s="390">
        <f>187453.369888458-Y21</f>
        <v>144749.36988845799</v>
      </c>
      <c r="Z18" s="340">
        <f>IF($AE18&lt;1," ",IF(Y18&lt;1," ",(Y18)/$AE18))</f>
        <v>0.14652851323501703</v>
      </c>
      <c r="AA18" s="390"/>
      <c r="AB18" s="340" t="str">
        <f>IF($AE18&lt;1," ",IF(AA18&lt;1," ",(AA18)/$AE18))</f>
        <v xml:space="preserve"> </v>
      </c>
      <c r="AC18" s="1600">
        <f t="shared" si="0"/>
        <v>2879.957489995053</v>
      </c>
      <c r="AD18" s="379">
        <f>+E18+G18+I18+K18+M18+O18+Q18+S18+U18+W18+Y18+AA18+AC18</f>
        <v>987858.04</v>
      </c>
      <c r="AE18" s="379">
        <f>'Budget-Summary MYP'!H21</f>
        <v>987858.04</v>
      </c>
      <c r="AF18" s="379">
        <f t="shared" si="1"/>
        <v>0</v>
      </c>
      <c r="AG18" s="1212"/>
    </row>
    <row r="19" spans="1:33" ht="15.75">
      <c r="A19" s="406" t="s">
        <v>249</v>
      </c>
      <c r="B19" s="140"/>
      <c r="C19" s="140"/>
      <c r="D19" s="376"/>
      <c r="E19" s="381"/>
      <c r="F19" s="340"/>
      <c r="G19" s="510"/>
      <c r="H19" s="340"/>
      <c r="I19" s="510"/>
      <c r="J19" s="340"/>
      <c r="K19" s="510"/>
      <c r="L19" s="340"/>
      <c r="M19" s="510"/>
      <c r="N19" s="340"/>
      <c r="O19" s="510"/>
      <c r="P19" s="340"/>
      <c r="Q19" s="510"/>
      <c r="R19" s="340"/>
      <c r="S19" s="510"/>
      <c r="T19" s="340"/>
      <c r="U19" s="510"/>
      <c r="V19" s="340"/>
      <c r="W19" s="510"/>
      <c r="X19" s="340"/>
      <c r="Y19" s="510"/>
      <c r="Z19" s="340"/>
      <c r="AA19" s="510"/>
      <c r="AB19" s="340"/>
      <c r="AC19" s="1601"/>
      <c r="AD19" s="379"/>
      <c r="AE19" s="379"/>
      <c r="AF19" s="379"/>
      <c r="AG19" s="1212"/>
    </row>
    <row r="20" spans="1:33" ht="15.75">
      <c r="A20" s="406"/>
      <c r="B20" s="140" t="s">
        <v>250</v>
      </c>
      <c r="C20" s="278">
        <v>8660</v>
      </c>
      <c r="D20" s="376"/>
      <c r="E20" s="377"/>
      <c r="F20" s="340" t="str">
        <f>IF($AE20&lt;1," ",IF(E20&lt;1," ",(E20)/$AE20))</f>
        <v xml:space="preserve"> </v>
      </c>
      <c r="G20" s="390"/>
      <c r="H20" s="340" t="str">
        <f>IF($AE20&lt;1," ",IF(G20&lt;1," ",(G20)/$AE20))</f>
        <v xml:space="preserve"> </v>
      </c>
      <c r="I20" s="390"/>
      <c r="J20" s="340" t="str">
        <f>IF($AE20&lt;1," ",IF(I20&lt;1," ",(I20)/$AE20))</f>
        <v xml:space="preserve"> </v>
      </c>
      <c r="K20" s="390"/>
      <c r="L20" s="340" t="str">
        <f>IF($AE20&lt;1," ",IF(K20&lt;1," ",(K20)/$AE20))</f>
        <v xml:space="preserve"> </v>
      </c>
      <c r="M20" s="390"/>
      <c r="N20" s="531" t="str">
        <f>IF($AE20&lt;1," ",IF(M20&lt;1," ",(M20)/$AE20))</f>
        <v xml:space="preserve"> </v>
      </c>
      <c r="O20" s="390"/>
      <c r="P20" s="340" t="str">
        <f>IF($AE20&lt;1," ",IF(O20&lt;1," ",(O20)/$AE20))</f>
        <v xml:space="preserve"> </v>
      </c>
      <c r="Q20" s="390"/>
      <c r="R20" s="531" t="str">
        <f>IF($AE20&lt;1," ",IF(Q20&lt;1," ",(Q20)/$AE20))</f>
        <v xml:space="preserve"> </v>
      </c>
      <c r="S20" s="378"/>
      <c r="T20" s="340" t="str">
        <f>IF($AE20&lt;1," ",IF(S20&lt;1," ",(S20)/$AE20))</f>
        <v xml:space="preserve"> </v>
      </c>
      <c r="U20" s="390"/>
      <c r="V20" s="340" t="str">
        <f>IF($AE20&lt;1," ",IF(U20&lt;1," ",(U20)/$AE20))</f>
        <v xml:space="preserve"> </v>
      </c>
      <c r="W20" s="390"/>
      <c r="X20" s="340" t="str">
        <f>IF($AE20&lt;1," ",IF(W20&lt;1," ",(W20)/$AE20))</f>
        <v xml:space="preserve"> </v>
      </c>
      <c r="Y20" s="390"/>
      <c r="Z20" s="340" t="str">
        <f>IF($AE20&lt;1," ",IF(Y20&lt;1," ",(Y20)/$AE20))</f>
        <v xml:space="preserve"> </v>
      </c>
      <c r="AA20" s="390"/>
      <c r="AB20" s="340" t="str">
        <f>IF($AE20&lt;1," ",IF(AA20&lt;1," ",(AA20)/$AE20))</f>
        <v xml:space="preserve"> </v>
      </c>
      <c r="AC20" s="1600">
        <f t="shared" si="0"/>
        <v>0</v>
      </c>
      <c r="AD20" s="379">
        <f>+E20+G20+I20+K20+M20+O20+Q20+S20+U20+W20+Y20+AA20+AC20</f>
        <v>0</v>
      </c>
      <c r="AE20" s="379">
        <f>'Budget-Summary MYP'!H23</f>
        <v>0</v>
      </c>
      <c r="AF20" s="379">
        <f t="shared" si="1"/>
        <v>0</v>
      </c>
      <c r="AG20" s="1212"/>
    </row>
    <row r="21" spans="1:33" ht="15.75">
      <c r="A21" s="406"/>
      <c r="B21" s="140" t="s">
        <v>251</v>
      </c>
      <c r="C21" s="278">
        <v>8792</v>
      </c>
      <c r="D21" s="376"/>
      <c r="E21" s="377"/>
      <c r="F21" s="340" t="str">
        <f>IF($AE21&lt;1," ",IF(E21&lt;1," ",(E21)/$AE21))</f>
        <v xml:space="preserve"> </v>
      </c>
      <c r="G21" s="390">
        <v>40995.760000000002</v>
      </c>
      <c r="H21" s="340">
        <f>IF($AE21&lt;1," ",IF(G21&lt;1," ",(G21)/$AE21))</f>
        <v>0.08</v>
      </c>
      <c r="I21" s="390">
        <v>61493.64</v>
      </c>
      <c r="J21" s="340">
        <f>IF($AE21&lt;1," ",IF(I21&lt;1," ",(I21)/$AE21))</f>
        <v>0.12</v>
      </c>
      <c r="K21" s="390">
        <v>30746.82</v>
      </c>
      <c r="L21" s="340">
        <f>IF($AE21&lt;1," ",IF(K21&lt;1," ",(K21)/$AE21))</f>
        <v>0.06</v>
      </c>
      <c r="M21" s="390">
        <v>30746.82</v>
      </c>
      <c r="N21" s="531">
        <f>IF($AE21&lt;1," ",IF(M21&lt;1," ",(M21)/$AE21))</f>
        <v>0.06</v>
      </c>
      <c r="O21" s="390">
        <v>30746.82</v>
      </c>
      <c r="P21" s="340">
        <f>IF($AE21&lt;1," ",IF(O21&lt;1," ",(O21)/$AE21))</f>
        <v>0.06</v>
      </c>
      <c r="Q21" s="390">
        <v>30746.82</v>
      </c>
      <c r="R21" s="531">
        <f>IF($AE21&lt;1," ",IF(Q21&lt;1," ",(Q21)/$AE21))</f>
        <v>0.06</v>
      </c>
      <c r="S21" s="378">
        <v>30746.82</v>
      </c>
      <c r="T21" s="340">
        <f>IF($AE21&lt;1," ",IF(S21&lt;1," ",(S21)/$AE21))</f>
        <v>0.06</v>
      </c>
      <c r="U21" s="390">
        <v>85408</v>
      </c>
      <c r="V21" s="340">
        <f>IF($AE21&lt;1," ",IF(U21&lt;1," ",(U21)/$AE21))</f>
        <v>0.16666699190355294</v>
      </c>
      <c r="W21" s="390">
        <v>42704</v>
      </c>
      <c r="X21" s="340">
        <f>IF($AE21&lt;1," ",IF(W21&lt;1," ",(W21)/$AE21))</f>
        <v>8.3333495951776471E-2</v>
      </c>
      <c r="Y21" s="390">
        <v>42704</v>
      </c>
      <c r="Z21" s="340">
        <f>IF($AE21&lt;1," ",IF(Y21&lt;1," ",(Y21)/$AE21))</f>
        <v>8.3333495951776471E-2</v>
      </c>
      <c r="AA21" s="390"/>
      <c r="AB21" s="340" t="str">
        <f>IF($AE21&lt;1," ",IF(AA21&lt;1," ",(AA21)/$AE21))</f>
        <v xml:space="preserve"> </v>
      </c>
      <c r="AC21" s="1600">
        <f t="shared" si="0"/>
        <v>85407.5</v>
      </c>
      <c r="AD21" s="379">
        <f>+E21+G21+I21+K21+M21+O21+Q21+S21+U21+W21+Y21+AA21+AC21</f>
        <v>512447</v>
      </c>
      <c r="AE21" s="379">
        <f>'Budget-Summary MYP'!H24</f>
        <v>512447</v>
      </c>
      <c r="AF21" s="379">
        <f t="shared" si="1"/>
        <v>0</v>
      </c>
      <c r="AG21" s="1212"/>
    </row>
    <row r="22" spans="1:33" ht="15.75">
      <c r="A22" s="406"/>
      <c r="B22" s="140" t="s">
        <v>252</v>
      </c>
      <c r="C22" s="278" t="s">
        <v>253</v>
      </c>
      <c r="D22" s="376"/>
      <c r="E22" s="377">
        <v>52.218244084682439</v>
      </c>
      <c r="F22" s="340">
        <f>IF($AE22&lt;1," ",IF(E22&lt;1," ",(E22)/$AE22))</f>
        <v>3.1133250311332503E-4</v>
      </c>
      <c r="G22" s="390">
        <v>52.218244084682439</v>
      </c>
      <c r="H22" s="340">
        <f>IF($AE22&lt;1," ",IF(G22&lt;1," ",(G22)/$AE22))</f>
        <v>3.1133250311332503E-4</v>
      </c>
      <c r="I22" s="390">
        <v>52.218244084682439</v>
      </c>
      <c r="J22" s="340">
        <f>IF($AE22&lt;1," ",IF(I22&lt;1," ",(I22)/$AE22))</f>
        <v>3.1133250311332503E-4</v>
      </c>
      <c r="K22" s="390">
        <v>52.218244084682439</v>
      </c>
      <c r="L22" s="340">
        <f>IF($AE22&lt;1," ",IF(K22&lt;1," ",(K22)/$AE22))</f>
        <v>3.1133250311332503E-4</v>
      </c>
      <c r="M22" s="390">
        <v>52.218244084682439</v>
      </c>
      <c r="N22" s="531">
        <f>IF($AE22&lt;1," ",IF(M22&lt;1," ",(M22)/$AE22))</f>
        <v>3.1133250311332503E-4</v>
      </c>
      <c r="O22" s="390">
        <v>167150.59931506848</v>
      </c>
      <c r="P22" s="340">
        <f>IF($AE22&lt;1," ",IF(O22&lt;1," ",(O22)/$AE22))</f>
        <v>0.9965753424657533</v>
      </c>
      <c r="Q22" s="390">
        <v>52.218244084682439</v>
      </c>
      <c r="R22" s="531">
        <f>IF($AE22&lt;1," ",IF(Q22&lt;1," ",(Q22)/$AE22))</f>
        <v>3.1133250311332503E-4</v>
      </c>
      <c r="S22" s="378">
        <v>52.218244084682439</v>
      </c>
      <c r="T22" s="340">
        <f>IF($AE22&lt;1," ",IF(S22&lt;1," ",(S22)/$AE22))</f>
        <v>3.1133250311332503E-4</v>
      </c>
      <c r="U22" s="390">
        <v>52.218244084682439</v>
      </c>
      <c r="V22" s="340">
        <f>IF($AE22&lt;1," ",IF(U22&lt;1," ",(U22)/$AE22))</f>
        <v>3.1133250311332503E-4</v>
      </c>
      <c r="W22" s="390">
        <v>52.218244084682439</v>
      </c>
      <c r="X22" s="340">
        <f>IF($AE22&lt;1," ",IF(W22&lt;1," ",(W22)/$AE22))</f>
        <v>3.1133250311332503E-4</v>
      </c>
      <c r="Y22" s="390">
        <v>52.218244084682439</v>
      </c>
      <c r="Z22" s="340">
        <f>IF($AE22&lt;1," ",IF(Y22&lt;1," ",(Y22)/$AE22))</f>
        <v>3.1133250311332503E-4</v>
      </c>
      <c r="AA22" s="390">
        <v>52</v>
      </c>
      <c r="AB22" s="340">
        <f>IF($AE22&lt;1," ",IF(AA22&lt;1," ",(AA22)/$AE22))</f>
        <v>3.1003130123714412E-4</v>
      </c>
      <c r="AC22" s="1600">
        <f t="shared" si="0"/>
        <v>0.21824408471002243</v>
      </c>
      <c r="AD22" s="379">
        <f>+E22+G22+I22+K22+M22+O22+Q22+S22+U22+W22+Y22+AA22+AC22</f>
        <v>167725</v>
      </c>
      <c r="AE22" s="379">
        <f>'Budget-Summary MYP'!H25</f>
        <v>167725</v>
      </c>
      <c r="AF22" s="379">
        <f t="shared" si="1"/>
        <v>0</v>
      </c>
      <c r="AG22" s="1212"/>
    </row>
    <row r="23" spans="1:33" ht="16.5" thickBot="1">
      <c r="A23" s="405" t="s">
        <v>254</v>
      </c>
      <c r="B23" s="382"/>
      <c r="C23" s="383"/>
      <c r="D23" s="383"/>
      <c r="E23" s="770">
        <f>SUM(E10:E22)</f>
        <v>394825.71964024019</v>
      </c>
      <c r="F23" s="384">
        <f>IF($AE23&lt;1," ",IF(E23&lt;1," ",(E23)/$AE23))</f>
        <v>3.2342243521160448E-2</v>
      </c>
      <c r="G23" s="771">
        <f>SUM(G10:G22)</f>
        <v>412547.8596402402</v>
      </c>
      <c r="H23" s="384">
        <f>IF($AE23&lt;1," ",IF(G23&lt;1," ",(G23)/$AE23))</f>
        <v>3.3793956869820632E-2</v>
      </c>
      <c r="I23" s="771">
        <f>SUM(I10:I22)</f>
        <v>1377131.7482571646</v>
      </c>
      <c r="J23" s="384">
        <f>IF($AE23&lt;1," ",IF(I23&lt;1," ",(I23)/$AE23))</f>
        <v>0.11280807745614561</v>
      </c>
      <c r="K23" s="771">
        <f>SUM(K10:K22)</f>
        <v>838386.94609049801</v>
      </c>
      <c r="L23" s="384">
        <f>IF($AE23&lt;1," ",IF(K23&lt;1," ",(K23)/$AE23))</f>
        <v>6.8676667771613284E-2</v>
      </c>
      <c r="M23" s="771">
        <f>SUM(M10:M22)</f>
        <v>838386.94609049801</v>
      </c>
      <c r="N23" s="533">
        <f>IF($AE23&lt;1," ",IF(M23&lt;1," ",(M23)/$AE23))</f>
        <v>6.8676667771613284E-2</v>
      </c>
      <c r="O23" s="771">
        <f>SUM(O10:O22)</f>
        <v>1532415.3693281484</v>
      </c>
      <c r="P23" s="384">
        <f>IF($AE23&lt;1," ",IF(O23&lt;1," ",(O23)/$AE23))</f>
        <v>0.1255281725201185</v>
      </c>
      <c r="Q23" s="771">
        <f>SUM(Q10:Q22)</f>
        <v>838386.85357741802</v>
      </c>
      <c r="R23" s="533">
        <f>IF($AE23&lt;1," ",IF(Q23&lt;1," ",(Q23)/$AE23))</f>
        <v>6.8676660193382144E-2</v>
      </c>
      <c r="S23" s="772">
        <f>SUM(S10:S22)</f>
        <v>906626.22346587596</v>
      </c>
      <c r="T23" s="384">
        <f>IF($AE23&lt;1," ",IF(S23&lt;1," ",(S23)/$AE23))</f>
        <v>7.426650454464187E-2</v>
      </c>
      <c r="U23" s="771">
        <f>SUM(U10:U22)</f>
        <v>1386860.4154010431</v>
      </c>
      <c r="V23" s="384">
        <f>IF($AE23&lt;1," ",IF(U23&lt;1," ",(U23)/$AE23))</f>
        <v>0.11360500355860503</v>
      </c>
      <c r="W23" s="771">
        <f>SUM(W10:W22)</f>
        <v>817541.97757972998</v>
      </c>
      <c r="X23" s="384">
        <f>IF($AE23&lt;1," ",IF(W23&lt;1," ",(W23)/$AE23))</f>
        <v>6.6969147176499877E-2</v>
      </c>
      <c r="Y23" s="771">
        <f>SUM(Y10:Y22)</f>
        <v>817542.34746818792</v>
      </c>
      <c r="Z23" s="384">
        <f>IF($AE23&lt;1," ",IF(Y23&lt;1," ",(Y23)/$AE23))</f>
        <v>6.6969177476001632E-2</v>
      </c>
      <c r="AA23" s="771">
        <f>SUM(AA10:AA22)</f>
        <v>1681657.6781829384</v>
      </c>
      <c r="AB23" s="384">
        <f>IF($AE23&lt;1," ",IF(AA23&lt;1," ",(AA23)/$AE23))</f>
        <v>0.13775339204492554</v>
      </c>
      <c r="AC23" s="1602">
        <f>SUM(AC10:AC22)</f>
        <v>365430.52492121747</v>
      </c>
      <c r="AD23" s="773">
        <f>SUM(AD10:AD22)</f>
        <v>12207740.609643202</v>
      </c>
      <c r="AE23" s="773">
        <f>SUM(AE10:AE22)</f>
        <v>12207740.609643202</v>
      </c>
      <c r="AF23" s="773">
        <f>SUM(AF10:AF22)</f>
        <v>0</v>
      </c>
      <c r="AG23" s="1212"/>
    </row>
    <row r="24" spans="1:33" ht="15.75">
      <c r="A24" s="407"/>
      <c r="B24" s="370"/>
      <c r="C24" s="71"/>
      <c r="D24" s="71"/>
      <c r="E24" s="72"/>
      <c r="F24" s="195"/>
      <c r="G24" s="73"/>
      <c r="H24" s="195"/>
      <c r="I24" s="73"/>
      <c r="J24" s="195"/>
      <c r="K24" s="73"/>
      <c r="L24" s="195"/>
      <c r="M24" s="73"/>
      <c r="N24" s="195"/>
      <c r="O24" s="73"/>
      <c r="P24" s="195"/>
      <c r="Q24" s="73"/>
      <c r="R24" s="195"/>
      <c r="S24" s="73"/>
      <c r="T24" s="195"/>
      <c r="U24" s="73"/>
      <c r="V24" s="195"/>
      <c r="W24" s="73"/>
      <c r="X24" s="195"/>
      <c r="Y24" s="73"/>
      <c r="Z24" s="195"/>
      <c r="AA24" s="73"/>
      <c r="AB24" s="195"/>
      <c r="AC24" s="1023"/>
      <c r="AD24" s="1023"/>
      <c r="AE24" s="1023"/>
      <c r="AF24" s="1039"/>
      <c r="AG24" s="1212"/>
    </row>
    <row r="25" spans="1:33" ht="15.75">
      <c r="A25" s="66" t="s">
        <v>255</v>
      </c>
      <c r="B25" s="180"/>
      <c r="C25" s="373"/>
      <c r="D25" s="373"/>
      <c r="E25" s="545"/>
      <c r="F25" s="482"/>
      <c r="G25" s="525"/>
      <c r="H25" s="482"/>
      <c r="I25" s="525"/>
      <c r="J25" s="482"/>
      <c r="K25" s="525"/>
      <c r="L25" s="482"/>
      <c r="M25" s="525"/>
      <c r="N25" s="482"/>
      <c r="O25" s="525"/>
      <c r="P25" s="482"/>
      <c r="Q25" s="525"/>
      <c r="R25" s="482"/>
      <c r="S25" s="525"/>
      <c r="T25" s="482"/>
      <c r="U25" s="525"/>
      <c r="V25" s="482"/>
      <c r="W25" s="525"/>
      <c r="X25" s="482"/>
      <c r="Y25" s="525"/>
      <c r="Z25" s="482"/>
      <c r="AA25" s="525"/>
      <c r="AB25" s="482"/>
      <c r="AC25" s="1027"/>
      <c r="AD25" s="1027"/>
      <c r="AE25" s="1027"/>
      <c r="AF25" s="1035"/>
      <c r="AG25" s="1212"/>
    </row>
    <row r="26" spans="1:33" ht="15.75">
      <c r="A26" s="406" t="s">
        <v>256</v>
      </c>
      <c r="B26" s="140"/>
      <c r="C26" s="278" t="s">
        <v>257</v>
      </c>
      <c r="D26" s="376"/>
      <c r="E26" s="377">
        <v>125814.04769600002</v>
      </c>
      <c r="F26" s="340">
        <f>IF($AE$26&lt;1," ",IF(E26&lt;1," ",(E26)/$AE$26))</f>
        <v>4.0000000000000008E-2</v>
      </c>
      <c r="G26" s="390">
        <v>255719.60913821141</v>
      </c>
      <c r="H26" s="340">
        <f>IF($AE$26&lt;1," ",IF(G26&lt;1," ",(G26)/$AE$26))</f>
        <v>8.1300813008130093E-2</v>
      </c>
      <c r="I26" s="390">
        <v>255719.60913821141</v>
      </c>
      <c r="J26" s="340">
        <f>IF($AE$26&lt;1," ",IF(I26&lt;1," ",(I26)/$AE$26))</f>
        <v>8.1300813008130093E-2</v>
      </c>
      <c r="K26" s="390">
        <v>255719.60913821141</v>
      </c>
      <c r="L26" s="340">
        <f>IF($AE$26&lt;1," ",IF(K26&lt;1," ",(K26)/$AE$26))</f>
        <v>8.1300813008130093E-2</v>
      </c>
      <c r="M26" s="390">
        <v>255719.60913821141</v>
      </c>
      <c r="N26" s="531">
        <f>IF($AE$26&lt;1," ",IF(M26&lt;1," ",(M26)/$AE$26))</f>
        <v>8.1300813008130093E-2</v>
      </c>
      <c r="O26" s="390">
        <v>255719.60913821141</v>
      </c>
      <c r="P26" s="531">
        <f>IF($AE$26&lt;1," ",IF(O26&lt;1," ",(O26)/$AE$26))</f>
        <v>8.1300813008130093E-2</v>
      </c>
      <c r="Q26" s="390">
        <v>255719.60913821141</v>
      </c>
      <c r="R26" s="531">
        <f>IF($AE$26&lt;1," ",IF(Q26&lt;1," ",(Q26)/$AE$26))</f>
        <v>8.1300813008130093E-2</v>
      </c>
      <c r="S26" s="378">
        <v>255719.60913821141</v>
      </c>
      <c r="T26" s="340">
        <f>IF($AE$26&lt;1," ",IF(S26&lt;1," ",(S26)/$AE$26))</f>
        <v>8.1300813008130093E-2</v>
      </c>
      <c r="U26" s="390">
        <v>255719.60913821141</v>
      </c>
      <c r="V26" s="340">
        <f>IF($AE$26&lt;1," ",IF(U26&lt;1," ",(U26)/$AE$26))</f>
        <v>8.1300813008130093E-2</v>
      </c>
      <c r="W26" s="390">
        <v>255719.60913821141</v>
      </c>
      <c r="X26" s="340">
        <f>IF($AE$26&lt;1," ",IF(W26&lt;1," ",(W26)/$AE$26))</f>
        <v>8.1300813008130093E-2</v>
      </c>
      <c r="Y26" s="390">
        <v>255719.60913821141</v>
      </c>
      <c r="Z26" s="340">
        <f>IF($AE$26&lt;1," ",IF(Y26&lt;1," ",(Y26)/$AE$26))</f>
        <v>8.1300813008130093E-2</v>
      </c>
      <c r="AA26" s="390">
        <v>255719.60913821141</v>
      </c>
      <c r="AB26" s="340">
        <f>IF($AE$26&lt;1," ",IF(AA26&lt;1," ",(AA26)/$AE$26))</f>
        <v>8.1300813008130093E-2</v>
      </c>
      <c r="AC26" s="1603">
        <f t="shared" ref="AC26:AC33" si="2">AE26-(E26+G26+I26+K26+M26+O26+Q26+S26+U26+W26+Y26+AA26)</f>
        <v>206621.44418367464</v>
      </c>
      <c r="AD26" s="387">
        <f t="shared" ref="AD26:AD33" si="3">+E26+G26+I26+K26+M26+O26+Q26+S26+U26+W26+Y26+AA26+AC26</f>
        <v>3145351.1924000001</v>
      </c>
      <c r="AE26" s="387">
        <f>'Budget-Summary MYP'!H29</f>
        <v>3145351.1924000001</v>
      </c>
      <c r="AF26" s="387">
        <f t="shared" ref="AF26:AF33" si="4">+AE26-AD26</f>
        <v>0</v>
      </c>
      <c r="AG26" s="1212"/>
    </row>
    <row r="27" spans="1:33" ht="15.75">
      <c r="A27" s="406" t="s">
        <v>258</v>
      </c>
      <c r="B27" s="140"/>
      <c r="C27" s="278" t="s">
        <v>259</v>
      </c>
      <c r="D27" s="376"/>
      <c r="E27" s="377">
        <v>127225.721046875</v>
      </c>
      <c r="F27" s="340">
        <f>IF($AE$27&lt;1," ",IF(E27&lt;1," ",(E27)/$AE$27))</f>
        <v>6.2499999999999993E-2</v>
      </c>
      <c r="G27" s="390">
        <v>159032.15130859375</v>
      </c>
      <c r="H27" s="340">
        <f>IF($AE$27&lt;1," ",IF(G27&lt;1," ",(G27)/$AE$27))</f>
        <v>7.8124999999999986E-2</v>
      </c>
      <c r="I27" s="390">
        <v>159032.15130859375</v>
      </c>
      <c r="J27" s="340">
        <f>IF($AE$27&lt;1," ",IF(I27&lt;1," ",(I27)/$AE$27))</f>
        <v>7.8124999999999986E-2</v>
      </c>
      <c r="K27" s="390">
        <v>159032.15130859375</v>
      </c>
      <c r="L27" s="340">
        <f>IF($AE$27&lt;1," ",IF(K27&lt;1," ",(K27)/$AE$27))</f>
        <v>7.8124999999999986E-2</v>
      </c>
      <c r="M27" s="390">
        <v>159032.15130859375</v>
      </c>
      <c r="N27" s="531">
        <f>IF($AE$27&lt;1," ",IF(M27&lt;1," ",(M27)/$AE$27))</f>
        <v>7.8124999999999986E-2</v>
      </c>
      <c r="O27" s="390">
        <v>159032.15130859375</v>
      </c>
      <c r="P27" s="531">
        <f>IF($AE$27&lt;1," ",IF(O27&lt;1," ",(O27)/$AE$27))</f>
        <v>7.8124999999999986E-2</v>
      </c>
      <c r="Q27" s="390">
        <v>159032.15130859375</v>
      </c>
      <c r="R27" s="531">
        <f>IF($AE$27&lt;1," ",IF(Q27&lt;1," ",(Q27)/$AE$27))</f>
        <v>7.8124999999999986E-2</v>
      </c>
      <c r="S27" s="378">
        <v>159032.15130859375</v>
      </c>
      <c r="T27" s="340">
        <f>IF($AE$27&lt;1," ",IF(S27&lt;1," ",(S27)/$AE$27))</f>
        <v>7.8124999999999986E-2</v>
      </c>
      <c r="U27" s="390">
        <v>159032.15130859375</v>
      </c>
      <c r="V27" s="340">
        <f>IF($AE$27&lt;1," ",IF(U27&lt;1," ",(U27)/$AE$27))</f>
        <v>7.8124999999999986E-2</v>
      </c>
      <c r="W27" s="390">
        <v>159032.15130859375</v>
      </c>
      <c r="X27" s="340">
        <f>IF($AE$27&lt;1," ",IF(W27&lt;1," ",(W27)/$AE$27))</f>
        <v>7.8124999999999986E-2</v>
      </c>
      <c r="Y27" s="390">
        <v>159032.15130859375</v>
      </c>
      <c r="Z27" s="340">
        <f>IF($AE$27&lt;1," ",IF(Y27&lt;1," ",(Y27)/$AE$27))</f>
        <v>7.8124999999999986E-2</v>
      </c>
      <c r="AA27" s="390">
        <v>159032.15130859375</v>
      </c>
      <c r="AB27" s="340">
        <f>IF($AE$27&lt;1," ",IF(AA27&lt;1," ",(AA27)/$AE$27))</f>
        <v>7.8124999999999986E-2</v>
      </c>
      <c r="AC27" s="1603">
        <f t="shared" si="2"/>
        <v>159032.15130859357</v>
      </c>
      <c r="AD27" s="387">
        <f t="shared" si="3"/>
        <v>2035611.5367500002</v>
      </c>
      <c r="AE27" s="387">
        <f>'Budget-Summary MYP'!H30</f>
        <v>2035611.5367500002</v>
      </c>
      <c r="AF27" s="387">
        <f t="shared" si="4"/>
        <v>0</v>
      </c>
      <c r="AG27" s="1212"/>
    </row>
    <row r="28" spans="1:33" ht="15.75">
      <c r="A28" s="406" t="s">
        <v>260</v>
      </c>
      <c r="B28" s="140"/>
      <c r="C28" s="278" t="s">
        <v>261</v>
      </c>
      <c r="D28" s="376"/>
      <c r="E28" s="377">
        <v>100371.47594646712</v>
      </c>
      <c r="F28" s="340">
        <f>IF($AE$28&lt;1," ",IF(E28&lt;1," ",(E28)/$AE$28))</f>
        <v>4.8812789970927209E-2</v>
      </c>
      <c r="G28" s="390">
        <v>164617.31485548761</v>
      </c>
      <c r="H28" s="340">
        <f>IF($AE$28&lt;1," ",IF(G28&lt;1," ",(G28)/$AE$28))</f>
        <v>8.0056911984681678E-2</v>
      </c>
      <c r="I28" s="390">
        <v>164617.31485548761</v>
      </c>
      <c r="J28" s="340">
        <f>IF($AE$28&lt;1," ",IF(I28&lt;1," ",(I28)/$AE$28))</f>
        <v>8.0056911984681678E-2</v>
      </c>
      <c r="K28" s="390">
        <v>164617.31485548761</v>
      </c>
      <c r="L28" s="340">
        <f>IF($AE$28&lt;1," ",IF(K28&lt;1," ",(K28)/$AE$28))</f>
        <v>8.0056911984681678E-2</v>
      </c>
      <c r="M28" s="390">
        <v>164617.31485548761</v>
      </c>
      <c r="N28" s="531">
        <f>IF($AE$28&lt;1," ",IF(M28&lt;1," ",(M28)/$AE$28))</f>
        <v>8.0056911984681678E-2</v>
      </c>
      <c r="O28" s="390">
        <v>164617.31485548761</v>
      </c>
      <c r="P28" s="531">
        <f>IF($AE$28&lt;1," ",IF(O28&lt;1," ",(O28)/$AE$28))</f>
        <v>8.0056911984681678E-2</v>
      </c>
      <c r="Q28" s="390">
        <v>164617.31485548761</v>
      </c>
      <c r="R28" s="531">
        <f>IF($AE$28&lt;1," ",IF(Q28&lt;1," ",(Q28)/$AE$28))</f>
        <v>8.0056911984681678E-2</v>
      </c>
      <c r="S28" s="378">
        <v>164617.31485548761</v>
      </c>
      <c r="T28" s="340">
        <f>IF($AE$28&lt;1," ",IF(S28&lt;1," ",(S28)/$AE$28))</f>
        <v>8.0056911984681678E-2</v>
      </c>
      <c r="U28" s="390">
        <v>164617.31485548761</v>
      </c>
      <c r="V28" s="340">
        <f>IF($AE$28&lt;1," ",IF(U28&lt;1," ",(U28)/$AE$28))</f>
        <v>8.0056911984681678E-2</v>
      </c>
      <c r="W28" s="390">
        <v>164617.31485548761</v>
      </c>
      <c r="X28" s="340">
        <f>IF($AE$28&lt;1," ",IF(W28&lt;1," ",(W28)/$AE$28))</f>
        <v>8.0056911984681678E-2</v>
      </c>
      <c r="Y28" s="390">
        <v>164617.31485548761</v>
      </c>
      <c r="Z28" s="340">
        <f>IF($AE$28&lt;1," ",IF(Y28&lt;1," ",(Y28)/$AE$28))</f>
        <v>8.0056911984681678E-2</v>
      </c>
      <c r="AA28" s="390">
        <v>164617.31485548761</v>
      </c>
      <c r="AB28" s="340">
        <f>IF($AE$28&lt;1," ",IF(AA28&lt;1," ",(AA28)/$AE$28))</f>
        <v>8.0056911984681678E-2</v>
      </c>
      <c r="AC28" s="1603">
        <f t="shared" si="2"/>
        <v>145091.67790717259</v>
      </c>
      <c r="AD28" s="387">
        <f t="shared" si="3"/>
        <v>2056253.617264003</v>
      </c>
      <c r="AE28" s="387">
        <f>'Budget-Summary MYP'!H31</f>
        <v>2056253.617264003</v>
      </c>
      <c r="AF28" s="387">
        <f t="shared" si="4"/>
        <v>0</v>
      </c>
      <c r="AG28" s="1212"/>
    </row>
    <row r="29" spans="1:33" ht="15.75">
      <c r="A29" s="406" t="s">
        <v>262</v>
      </c>
      <c r="B29" s="140"/>
      <c r="C29" s="278" t="s">
        <v>263</v>
      </c>
      <c r="D29" s="376"/>
      <c r="E29" s="377">
        <v>54436.240062500001</v>
      </c>
      <c r="F29" s="340">
        <f>IF($AE$29&lt;1," ",IF(E29&lt;1," ",(E29)/$AE$29))</f>
        <v>0.12500000000000003</v>
      </c>
      <c r="G29" s="390">
        <v>62212.845785714286</v>
      </c>
      <c r="H29" s="340">
        <f>IF($AE$29&lt;1," ",IF(G29&lt;1," ",(G29)/$AE$29))</f>
        <v>0.14285714285714288</v>
      </c>
      <c r="I29" s="390">
        <v>108872.480125</v>
      </c>
      <c r="J29" s="340">
        <f>IF($AE$29&lt;1," ",IF(I29&lt;1," ",(I29)/$AE$29))</f>
        <v>0.25000000000000006</v>
      </c>
      <c r="K29" s="390">
        <v>36290.826708333341</v>
      </c>
      <c r="L29" s="340">
        <f>IF($AE$29&lt;1," ",IF(K29&lt;1," ",(K29)/$AE$29))</f>
        <v>8.3333333333333356E-2</v>
      </c>
      <c r="M29" s="390">
        <v>27218.12003125</v>
      </c>
      <c r="N29" s="531">
        <f>IF($AE$29&lt;1," ",IF(M29&lt;1," ",(M29)/$AE$29))</f>
        <v>6.2500000000000014E-2</v>
      </c>
      <c r="O29" s="390">
        <v>19794.996386363637</v>
      </c>
      <c r="P29" s="531">
        <f>IF($AE$29&lt;1," ",IF(O29&lt;1," ",(O29)/$AE$29))</f>
        <v>4.5454545454545463E-2</v>
      </c>
      <c r="Q29" s="390">
        <v>19794.996386363637</v>
      </c>
      <c r="R29" s="531">
        <f>IF($AE$29&lt;1," ",IF(Q29&lt;1," ",(Q29)/$AE$29))</f>
        <v>4.5454545454545463E-2</v>
      </c>
      <c r="S29" s="378">
        <v>19794.996386363637</v>
      </c>
      <c r="T29" s="340">
        <f>IF($AE$29&lt;1," ",IF(S29&lt;1," ",(S29)/$AE$29))</f>
        <v>4.5454545454545463E-2</v>
      </c>
      <c r="U29" s="390">
        <v>19794.996386363637</v>
      </c>
      <c r="V29" s="340">
        <f>IF($AE$29&lt;1," ",IF(U29&lt;1," ",(U29)/$AE$29))</f>
        <v>4.5454545454545463E-2</v>
      </c>
      <c r="W29" s="390">
        <v>19794.996386363637</v>
      </c>
      <c r="X29" s="340">
        <f>IF($AE$29&lt;1," ",IF(W29&lt;1," ",(W29)/$AE$29))</f>
        <v>4.5454545454545463E-2</v>
      </c>
      <c r="Y29" s="390">
        <v>19794.996386363637</v>
      </c>
      <c r="Z29" s="340">
        <f>IF($AE$29&lt;1," ",IF(Y29&lt;1," ",(Y29)/$AE$29))</f>
        <v>4.5454545454545463E-2</v>
      </c>
      <c r="AA29" s="390">
        <v>19794.996386363637</v>
      </c>
      <c r="AB29" s="340">
        <f>IF($AE$29&lt;1," ",IF(AA29&lt;1," ",(AA29)/$AE$29))</f>
        <v>4.5454545454545463E-2</v>
      </c>
      <c r="AC29" s="1603">
        <f t="shared" si="2"/>
        <v>7894.4330826568766</v>
      </c>
      <c r="AD29" s="387">
        <f t="shared" si="3"/>
        <v>435489.92049999995</v>
      </c>
      <c r="AE29" s="387">
        <f>'Budget-Summary MYP'!H32</f>
        <v>435489.92049999995</v>
      </c>
      <c r="AF29" s="387">
        <f t="shared" si="4"/>
        <v>0</v>
      </c>
      <c r="AG29" s="1212"/>
    </row>
    <row r="30" spans="1:33" ht="15.75">
      <c r="A30" s="406" t="s">
        <v>264</v>
      </c>
      <c r="B30" s="140"/>
      <c r="C30" s="278" t="s">
        <v>265</v>
      </c>
      <c r="D30" s="376"/>
      <c r="E30" s="377">
        <v>289504.02299242426</v>
      </c>
      <c r="F30" s="340">
        <f>IF($AE$30&lt;1," ",IF(E30&lt;1," ",(E30)/$AE$30))</f>
        <v>7.575757575757576E-2</v>
      </c>
      <c r="G30" s="390">
        <v>289504.02299242426</v>
      </c>
      <c r="H30" s="340">
        <f>IF($AE$30&lt;1," ",IF(G30&lt;1," ",(G30)/$AE$30))</f>
        <v>7.575757575757576E-2</v>
      </c>
      <c r="I30" s="390">
        <v>289504.02299242426</v>
      </c>
      <c r="J30" s="340">
        <f>IF($AE$30&lt;1," ",IF(I30&lt;1," ",(I30)/$AE$30))</f>
        <v>7.575757575757576E-2</v>
      </c>
      <c r="K30" s="390">
        <v>289504.02299242426</v>
      </c>
      <c r="L30" s="340">
        <f>IF($AE$30&lt;1," ",IF(K30&lt;1," ",(K30)/$AE$30))</f>
        <v>7.575757575757576E-2</v>
      </c>
      <c r="M30" s="390">
        <v>289504.02299242426</v>
      </c>
      <c r="N30" s="531">
        <f>IF($AE$30&lt;1," ",IF(M30&lt;1," ",(M30)/$AE$30))</f>
        <v>7.575757575757576E-2</v>
      </c>
      <c r="O30" s="390">
        <v>289504.02299242426</v>
      </c>
      <c r="P30" s="531">
        <f>IF($AE$30&lt;1," ",IF(O30&lt;1," ",(O30)/$AE$30))</f>
        <v>7.575757575757576E-2</v>
      </c>
      <c r="Q30" s="390">
        <v>289504.02299242426</v>
      </c>
      <c r="R30" s="531">
        <f>IF($AE$30&lt;1," ",IF(Q30&lt;1," ",(Q30)/$AE$30))</f>
        <v>7.575757575757576E-2</v>
      </c>
      <c r="S30" s="378">
        <v>289504.02299242426</v>
      </c>
      <c r="T30" s="340">
        <f>IF($AE$30&lt;1," ",IF(S30&lt;1," ",(S30)/$AE$30))</f>
        <v>7.575757575757576E-2</v>
      </c>
      <c r="U30" s="390">
        <v>289504.02299242426</v>
      </c>
      <c r="V30" s="340">
        <f>IF($AE$30&lt;1," ",IF(U30&lt;1," ",(U30)/$AE$30))</f>
        <v>7.575757575757576E-2</v>
      </c>
      <c r="W30" s="390">
        <v>289504.02299242426</v>
      </c>
      <c r="X30" s="340">
        <f>IF($AE$30&lt;1," ",IF(W30&lt;1," ",(W30)/$AE$30))</f>
        <v>7.575757575757576E-2</v>
      </c>
      <c r="Y30" s="390">
        <v>289504.02299242426</v>
      </c>
      <c r="Z30" s="340">
        <f>IF($AE$30&lt;1," ",IF(Y30&lt;1," ",(Y30)/$AE$30))</f>
        <v>7.575757575757576E-2</v>
      </c>
      <c r="AA30" s="390">
        <v>289504.02299242426</v>
      </c>
      <c r="AB30" s="340">
        <f>IF($AE$30&lt;1," ",IF(AA30&lt;1," ",(AA30)/$AE$30))</f>
        <v>7.575757575757576E-2</v>
      </c>
      <c r="AC30" s="1603">
        <f t="shared" si="2"/>
        <v>347404.82759090932</v>
      </c>
      <c r="AD30" s="387">
        <f t="shared" si="3"/>
        <v>3821453.1035000002</v>
      </c>
      <c r="AE30" s="387">
        <f>'Budget-Summary MYP'!H33</f>
        <v>3821453.1035000002</v>
      </c>
      <c r="AF30" s="387">
        <f t="shared" si="4"/>
        <v>0</v>
      </c>
      <c r="AG30" s="1212"/>
    </row>
    <row r="31" spans="1:33" ht="15.75">
      <c r="A31" s="406" t="s">
        <v>266</v>
      </c>
      <c r="B31" s="140"/>
      <c r="C31" s="278" t="s">
        <v>267</v>
      </c>
      <c r="D31" s="376"/>
      <c r="E31" s="377">
        <v>0</v>
      </c>
      <c r="F31" s="340" t="str">
        <f>IF($AE$31&lt;1," ",IF(E31&lt;1," ",(E31)/$AE$31))</f>
        <v xml:space="preserve"> </v>
      </c>
      <c r="G31" s="390">
        <v>0</v>
      </c>
      <c r="H31" s="340" t="str">
        <f>IF($AE$31&lt;1," ",IF(G31&lt;1," ",(G31)/$AE$31))</f>
        <v xml:space="preserve"> </v>
      </c>
      <c r="I31" s="390">
        <v>0</v>
      </c>
      <c r="J31" s="340" t="str">
        <f>IF($AE$31&lt;1," ",IF(I31&lt;1," ",(I31)/$AE$31))</f>
        <v xml:space="preserve"> </v>
      </c>
      <c r="K31" s="390">
        <v>0</v>
      </c>
      <c r="L31" s="340" t="str">
        <f>IF($AE$31&lt;1," ",IF(K31&lt;1," ",(K31)/$AE$31))</f>
        <v xml:space="preserve"> </v>
      </c>
      <c r="M31" s="390">
        <v>0</v>
      </c>
      <c r="N31" s="531" t="str">
        <f>IF($AE$31&lt;1," ",IF(M31&lt;1," ",(M31)/$AE$31))</f>
        <v xml:space="preserve"> </v>
      </c>
      <c r="O31" s="390">
        <v>0</v>
      </c>
      <c r="P31" s="531" t="str">
        <f>IF($AE$31&lt;1," ",IF(O31&lt;1," ",(O31)/$AE$31))</f>
        <v xml:space="preserve"> </v>
      </c>
      <c r="Q31" s="390">
        <v>0</v>
      </c>
      <c r="R31" s="531" t="str">
        <f>IF($AE$31&lt;1," ",IF(Q31&lt;1," ",(Q31)/$AE$31))</f>
        <v xml:space="preserve"> </v>
      </c>
      <c r="S31" s="378">
        <v>0</v>
      </c>
      <c r="T31" s="340" t="str">
        <f>IF($AE$31&lt;1," ",IF(S31&lt;1," ",(S31)/$AE$31))</f>
        <v xml:space="preserve"> </v>
      </c>
      <c r="U31" s="390">
        <v>0</v>
      </c>
      <c r="V31" s="340" t="str">
        <f>IF($AE$31&lt;1," ",IF(U31&lt;1," ",(U31)/$AE$31))</f>
        <v xml:space="preserve"> </v>
      </c>
      <c r="W31" s="390">
        <v>0</v>
      </c>
      <c r="X31" s="340" t="str">
        <f>IF($AE$31&lt;1," ",IF(W31&lt;1," ",(W31)/$AE$31))</f>
        <v xml:space="preserve"> </v>
      </c>
      <c r="Y31" s="390">
        <v>0</v>
      </c>
      <c r="Z31" s="340" t="str">
        <f>IF($AE$31&lt;1," ",IF(Y31&lt;1," ",(Y31)/$AE$31))</f>
        <v xml:space="preserve"> </v>
      </c>
      <c r="AA31" s="390">
        <v>0</v>
      </c>
      <c r="AB31" s="340" t="str">
        <f>IF($AE$31&lt;1," ",IF(AA31&lt;1," ",(AA31)/$AE$31))</f>
        <v xml:space="preserve"> </v>
      </c>
      <c r="AC31" s="1603">
        <f t="shared" si="2"/>
        <v>210367.49428571429</v>
      </c>
      <c r="AD31" s="387">
        <f t="shared" si="3"/>
        <v>210367.49428571429</v>
      </c>
      <c r="AE31" s="387">
        <f>'Budget-Summary MYP'!H34</f>
        <v>210367.49428571429</v>
      </c>
      <c r="AF31" s="387">
        <f t="shared" si="4"/>
        <v>0</v>
      </c>
      <c r="AG31" s="1212"/>
    </row>
    <row r="32" spans="1:33" ht="15.75">
      <c r="A32" s="406" t="s">
        <v>268</v>
      </c>
      <c r="B32" s="140"/>
      <c r="C32" s="278" t="s">
        <v>269</v>
      </c>
      <c r="D32" s="376"/>
      <c r="E32" s="377">
        <v>4069.0657196969701</v>
      </c>
      <c r="F32" s="340">
        <f>IF($AE$32&lt;1," ",IF(E32&lt;1," ",(E32)/$AE$32))</f>
        <v>7.575757575757576E-2</v>
      </c>
      <c r="G32" s="390">
        <v>4069.0657196969701</v>
      </c>
      <c r="H32" s="340">
        <f>IF($AE$32&lt;1," ",IF(G32&lt;1," ",(G32)/$AE$32))</f>
        <v>7.575757575757576E-2</v>
      </c>
      <c r="I32" s="390">
        <v>4069.0657196969701</v>
      </c>
      <c r="J32" s="340">
        <f>IF($AE$32&lt;1," ",IF(I32&lt;1," ",(I32)/$AE$32))</f>
        <v>7.575757575757576E-2</v>
      </c>
      <c r="K32" s="390">
        <v>4069.0657196969701</v>
      </c>
      <c r="L32" s="340">
        <f>IF($AE$32&lt;1," ",IF(K32&lt;1," ",(K32)/$AE$32))</f>
        <v>7.575757575757576E-2</v>
      </c>
      <c r="M32" s="390">
        <v>4069.0657196969701</v>
      </c>
      <c r="N32" s="531">
        <f>IF($AE$32&lt;1," ",IF(M32&lt;1," ",(M32)/$AE$32))</f>
        <v>7.575757575757576E-2</v>
      </c>
      <c r="O32" s="390">
        <v>4069.0657196969701</v>
      </c>
      <c r="P32" s="531">
        <f>IF($AE$32&lt;1," ",IF(O32&lt;1," ",(O32)/$AE$32))</f>
        <v>7.575757575757576E-2</v>
      </c>
      <c r="Q32" s="390">
        <v>4069.0657196969701</v>
      </c>
      <c r="R32" s="531">
        <f>IF($AE$32&lt;1," ",IF(Q32&lt;1," ",(Q32)/$AE$32))</f>
        <v>7.575757575757576E-2</v>
      </c>
      <c r="S32" s="378">
        <v>4069.0657196969701</v>
      </c>
      <c r="T32" s="340">
        <f>IF($AE$32&lt;1," ",IF(S32&lt;1," ",(S32)/$AE$32))</f>
        <v>7.575757575757576E-2</v>
      </c>
      <c r="U32" s="390">
        <v>4069.0657196969701</v>
      </c>
      <c r="V32" s="340">
        <f>IF($AE$32&lt;1," ",IF(U32&lt;1," ",(U32)/$AE$32))</f>
        <v>7.575757575757576E-2</v>
      </c>
      <c r="W32" s="390">
        <v>4069.0657196969701</v>
      </c>
      <c r="X32" s="340">
        <f>IF($AE$32&lt;1," ",IF(W32&lt;1," ",(W32)/$AE$32))</f>
        <v>7.575757575757576E-2</v>
      </c>
      <c r="Y32" s="390">
        <v>4069.0657196969701</v>
      </c>
      <c r="Z32" s="340">
        <f>IF($AE$32&lt;1," ",IF(Y32&lt;1," ",(Y32)/$AE$32))</f>
        <v>7.575757575757576E-2</v>
      </c>
      <c r="AA32" s="390">
        <v>4069.0657196969701</v>
      </c>
      <c r="AB32" s="340">
        <f>IF($AE$32&lt;1," ",IF(AA32&lt;1," ",(AA32)/$AE$32))</f>
        <v>7.575757575757576E-2</v>
      </c>
      <c r="AC32" s="1603">
        <f t="shared" si="2"/>
        <v>4882.8788636363606</v>
      </c>
      <c r="AD32" s="387">
        <f t="shared" si="3"/>
        <v>53711.667500000003</v>
      </c>
      <c r="AE32" s="387">
        <f>'Budget-Summary MYP'!H35</f>
        <v>53711.667500000003</v>
      </c>
      <c r="AF32" s="387">
        <f t="shared" si="4"/>
        <v>0</v>
      </c>
      <c r="AG32" s="1212"/>
    </row>
    <row r="33" spans="1:33" ht="15.75">
      <c r="A33" s="406" t="s">
        <v>270</v>
      </c>
      <c r="B33" s="140"/>
      <c r="C33" s="278" t="s">
        <v>271</v>
      </c>
      <c r="D33" s="376"/>
      <c r="E33" s="377"/>
      <c r="F33" s="340" t="str">
        <f>IF($AE33&lt;1," ",IF(E33&lt;1," ",(E33)/$AE33))</f>
        <v xml:space="preserve"> </v>
      </c>
      <c r="G33" s="390"/>
      <c r="H33" s="340" t="str">
        <f>IF($AE33&lt;1," ",IF(G33&lt;1," ",(G33)/$AE33))</f>
        <v xml:space="preserve"> </v>
      </c>
      <c r="I33" s="390"/>
      <c r="J33" s="340" t="str">
        <f>IF($AE33&lt;1," ",IF(I33&lt;1," ",(I33)/$AE33))</f>
        <v xml:space="preserve"> </v>
      </c>
      <c r="K33" s="390"/>
      <c r="L33" s="340" t="str">
        <f>IF($AE33&lt;1," ",IF(K33&lt;1," ",(K33)/$AE33))</f>
        <v xml:space="preserve"> </v>
      </c>
      <c r="M33" s="390"/>
      <c r="N33" s="531" t="str">
        <f>IF($AE33&lt;1," ",IF(M33&lt;1," ",(M33)/$AE33))</f>
        <v xml:space="preserve"> </v>
      </c>
      <c r="O33" s="390"/>
      <c r="P33" s="531" t="str">
        <f>IF($AE33&lt;1," ",IF(O33&lt;1," ",(O33)/$AE33))</f>
        <v xml:space="preserve"> </v>
      </c>
      <c r="Q33" s="390"/>
      <c r="R33" s="531" t="str">
        <f>IF($AE33&lt;1," ",IF(Q33&lt;1," ",(Q33)/$AE33))</f>
        <v xml:space="preserve"> </v>
      </c>
      <c r="S33" s="378"/>
      <c r="T33" s="340" t="str">
        <f>IF($AE33&lt;1," ",IF(S33&lt;1," ",(S33)/$AE33))</f>
        <v xml:space="preserve"> </v>
      </c>
      <c r="U33" s="390"/>
      <c r="V33" s="340" t="str">
        <f>IF($AE33&lt;1," ",IF(U33&lt;1," ",(U33)/$AE33))</f>
        <v xml:space="preserve"> </v>
      </c>
      <c r="W33" s="390"/>
      <c r="X33" s="340" t="str">
        <f>IF($AE33&lt;1," ",IF(W33&lt;1," ",(W33)/$AE33))</f>
        <v xml:space="preserve"> </v>
      </c>
      <c r="Y33" s="390"/>
      <c r="Z33" s="340" t="str">
        <f>IF($AE33&lt;1," ",IF(Y33&lt;1," ",(Y33)/$AE33))</f>
        <v xml:space="preserve"> </v>
      </c>
      <c r="AA33" s="390"/>
      <c r="AB33" s="340" t="str">
        <f>IF($AE33&lt;1," ",IF(AA33&lt;1," ",(AA33)/$AE33))</f>
        <v xml:space="preserve"> </v>
      </c>
      <c r="AC33" s="1603">
        <f t="shared" si="2"/>
        <v>0</v>
      </c>
      <c r="AD33" s="387">
        <f t="shared" si="3"/>
        <v>0</v>
      </c>
      <c r="AE33" s="387">
        <f>'Budget-Summary MYP'!H36</f>
        <v>0</v>
      </c>
      <c r="AF33" s="387">
        <f t="shared" si="4"/>
        <v>0</v>
      </c>
      <c r="AG33" s="1212"/>
    </row>
    <row r="34" spans="1:33" ht="16.5" thickBot="1">
      <c r="A34" s="405" t="s">
        <v>272</v>
      </c>
      <c r="B34" s="382"/>
      <c r="C34" s="383"/>
      <c r="D34" s="383"/>
      <c r="E34" s="770">
        <f>+SUM(E26:E33)</f>
        <v>701420.57346396334</v>
      </c>
      <c r="F34" s="384">
        <f>IF($AE34&lt;1," ",IF(E34&lt;1," ",(E34)/$AE34))</f>
        <v>5.9653541773551894E-2</v>
      </c>
      <c r="G34" s="771">
        <f>+SUM(G26:G33)</f>
        <v>935155.00980012841</v>
      </c>
      <c r="H34" s="384">
        <f>IF($AE34&lt;1," ",IF(G34&lt;1," ",(G34)/$AE34))</f>
        <v>7.95318964859595E-2</v>
      </c>
      <c r="I34" s="771">
        <f>+SUM(I26:I33)</f>
        <v>981814.64413941395</v>
      </c>
      <c r="J34" s="384">
        <f>IF($AE34&lt;1," ",IF(I34&lt;1," ",(I34)/$AE34))</f>
        <v>8.3500146850289933E-2</v>
      </c>
      <c r="K34" s="771">
        <f>+SUM(K26:K33)</f>
        <v>909232.99072274729</v>
      </c>
      <c r="L34" s="384">
        <f>IF($AE34&lt;1," ",IF(K34&lt;1," ",(K34)/$AE34))</f>
        <v>7.7327312950220356E-2</v>
      </c>
      <c r="M34" s="771">
        <f>+SUM(M26:M33)</f>
        <v>900160.2840456639</v>
      </c>
      <c r="N34" s="533">
        <f>IF($AE34&lt;1," ",IF(M34&lt;1," ",(M34)/$AE34))</f>
        <v>7.6555708712711654E-2</v>
      </c>
      <c r="O34" s="771">
        <f>+SUM(O26:O33)</f>
        <v>892737.16040077759</v>
      </c>
      <c r="P34" s="384">
        <f>IF($AE34&lt;1," ",IF(O34&lt;1," ",(O34)/$AE34))</f>
        <v>7.592439615475001E-2</v>
      </c>
      <c r="Q34" s="771">
        <f>+SUM(Q26:Q33)</f>
        <v>892737.16040077759</v>
      </c>
      <c r="R34" s="533">
        <f>IF($AE34&lt;1," ",IF(Q34&lt;1," ",(Q34)/$AE34))</f>
        <v>7.592439615475001E-2</v>
      </c>
      <c r="S34" s="772">
        <f>+SUM(S26:S33)</f>
        <v>892737.16040077759</v>
      </c>
      <c r="T34" s="384">
        <f>IF($AE34&lt;1," ",IF(S34&lt;1," ",(S34)/$AE34))</f>
        <v>7.592439615475001E-2</v>
      </c>
      <c r="U34" s="771">
        <f>+SUM(U26:U33)</f>
        <v>892737.16040077759</v>
      </c>
      <c r="V34" s="384">
        <f>IF($AE34&lt;1," ",IF(U34&lt;1," ",(U34)/$AE34))</f>
        <v>7.592439615475001E-2</v>
      </c>
      <c r="W34" s="771">
        <f>+SUM(W26:W33)</f>
        <v>892737.16040077759</v>
      </c>
      <c r="X34" s="384">
        <f>IF($AE34&lt;1," ",IF(W34&lt;1," ",(W34)/$AE34))</f>
        <v>7.592439615475001E-2</v>
      </c>
      <c r="Y34" s="771">
        <f>+SUM(Y26:Y33)</f>
        <v>892737.16040077759</v>
      </c>
      <c r="Z34" s="384">
        <f>IF($AE34&lt;1," ",IF(Y34&lt;1," ",(Y34)/$AE34))</f>
        <v>7.592439615475001E-2</v>
      </c>
      <c r="AA34" s="771">
        <f>+SUM(AA26:AA33)</f>
        <v>892737.16040077759</v>
      </c>
      <c r="AB34" s="384">
        <f>IF($AE34&lt;1," ",IF(AA34&lt;1," ",(AA34)/$AE34))</f>
        <v>7.592439615475001E-2</v>
      </c>
      <c r="AC34" s="1602">
        <f>+SUM(AC26:AC33)</f>
        <v>1081294.9072223578</v>
      </c>
      <c r="AD34" s="773">
        <f>+SUM(AD26:AD33)</f>
        <v>11758238.532199718</v>
      </c>
      <c r="AE34" s="773">
        <f>+SUM(AE26:AE33)</f>
        <v>11758238.532199718</v>
      </c>
      <c r="AF34" s="773">
        <f>+SUM(AF26:AF33)</f>
        <v>0</v>
      </c>
      <c r="AG34" s="1212"/>
    </row>
    <row r="35" spans="1:33" ht="15.75">
      <c r="A35" s="409"/>
      <c r="B35" s="371"/>
      <c r="C35" s="71"/>
      <c r="D35" s="71"/>
      <c r="E35" s="74"/>
      <c r="F35" s="196"/>
      <c r="G35" s="75"/>
      <c r="H35" s="196"/>
      <c r="I35" s="75"/>
      <c r="J35" s="196"/>
      <c r="K35" s="75"/>
      <c r="L35" s="196"/>
      <c r="M35" s="75"/>
      <c r="N35" s="196"/>
      <c r="O35" s="75"/>
      <c r="P35" s="196"/>
      <c r="Q35" s="75"/>
      <c r="R35" s="196"/>
      <c r="S35" s="75"/>
      <c r="T35" s="196"/>
      <c r="U35" s="75"/>
      <c r="V35" s="196"/>
      <c r="W35" s="75"/>
      <c r="X35" s="196"/>
      <c r="Y35" s="75"/>
      <c r="Z35" s="196"/>
      <c r="AA35" s="75"/>
      <c r="AB35" s="196"/>
      <c r="AC35" s="1023"/>
      <c r="AD35" s="1023"/>
      <c r="AE35" s="1023"/>
      <c r="AF35" s="1039"/>
      <c r="AG35" s="1212"/>
    </row>
    <row r="36" spans="1:33" ht="15.75">
      <c r="A36" s="66" t="s">
        <v>424</v>
      </c>
      <c r="B36" s="180"/>
      <c r="C36" s="373"/>
      <c r="D36" s="373"/>
      <c r="E36" s="545"/>
      <c r="F36" s="482"/>
      <c r="G36" s="525"/>
      <c r="H36" s="482"/>
      <c r="I36" s="525"/>
      <c r="J36" s="482"/>
      <c r="K36" s="525"/>
      <c r="L36" s="482"/>
      <c r="M36" s="525"/>
      <c r="N36" s="482"/>
      <c r="O36" s="525"/>
      <c r="P36" s="482"/>
      <c r="Q36" s="525"/>
      <c r="R36" s="482"/>
      <c r="S36" s="525"/>
      <c r="T36" s="482"/>
      <c r="U36" s="525"/>
      <c r="V36" s="482"/>
      <c r="W36" s="525"/>
      <c r="X36" s="482"/>
      <c r="Y36" s="525"/>
      <c r="Z36" s="482"/>
      <c r="AA36" s="525"/>
      <c r="AB36" s="482"/>
      <c r="AC36" s="1027"/>
      <c r="AD36" s="1027"/>
      <c r="AE36" s="1027"/>
      <c r="AF36" s="1035"/>
      <c r="AG36" s="1212"/>
    </row>
    <row r="37" spans="1:33" ht="15.75">
      <c r="A37" s="406" t="s">
        <v>275</v>
      </c>
      <c r="B37" s="140"/>
      <c r="C37" s="278">
        <v>8900</v>
      </c>
      <c r="D37" s="395"/>
      <c r="E37" s="377"/>
      <c r="F37" s="340" t="str">
        <f>IF($AE37&lt;1," ",IF(E37&lt;1," ",(E37)/$AE37))</f>
        <v xml:space="preserve"> </v>
      </c>
      <c r="G37" s="390"/>
      <c r="H37" s="340" t="str">
        <f>IF($AE37&lt;1," ",IF(G37&lt;1," ",(G37)/$AE37))</f>
        <v xml:space="preserve"> </v>
      </c>
      <c r="I37" s="390"/>
      <c r="J37" s="340" t="str">
        <f>IF($AE37&lt;1," ",IF(I37&lt;1," ",(I37)/$AE37))</f>
        <v xml:space="preserve"> </v>
      </c>
      <c r="K37" s="390"/>
      <c r="L37" s="340" t="str">
        <f>IF($AE37&lt;1," ",IF(K37&lt;1," ",(K37)/$AE37))</f>
        <v xml:space="preserve"> </v>
      </c>
      <c r="M37" s="390"/>
      <c r="N37" s="531" t="str">
        <f>IF($AE37&lt;1," ",IF(M37&lt;1," ",(M37)/$AE37))</f>
        <v xml:space="preserve"> </v>
      </c>
      <c r="O37" s="390"/>
      <c r="P37" s="340" t="str">
        <f>IF($AE37&lt;1," ",IF(O37&lt;1," ",(O37)/$AE37))</f>
        <v xml:space="preserve"> </v>
      </c>
      <c r="Q37" s="390"/>
      <c r="R37" s="340" t="str">
        <f>IF($AE37&lt;1," ",IF(Q37&lt;1," ",(Q37)/$AE37))</f>
        <v xml:space="preserve"> </v>
      </c>
      <c r="S37" s="390"/>
      <c r="T37" s="340" t="str">
        <f>IF($AE37&lt;1," ",IF(S37&lt;1," ",(S37)/$AE37))</f>
        <v xml:space="preserve"> </v>
      </c>
      <c r="U37" s="390"/>
      <c r="V37" s="340" t="str">
        <f>IF($AE37&lt;1," ",IF(U37&lt;1," ",(U37)/$AE37))</f>
        <v xml:space="preserve"> </v>
      </c>
      <c r="W37" s="390"/>
      <c r="X37" s="340" t="str">
        <f>IF($AE37&lt;1," ",IF(W37&lt;1," ",(W37)/$AE37))</f>
        <v xml:space="preserve"> </v>
      </c>
      <c r="Y37" s="390"/>
      <c r="Z37" s="340" t="str">
        <f>IF($AE37&lt;1," ",IF(Y37&lt;1," ",(Y37)/$AE37))</f>
        <v xml:space="preserve"> </v>
      </c>
      <c r="AA37" s="390"/>
      <c r="AB37" s="340" t="str">
        <f>IF($AE37&lt;1," ",IF(AA37&lt;1," ",(AA37)/$AE37))</f>
        <v xml:space="preserve"> </v>
      </c>
      <c r="AC37" s="1603">
        <f>AE37-(E37+G37+I37+K37+M37+O37+Q37+S37+U37+W37+Y37+AA37)</f>
        <v>0</v>
      </c>
      <c r="AD37" s="387">
        <f>+E37+G37+I37+K37+M37+O37+Q37+S37+U37+W37+Y37+AA37+AC37</f>
        <v>0</v>
      </c>
      <c r="AE37" s="387">
        <f>'Budget-Summary MYP'!H42</f>
        <v>0</v>
      </c>
      <c r="AF37" s="387">
        <f>+AE37-AD37</f>
        <v>0</v>
      </c>
      <c r="AG37" s="1212"/>
    </row>
    <row r="38" spans="1:33" ht="15.75">
      <c r="A38" s="406" t="s">
        <v>276</v>
      </c>
      <c r="B38" s="140"/>
      <c r="C38" s="278">
        <v>7600</v>
      </c>
      <c r="D38" s="395"/>
      <c r="E38" s="377"/>
      <c r="F38" s="340" t="str">
        <f>IF($AE38&lt;1," ",IF(E38&lt;1," ",(E38)/$AE38))</f>
        <v xml:space="preserve"> </v>
      </c>
      <c r="G38" s="390"/>
      <c r="H38" s="340" t="str">
        <f>IF($AE38&lt;1," ",IF(G38&lt;1," ",(G38)/$AE38))</f>
        <v xml:space="preserve"> </v>
      </c>
      <c r="I38" s="390"/>
      <c r="J38" s="340" t="str">
        <f>IF($AE38&lt;1," ",IF(I38&lt;1," ",(I38)/$AE38))</f>
        <v xml:space="preserve"> </v>
      </c>
      <c r="K38" s="390"/>
      <c r="L38" s="340" t="str">
        <f>IF($AE38&lt;1," ",IF(K38&lt;1," ",(K38)/$AE38))</f>
        <v xml:space="preserve"> </v>
      </c>
      <c r="M38" s="390"/>
      <c r="N38" s="531" t="str">
        <f>IF($AE38&lt;1," ",IF(M38&lt;1," ",(M38)/$AE38))</f>
        <v xml:space="preserve"> </v>
      </c>
      <c r="O38" s="390"/>
      <c r="P38" s="340" t="str">
        <f>IF($AE38&lt;1," ",IF(O38&lt;1," ",(O38)/$AE38))</f>
        <v xml:space="preserve"> </v>
      </c>
      <c r="Q38" s="390"/>
      <c r="R38" s="340" t="str">
        <f>IF($AE38&lt;1," ",IF(Q38&lt;1," ",(Q38)/$AE38))</f>
        <v xml:space="preserve"> </v>
      </c>
      <c r="S38" s="390"/>
      <c r="T38" s="340" t="str">
        <f>IF($AE38&lt;1," ",IF(S38&lt;1," ",(S38)/$AE38))</f>
        <v xml:space="preserve"> </v>
      </c>
      <c r="U38" s="390"/>
      <c r="V38" s="340" t="str">
        <f>IF($AE38&lt;1," ",IF(U38&lt;1," ",(U38)/$AE38))</f>
        <v xml:space="preserve"> </v>
      </c>
      <c r="W38" s="390"/>
      <c r="X38" s="340" t="str">
        <f>IF($AE38&lt;1," ",IF(W38&lt;1," ",(W38)/$AE38))</f>
        <v xml:space="preserve"> </v>
      </c>
      <c r="Y38" s="390"/>
      <c r="Z38" s="340" t="str">
        <f>IF($AE38&lt;1," ",IF(Y38&lt;1," ",(Y38)/$AE38))</f>
        <v xml:space="preserve"> </v>
      </c>
      <c r="AA38" s="390"/>
      <c r="AB38" s="340" t="str">
        <f>IF($AE38&lt;1," ",IF(AA38&lt;1," ",(AA38)/$AE38))</f>
        <v xml:space="preserve"> </v>
      </c>
      <c r="AC38" s="1603">
        <f>AE38-(E38+G38+I38+K38+M38+O38+Q38+S38+U38+W38+Y38+AA38)</f>
        <v>0</v>
      </c>
      <c r="AD38" s="387">
        <f>+E38+G38+I38+K38+M38+O38+Q38+S38+U38+W38+Y38+AA38+AC38</f>
        <v>0</v>
      </c>
      <c r="AE38" s="387">
        <f>'Budget-Summary MYP'!H43</f>
        <v>0</v>
      </c>
      <c r="AF38" s="387">
        <f>+AE38-AD38</f>
        <v>0</v>
      </c>
      <c r="AG38" s="1212"/>
    </row>
    <row r="39" spans="1:33" ht="16.5" thickBot="1">
      <c r="A39" s="410" t="s">
        <v>277</v>
      </c>
      <c r="B39" s="382"/>
      <c r="C39" s="383"/>
      <c r="D39" s="383"/>
      <c r="E39" s="770">
        <f>+E37-E38</f>
        <v>0</v>
      </c>
      <c r="F39" s="384" t="str">
        <f>IF($AE39&lt;1," ",IF(E39&lt;1," ",(E39)/$AE39))</f>
        <v xml:space="preserve"> </v>
      </c>
      <c r="G39" s="771">
        <f>+G37-G38</f>
        <v>0</v>
      </c>
      <c r="H39" s="384" t="str">
        <f>IF($AE39&lt;1," ",IF(G39&lt;1," ",(G39)/$AE39))</f>
        <v xml:space="preserve"> </v>
      </c>
      <c r="I39" s="771">
        <f>+I37-I38</f>
        <v>0</v>
      </c>
      <c r="J39" s="384" t="str">
        <f>IF($AE39&lt;1," ",IF(I39&lt;1," ",(I39)/$AE39))</f>
        <v xml:space="preserve"> </v>
      </c>
      <c r="K39" s="771">
        <f>+K37-K38</f>
        <v>0</v>
      </c>
      <c r="L39" s="384" t="str">
        <f>IF($AE39&lt;1," ",IF(K39&lt;1," ",(K39)/$AE39))</f>
        <v xml:space="preserve"> </v>
      </c>
      <c r="M39" s="771">
        <f>+M37-M38</f>
        <v>0</v>
      </c>
      <c r="N39" s="533" t="str">
        <f>IF($AE39&lt;1," ",IF(M39&lt;1," ",(M39)/$AE39))</f>
        <v xml:space="preserve"> </v>
      </c>
      <c r="O39" s="771">
        <f>+O37-O38</f>
        <v>0</v>
      </c>
      <c r="P39" s="384" t="str">
        <f>IF($AE39&lt;1," ",IF(O39&lt;1," ",(O39)/$AE39))</f>
        <v xml:space="preserve"> </v>
      </c>
      <c r="Q39" s="771">
        <f>+Q37-Q38</f>
        <v>0</v>
      </c>
      <c r="R39" s="533" t="str">
        <f>IF($AE39&lt;1," ",IF(Q39&lt;1," ",(Q39)/$AE39))</f>
        <v xml:space="preserve"> </v>
      </c>
      <c r="S39" s="772">
        <f>+S37-S38</f>
        <v>0</v>
      </c>
      <c r="T39" s="384" t="str">
        <f>IF($AE39&lt;1," ",IF(S39&lt;1," ",(S39)/$AE39))</f>
        <v xml:space="preserve"> </v>
      </c>
      <c r="U39" s="771">
        <f>+U37-U38</f>
        <v>0</v>
      </c>
      <c r="V39" s="384" t="str">
        <f>IF($AE39&lt;1," ",IF(U39&lt;1," ",(U39)/$AE39))</f>
        <v xml:space="preserve"> </v>
      </c>
      <c r="W39" s="771">
        <f>+W37-W38</f>
        <v>0</v>
      </c>
      <c r="X39" s="384" t="str">
        <f>IF($AE39&lt;1," ",IF(W39&lt;1," ",(W39)/$AE39))</f>
        <v xml:space="preserve"> </v>
      </c>
      <c r="Y39" s="771">
        <f>+Y37-Y38</f>
        <v>0</v>
      </c>
      <c r="Z39" s="384" t="str">
        <f>IF($AE39&lt;1," ",IF(Y39&lt;1," ",(Y39)/$AE39))</f>
        <v xml:space="preserve"> </v>
      </c>
      <c r="AA39" s="771">
        <f>+AA37-AA38</f>
        <v>0</v>
      </c>
      <c r="AB39" s="384" t="str">
        <f>IF($AE39&lt;1," ",IF(AA39&lt;1," ",(AA39)/$AE39))</f>
        <v xml:space="preserve"> </v>
      </c>
      <c r="AC39" s="1602">
        <f>+AC37-AC38</f>
        <v>0</v>
      </c>
      <c r="AD39" s="773">
        <f>+AD37-AD38</f>
        <v>0</v>
      </c>
      <c r="AE39" s="773">
        <f>+AE37-AE38</f>
        <v>0</v>
      </c>
      <c r="AF39" s="773">
        <f>+AF37-AF38</f>
        <v>0</v>
      </c>
      <c r="AG39" s="1212"/>
    </row>
    <row r="40" spans="1:33" ht="15.75" customHeight="1">
      <c r="A40" s="409"/>
      <c r="B40" s="182"/>
      <c r="C40" s="22"/>
      <c r="D40" s="1809" t="s">
        <v>425</v>
      </c>
      <c r="E40" s="23"/>
      <c r="F40" s="198" t="s">
        <v>426</v>
      </c>
      <c r="G40" s="392"/>
      <c r="H40" s="198" t="s">
        <v>426</v>
      </c>
      <c r="I40" s="392"/>
      <c r="J40" s="198" t="s">
        <v>426</v>
      </c>
      <c r="K40" s="392"/>
      <c r="L40" s="198" t="s">
        <v>426</v>
      </c>
      <c r="M40" s="392"/>
      <c r="N40" s="535" t="s">
        <v>426</v>
      </c>
      <c r="O40" s="392"/>
      <c r="P40" s="198" t="s">
        <v>426</v>
      </c>
      <c r="Q40" s="392"/>
      <c r="R40" s="534" t="s">
        <v>426</v>
      </c>
      <c r="S40" s="20"/>
      <c r="T40" s="198" t="s">
        <v>426</v>
      </c>
      <c r="U40" s="392"/>
      <c r="V40" s="198" t="s">
        <v>426</v>
      </c>
      <c r="W40" s="392"/>
      <c r="X40" s="198" t="s">
        <v>426</v>
      </c>
      <c r="Y40" s="392"/>
      <c r="Z40" s="198" t="s">
        <v>426</v>
      </c>
      <c r="AA40" s="392"/>
      <c r="AB40" s="198" t="s">
        <v>426</v>
      </c>
      <c r="AC40" s="1604"/>
      <c r="AD40" s="1034"/>
      <c r="AE40" s="1812" t="s">
        <v>427</v>
      </c>
      <c r="AF40" s="1040"/>
    </row>
    <row r="41" spans="1:33" ht="15.75">
      <c r="A41" s="66" t="s">
        <v>428</v>
      </c>
      <c r="B41" s="180"/>
      <c r="C41" s="22"/>
      <c r="D41" s="1810"/>
      <c r="E41" s="23"/>
      <c r="F41" s="198" t="s">
        <v>429</v>
      </c>
      <c r="G41" s="392"/>
      <c r="H41" s="198" t="s">
        <v>429</v>
      </c>
      <c r="I41" s="392"/>
      <c r="J41" s="198" t="s">
        <v>429</v>
      </c>
      <c r="K41" s="392"/>
      <c r="L41" s="198" t="s">
        <v>429</v>
      </c>
      <c r="M41" s="392"/>
      <c r="N41" s="535" t="s">
        <v>429</v>
      </c>
      <c r="O41" s="392"/>
      <c r="P41" s="198" t="s">
        <v>429</v>
      </c>
      <c r="Q41" s="392"/>
      <c r="R41" s="535" t="s">
        <v>429</v>
      </c>
      <c r="S41" s="20"/>
      <c r="T41" s="198" t="s">
        <v>429</v>
      </c>
      <c r="U41" s="392"/>
      <c r="V41" s="198" t="s">
        <v>429</v>
      </c>
      <c r="W41" s="392"/>
      <c r="X41" s="198" t="s">
        <v>429</v>
      </c>
      <c r="Y41" s="392"/>
      <c r="Z41" s="198" t="s">
        <v>429</v>
      </c>
      <c r="AA41" s="392"/>
      <c r="AB41" s="198" t="s">
        <v>429</v>
      </c>
      <c r="AC41" s="1604"/>
      <c r="AD41" s="1034"/>
      <c r="AE41" s="1813"/>
      <c r="AF41" s="774"/>
    </row>
    <row r="42" spans="1:33" ht="15.75">
      <c r="A42" s="68"/>
      <c r="B42" s="182"/>
      <c r="C42" s="22"/>
      <c r="D42" s="1811"/>
      <c r="E42" s="23"/>
      <c r="F42" s="194"/>
      <c r="G42" s="392"/>
      <c r="H42" s="194"/>
      <c r="I42" s="392"/>
      <c r="J42" s="194"/>
      <c r="K42" s="392"/>
      <c r="L42" s="194"/>
      <c r="M42" s="392"/>
      <c r="N42" s="536"/>
      <c r="O42" s="392"/>
      <c r="P42" s="194"/>
      <c r="Q42" s="392"/>
      <c r="R42" s="536"/>
      <c r="S42" s="20"/>
      <c r="T42" s="194"/>
      <c r="U42" s="392"/>
      <c r="V42" s="194"/>
      <c r="W42" s="392"/>
      <c r="X42" s="194"/>
      <c r="Y42" s="392"/>
      <c r="Z42" s="194"/>
      <c r="AA42" s="392"/>
      <c r="AB42" s="194"/>
      <c r="AC42" s="1604"/>
      <c r="AD42" s="1034"/>
      <c r="AE42" s="1814"/>
      <c r="AF42" s="774"/>
    </row>
    <row r="43" spans="1:33" ht="15.75">
      <c r="A43" s="411" t="s">
        <v>430</v>
      </c>
      <c r="B43" s="396"/>
      <c r="C43" s="623">
        <v>9210</v>
      </c>
      <c r="D43" s="1018">
        <v>1346680</v>
      </c>
      <c r="E43" s="397">
        <v>756399.32333333278</v>
      </c>
      <c r="F43" s="340">
        <f>IF($D43&lt;1," ",IF(E43&lt;1," ",(E43)/$D43))</f>
        <v>0.5616771046821315</v>
      </c>
      <c r="G43" s="398">
        <v>590280</v>
      </c>
      <c r="H43" s="340">
        <f>IF($D43&lt;1," ",IF(G43&lt;1," ",(G43)/$D43))</f>
        <v>0.43832239284759555</v>
      </c>
      <c r="I43" s="398"/>
      <c r="J43" s="340" t="str">
        <f>IF($D43&lt;1," ",IF(I43&lt;1," ",(I43)/$D43))</f>
        <v xml:space="preserve"> </v>
      </c>
      <c r="K43" s="398"/>
      <c r="L43" s="340" t="str">
        <f>IF($D43&lt;1," ",IF(K43&lt;1," ",(K43)/$D43))</f>
        <v xml:space="preserve"> </v>
      </c>
      <c r="M43" s="398"/>
      <c r="N43" s="531" t="str">
        <f>IF($D43&lt;1," ",IF(M43&lt;1," ",(M43)/$D43))</f>
        <v xml:space="preserve"> </v>
      </c>
      <c r="O43" s="398"/>
      <c r="P43" s="340" t="str">
        <f>IF($D43&lt;1," ",IF(O43&lt;1," ",(O43)/$D43))</f>
        <v xml:space="preserve"> </v>
      </c>
      <c r="Q43" s="398"/>
      <c r="R43" s="531" t="str">
        <f>IF($D43&lt;1," ",IF(Q43&lt;1," ",(Q43)/$D43))</f>
        <v xml:space="preserve"> </v>
      </c>
      <c r="S43" s="511"/>
      <c r="T43" s="340" t="str">
        <f>IF($D43&lt;1," ",IF(S43&lt;1," ",(S43)/$D43))</f>
        <v xml:space="preserve"> </v>
      </c>
      <c r="U43" s="398"/>
      <c r="V43" s="340" t="str">
        <f>IF($D43&lt;1," ",IF(U43&lt;1," ",(U43)/$D43))</f>
        <v xml:space="preserve"> </v>
      </c>
      <c r="W43" s="398"/>
      <c r="X43" s="340" t="str">
        <f>IF($D43&lt;1," ",IF(W43&lt;1," ",(W43)/$D43))</f>
        <v xml:space="preserve"> </v>
      </c>
      <c r="Y43" s="398"/>
      <c r="Z43" s="340" t="str">
        <f>IF($D43&lt;1," ",IF(Y43&lt;1," ",(Y43)/$D43))</f>
        <v xml:space="preserve"> </v>
      </c>
      <c r="AA43" s="398"/>
      <c r="AB43" s="340" t="str">
        <f>IF($D43&lt;1," ",IF(AA43&lt;1," ",(AA43)/$D43))</f>
        <v xml:space="preserve"> </v>
      </c>
      <c r="AC43" s="1605"/>
      <c r="AD43" s="1608">
        <f>+E43+G43+I43+K43+M43+O43+Q43+S43+U43+W43+Y43+AA43</f>
        <v>1346679.3233333328</v>
      </c>
      <c r="AE43" s="399">
        <f>D43-AD43</f>
        <v>0.67666666721925139</v>
      </c>
      <c r="AF43" s="774"/>
      <c r="AG43" s="1609" t="str">
        <f>IF(AD43=D43,"","Prior Year Transactions should be zero'd out by Year End")</f>
        <v>Prior Year Transactions should be zero'd out by Year End</v>
      </c>
    </row>
    <row r="44" spans="1:33" ht="15.75">
      <c r="A44" s="411" t="s">
        <v>292</v>
      </c>
      <c r="B44" s="396"/>
      <c r="C44" s="623">
        <v>9330</v>
      </c>
      <c r="D44" s="1018"/>
      <c r="E44" s="397"/>
      <c r="F44" s="340" t="str">
        <f>IF($D44&lt;1," ",IF(E44&lt;1," ",(E44)/$D44))</f>
        <v xml:space="preserve"> </v>
      </c>
      <c r="G44" s="398"/>
      <c r="H44" s="340" t="str">
        <f>IF($D44&lt;1," ",IF(G44&lt;1," ",(G44)/$D44))</f>
        <v xml:space="preserve"> </v>
      </c>
      <c r="I44" s="398"/>
      <c r="J44" s="340" t="str">
        <f>IF($D44&lt;1," ",IF(I44&lt;1," ",(I44)/$D44))</f>
        <v xml:space="preserve"> </v>
      </c>
      <c r="K44" s="398"/>
      <c r="L44" s="340" t="str">
        <f>IF($D44&lt;1," ",IF(K44&lt;1," ",(K44)/$D44))</f>
        <v xml:space="preserve"> </v>
      </c>
      <c r="M44" s="398"/>
      <c r="N44" s="531" t="str">
        <f>IF($D44&lt;1," ",IF(M44&lt;1," ",(M44)/$D44))</f>
        <v xml:space="preserve"> </v>
      </c>
      <c r="O44" s="398"/>
      <c r="P44" s="340" t="str">
        <f>IF($D44&lt;1," ",IF(O44&lt;1," ",(O44)/$D44))</f>
        <v xml:space="preserve"> </v>
      </c>
      <c r="Q44" s="398"/>
      <c r="R44" s="531" t="str">
        <f>IF($D44&lt;1," ",IF(Q44&lt;1," ",(Q44)/$D44))</f>
        <v xml:space="preserve"> </v>
      </c>
      <c r="S44" s="511"/>
      <c r="T44" s="340" t="str">
        <f>IF($D44&lt;1," ",IF(S44&lt;1," ",(S44)/$D44))</f>
        <v xml:space="preserve"> </v>
      </c>
      <c r="U44" s="398"/>
      <c r="V44" s="340" t="str">
        <f>IF($D44&lt;1," ",IF(U44&lt;1," ",(U44)/$D44))</f>
        <v xml:space="preserve"> </v>
      </c>
      <c r="W44" s="398"/>
      <c r="X44" s="340" t="str">
        <f>IF($D44&lt;1," ",IF(W44&lt;1," ",(W44)/$D44))</f>
        <v xml:space="preserve"> </v>
      </c>
      <c r="Y44" s="398"/>
      <c r="Z44" s="340" t="str">
        <f>IF($D44&lt;1," ",IF(Y44&lt;1," ",(Y44)/$D44))</f>
        <v xml:space="preserve"> </v>
      </c>
      <c r="AA44" s="398"/>
      <c r="AB44" s="340" t="str">
        <f>IF($D44&lt;1," ",IF(AA44&lt;1," ",(AA44)/$D44))</f>
        <v xml:space="preserve"> </v>
      </c>
      <c r="AC44" s="1605"/>
      <c r="AD44" s="1608">
        <f>+E44+G44+I44+K44+M44+O44+Q44+S44+U44+W44+Y44+AA44</f>
        <v>0</v>
      </c>
      <c r="AE44" s="399">
        <f>D44-AD44</f>
        <v>0</v>
      </c>
      <c r="AF44" s="774"/>
      <c r="AG44" s="1609" t="str">
        <f>IF(AD44=D44,"","Prior Year Transactions should be zero'd out by Year End")</f>
        <v/>
      </c>
    </row>
    <row r="45" spans="1:33" ht="15.75">
      <c r="A45" s="411" t="s">
        <v>443</v>
      </c>
      <c r="B45" s="396"/>
      <c r="C45" s="623">
        <v>9510</v>
      </c>
      <c r="D45" s="1018">
        <v>911801</v>
      </c>
      <c r="E45" s="397">
        <v>911801</v>
      </c>
      <c r="F45" s="340">
        <f>IF($D45&lt;1," ",IF(E45&lt;1," ",(E45)/$D45))</f>
        <v>1</v>
      </c>
      <c r="G45" s="398"/>
      <c r="H45" s="340" t="str">
        <f>IF($D45&lt;1," ",IF(G45&lt;1," ",(G45)/$D45))</f>
        <v xml:space="preserve"> </v>
      </c>
      <c r="I45" s="398"/>
      <c r="J45" s="340" t="str">
        <f>IF($D45&lt;1," ",IF(I45&lt;1," ",(I45)/$D45))</f>
        <v xml:space="preserve"> </v>
      </c>
      <c r="K45" s="398"/>
      <c r="L45" s="340" t="str">
        <f>IF($D45&lt;1," ",IF(K45&lt;1," ",(K45)/$D45))</f>
        <v xml:space="preserve"> </v>
      </c>
      <c r="M45" s="398"/>
      <c r="N45" s="531" t="str">
        <f>IF($D45&lt;1," ",IF(M45&lt;1," ",(M45)/$D45))</f>
        <v xml:space="preserve"> </v>
      </c>
      <c r="O45" s="398"/>
      <c r="P45" s="340" t="str">
        <f>IF($D45&lt;1," ",IF(O45&lt;1," ",(O45)/$D45))</f>
        <v xml:space="preserve"> </v>
      </c>
      <c r="Q45" s="398"/>
      <c r="R45" s="531" t="str">
        <f>IF($D45&lt;1," ",IF(Q45&lt;1," ",(Q45)/$D45))</f>
        <v xml:space="preserve"> </v>
      </c>
      <c r="S45" s="511"/>
      <c r="T45" s="340" t="str">
        <f>IF($D45&lt;1," ",IF(S45&lt;1," ",(S45)/$D45))</f>
        <v xml:space="preserve"> </v>
      </c>
      <c r="U45" s="398"/>
      <c r="V45" s="340" t="str">
        <f>IF($D45&lt;1," ",IF(U45&lt;1," ",(U45)/$D45))</f>
        <v xml:space="preserve"> </v>
      </c>
      <c r="W45" s="398"/>
      <c r="X45" s="340" t="str">
        <f>IF($D45&lt;1," ",IF(W45&lt;1," ",(W45)/$D45))</f>
        <v xml:space="preserve"> </v>
      </c>
      <c r="Y45" s="398"/>
      <c r="Z45" s="340" t="str">
        <f>IF($D45&lt;1," ",IF(Y45&lt;1," ",(Y45)/$D45))</f>
        <v xml:space="preserve"> </v>
      </c>
      <c r="AA45" s="398"/>
      <c r="AB45" s="340" t="str">
        <f>IF($D45&lt;1," ",IF(AA45&lt;1," ",(AA45)/$D45))</f>
        <v xml:space="preserve"> </v>
      </c>
      <c r="AC45" s="1605"/>
      <c r="AD45" s="1608">
        <f>+E45+G45+I45+K45+M45+O45+Q45+S45+U45+W45+Y45+AA45</f>
        <v>911801</v>
      </c>
      <c r="AE45" s="399">
        <f>D45-AD45</f>
        <v>0</v>
      </c>
      <c r="AF45" s="774"/>
      <c r="AG45" s="1609" t="str">
        <f>IF(AD45=D45,"","Prior Year Transactions should be zero'd out by Year End")</f>
        <v/>
      </c>
    </row>
    <row r="46" spans="1:33" ht="15.75">
      <c r="A46" s="411" t="s">
        <v>444</v>
      </c>
      <c r="B46" s="396"/>
      <c r="C46" s="624">
        <v>9640</v>
      </c>
      <c r="D46" s="1019"/>
      <c r="E46" s="397"/>
      <c r="F46" s="340" t="str">
        <f>IF($D46&lt;1," ",IF(E46&lt;1," ",(E46)/$D46))</f>
        <v xml:space="preserve"> </v>
      </c>
      <c r="G46" s="398"/>
      <c r="H46" s="340" t="str">
        <f>IF($D46&lt;1," ",IF(G46&lt;1," ",(G46)/$D46))</f>
        <v xml:space="preserve"> </v>
      </c>
      <c r="I46" s="398"/>
      <c r="J46" s="340" t="str">
        <f>IF($D46&lt;1," ",IF(I46&lt;1," ",(I46)/$D46))</f>
        <v xml:space="preserve"> </v>
      </c>
      <c r="K46" s="398"/>
      <c r="L46" s="340" t="str">
        <f>IF($D46&lt;1," ",IF(K46&lt;1," ",(K46)/$D46))</f>
        <v xml:space="preserve"> </v>
      </c>
      <c r="M46" s="398"/>
      <c r="N46" s="531" t="str">
        <f>IF($D46&lt;1," ",IF(M46&lt;1," ",(M46)/$D46))</f>
        <v xml:space="preserve"> </v>
      </c>
      <c r="O46" s="398"/>
      <c r="P46" s="340" t="str">
        <f>IF($D46&lt;1," ",IF(O46&lt;1," ",(O46)/$D46))</f>
        <v xml:space="preserve"> </v>
      </c>
      <c r="Q46" s="398"/>
      <c r="R46" s="531" t="str">
        <f>IF($D46&lt;1," ",IF(Q46&lt;1," ",(Q46)/$D46))</f>
        <v xml:space="preserve"> </v>
      </c>
      <c r="S46" s="511"/>
      <c r="T46" s="340" t="str">
        <f>IF($D46&lt;1," ",IF(S46&lt;1," ",(S46)/$D46))</f>
        <v xml:space="preserve"> </v>
      </c>
      <c r="U46" s="398"/>
      <c r="V46" s="340" t="str">
        <f>IF($D46&lt;1," ",IF(U46&lt;1," ",(U46)/$D46))</f>
        <v xml:space="preserve"> </v>
      </c>
      <c r="W46" s="398"/>
      <c r="X46" s="340" t="str">
        <f>IF($D46&lt;1," ",IF(W46&lt;1," ",(W46)/$D46))</f>
        <v xml:space="preserve"> </v>
      </c>
      <c r="Y46" s="398"/>
      <c r="Z46" s="340" t="str">
        <f>IF($D46&lt;1," ",IF(Y46&lt;1," ",(Y46)/$D46))</f>
        <v xml:space="preserve"> </v>
      </c>
      <c r="AA46" s="398"/>
      <c r="AB46" s="340" t="str">
        <f>IF($D46&lt;1," ",IF(AA46&lt;1," ",(AA46)/$D46))</f>
        <v xml:space="preserve"> </v>
      </c>
      <c r="AC46" s="1605"/>
      <c r="AD46" s="1608">
        <f>+E46+G46+I46+K46+M46+O46+Q46+S46+U46+W46+Y46+AA46</f>
        <v>0</v>
      </c>
      <c r="AE46" s="399">
        <f>D46-AD46</f>
        <v>0</v>
      </c>
      <c r="AF46" s="774"/>
      <c r="AG46" s="1609" t="str">
        <f>IF(AD46=D46,"","Prior Year Transactions should be zero'd out by Year End")</f>
        <v/>
      </c>
    </row>
    <row r="47" spans="1:33" ht="15.75">
      <c r="A47" s="411" t="s">
        <v>445</v>
      </c>
      <c r="B47" s="396"/>
      <c r="C47" s="623">
        <v>9650</v>
      </c>
      <c r="D47" s="1018"/>
      <c r="E47" s="397"/>
      <c r="F47" s="340" t="str">
        <f>IF($D47&lt;1," ",IF(E47&lt;1," ",(E47)/$D47))</f>
        <v xml:space="preserve"> </v>
      </c>
      <c r="G47" s="398"/>
      <c r="H47" s="340" t="str">
        <f>IF($D47&lt;1," ",IF(G47&lt;1," ",(G47)/$D47))</f>
        <v xml:space="preserve"> </v>
      </c>
      <c r="I47" s="398"/>
      <c r="J47" s="340" t="str">
        <f>IF($D47&lt;1," ",IF(I47&lt;1," ",(I47)/$D47))</f>
        <v xml:space="preserve"> </v>
      </c>
      <c r="K47" s="398"/>
      <c r="L47" s="340" t="str">
        <f>IF($D47&lt;1," ",IF(K47&lt;1," ",(K47)/$D47))</f>
        <v xml:space="preserve"> </v>
      </c>
      <c r="M47" s="398"/>
      <c r="N47" s="531" t="str">
        <f>IF($D47&lt;1," ",IF(M47&lt;1," ",(M47)/$D47))</f>
        <v xml:space="preserve"> </v>
      </c>
      <c r="O47" s="398"/>
      <c r="P47" s="340" t="str">
        <f>IF($D47&lt;1," ",IF(O47&lt;1," ",(O47)/$D47))</f>
        <v xml:space="preserve"> </v>
      </c>
      <c r="Q47" s="398"/>
      <c r="R47" s="531" t="str">
        <f>IF($D47&lt;1," ",IF(Q47&lt;1," ",(Q47)/$D47))</f>
        <v xml:space="preserve"> </v>
      </c>
      <c r="S47" s="511"/>
      <c r="T47" s="340" t="str">
        <f>IF($D47&lt;1," ",IF(S47&lt;1," ",(S47)/$D47))</f>
        <v xml:space="preserve"> </v>
      </c>
      <c r="U47" s="398"/>
      <c r="V47" s="340" t="str">
        <f>IF($D47&lt;1," ",IF(U47&lt;1," ",(U47)/$D47))</f>
        <v xml:space="preserve"> </v>
      </c>
      <c r="W47" s="398"/>
      <c r="X47" s="340" t="str">
        <f>IF($D47&lt;1," ",IF(W47&lt;1," ",(W47)/$D47))</f>
        <v xml:space="preserve"> </v>
      </c>
      <c r="Y47" s="398"/>
      <c r="Z47" s="340" t="str">
        <f>IF($D47&lt;1," ",IF(Y47&lt;1," ",(Y47)/$D47))</f>
        <v xml:space="preserve"> </v>
      </c>
      <c r="AA47" s="398"/>
      <c r="AB47" s="340" t="str">
        <f>IF($D47&lt;1," ",IF(AA47&lt;1," ",(AA47)/$D47))</f>
        <v xml:space="preserve"> </v>
      </c>
      <c r="AC47" s="1605"/>
      <c r="AD47" s="1608">
        <f>+E47+G47+I47+K47+M47+O47+Q47+S47+U47+W47+Y47+AA47</f>
        <v>0</v>
      </c>
      <c r="AE47" s="399">
        <f>D47-AD47</f>
        <v>0</v>
      </c>
      <c r="AF47" s="774"/>
      <c r="AG47" s="1609" t="str">
        <f>IF(AD47=D47,"","Prior Year Transactions should be zero'd out by Year End")</f>
        <v/>
      </c>
    </row>
    <row r="48" spans="1:33" ht="16.5" thickBot="1">
      <c r="A48" s="69" t="s">
        <v>434</v>
      </c>
      <c r="B48" s="369"/>
      <c r="C48" s="70"/>
      <c r="D48" s="1044">
        <f>+D43+D44-D45-D46-D47</f>
        <v>434879</v>
      </c>
      <c r="E48" s="770">
        <f>+E43+E44-E45-E46-E47</f>
        <v>-155401.67666666722</v>
      </c>
      <c r="F48" s="384"/>
      <c r="G48" s="771">
        <f>+G43+G44-G45-G46-G47</f>
        <v>590280</v>
      </c>
      <c r="H48" s="384"/>
      <c r="I48" s="771">
        <f>+I43+I44-I45-I46-I47</f>
        <v>0</v>
      </c>
      <c r="J48" s="384"/>
      <c r="K48" s="771">
        <f>+K43+K44-K45-K46-K47</f>
        <v>0</v>
      </c>
      <c r="L48" s="384"/>
      <c r="M48" s="771">
        <f>+M43+M44-M45-M46-M47</f>
        <v>0</v>
      </c>
      <c r="N48" s="533"/>
      <c r="O48" s="771">
        <f>+O43+O44-O45-O46-O47</f>
        <v>0</v>
      </c>
      <c r="P48" s="384"/>
      <c r="Q48" s="771">
        <f>+Q43+Q44-Q45-Q46-Q47</f>
        <v>0</v>
      </c>
      <c r="R48" s="533"/>
      <c r="S48" s="772">
        <f>+S43+S44-S45-S46-S47</f>
        <v>0</v>
      </c>
      <c r="T48" s="384"/>
      <c r="U48" s="771">
        <f>+U43+U44-U45-U46-U47</f>
        <v>0</v>
      </c>
      <c r="V48" s="384"/>
      <c r="W48" s="771">
        <f>+W43+W44-W45-W46-W47</f>
        <v>0</v>
      </c>
      <c r="X48" s="384"/>
      <c r="Y48" s="771">
        <f>+Y43+Y44-Y45-Y46-Y47</f>
        <v>0</v>
      </c>
      <c r="Z48" s="384"/>
      <c r="AA48" s="771">
        <f>+AA43+AA44-AA45-AA46-AA47</f>
        <v>0</v>
      </c>
      <c r="AB48" s="384"/>
      <c r="AC48" s="1602"/>
      <c r="AD48" s="773">
        <f>+AD43+AD44-AD45-AD46-AD47</f>
        <v>434878.32333333278</v>
      </c>
      <c r="AE48" s="773">
        <f>+AE43+AE44-AE45-AE46-AE47</f>
        <v>0.67666666721925139</v>
      </c>
      <c r="AF48" s="1041"/>
    </row>
    <row r="49" spans="1:33" ht="15.75">
      <c r="A49" s="407"/>
      <c r="B49" s="370"/>
      <c r="C49" s="71"/>
      <c r="D49" s="71"/>
      <c r="E49" s="72"/>
      <c r="F49" s="196"/>
      <c r="G49" s="73"/>
      <c r="H49" s="196"/>
      <c r="I49" s="73"/>
      <c r="J49" s="196"/>
      <c r="K49" s="73"/>
      <c r="L49" s="196"/>
      <c r="M49" s="73"/>
      <c r="N49" s="196"/>
      <c r="O49" s="73"/>
      <c r="P49" s="196"/>
      <c r="Q49" s="73"/>
      <c r="R49" s="196"/>
      <c r="S49" s="73"/>
      <c r="T49" s="196"/>
      <c r="U49" s="73"/>
      <c r="V49" s="196"/>
      <c r="W49" s="73"/>
      <c r="X49" s="196"/>
      <c r="Y49" s="73"/>
      <c r="Z49" s="196"/>
      <c r="AA49" s="73"/>
      <c r="AB49" s="196"/>
      <c r="AC49" s="1023"/>
      <c r="AD49" s="1023"/>
      <c r="AE49" s="1023"/>
      <c r="AF49" s="1039"/>
    </row>
    <row r="50" spans="1:33" ht="15.75">
      <c r="A50" s="66" t="s">
        <v>435</v>
      </c>
      <c r="B50" s="180"/>
      <c r="C50" s="373"/>
      <c r="D50" s="373"/>
      <c r="E50" s="545"/>
      <c r="F50" s="530"/>
      <c r="G50" s="525"/>
      <c r="H50" s="530"/>
      <c r="I50" s="525"/>
      <c r="J50" s="530"/>
      <c r="K50" s="525"/>
      <c r="L50" s="530"/>
      <c r="M50" s="525"/>
      <c r="N50" s="530"/>
      <c r="O50" s="525"/>
      <c r="P50" s="530"/>
      <c r="Q50" s="525"/>
      <c r="R50" s="530"/>
      <c r="S50" s="525"/>
      <c r="T50" s="530"/>
      <c r="U50" s="525"/>
      <c r="V50" s="530"/>
      <c r="W50" s="525"/>
      <c r="X50" s="530"/>
      <c r="Y50" s="525"/>
      <c r="Z50" s="530"/>
      <c r="AA50" s="525"/>
      <c r="AB50" s="530"/>
      <c r="AC50" s="1027"/>
      <c r="AD50" s="1027"/>
      <c r="AE50" s="1027"/>
      <c r="AF50" s="1035"/>
    </row>
    <row r="51" spans="1:33" ht="15.75">
      <c r="A51" s="1806"/>
      <c r="B51" s="1807"/>
      <c r="C51" s="376"/>
      <c r="D51" s="376"/>
      <c r="E51" s="397"/>
      <c r="F51" s="340" t="str">
        <f>IF($AE51&lt;1," ",IF(E51&lt;1," ",(E51)/$AE51))</f>
        <v xml:space="preserve"> </v>
      </c>
      <c r="G51" s="398"/>
      <c r="H51" s="340" t="str">
        <f>IF($AE51&lt;1," ",IF(G51&lt;1," ",(G51)/$AE51))</f>
        <v xml:space="preserve"> </v>
      </c>
      <c r="I51" s="398"/>
      <c r="J51" s="340" t="str">
        <f>IF($AE51&lt;1," ",IF(I51&lt;1," ",(I51)/$AE51))</f>
        <v xml:space="preserve"> </v>
      </c>
      <c r="K51" s="398"/>
      <c r="L51" s="340" t="str">
        <f>IF($AE51&lt;1," ",IF(K51&lt;1," ",(K51)/$AE51))</f>
        <v xml:space="preserve"> </v>
      </c>
      <c r="M51" s="398"/>
      <c r="N51" s="531" t="str">
        <f>IF($AE51&lt;1," ",IF(M51&lt;1," ",(M51)/$AE51))</f>
        <v xml:space="preserve"> </v>
      </c>
      <c r="O51" s="398"/>
      <c r="P51" s="340" t="str">
        <f>IF($AE51&lt;1," ",IF(O51&lt;1," ",(O51)/$AE51))</f>
        <v xml:space="preserve"> </v>
      </c>
      <c r="Q51" s="398"/>
      <c r="R51" s="531" t="str">
        <f>IF($AE51&lt;1," ",IF(Q51&lt;1," ",(Q51)/$AE51))</f>
        <v xml:space="preserve"> </v>
      </c>
      <c r="S51" s="511"/>
      <c r="T51" s="340" t="str">
        <f>IF($AE51&lt;1," ",IF(S51&lt;1," ",(S51)/$AE51))</f>
        <v xml:space="preserve"> </v>
      </c>
      <c r="U51" s="398"/>
      <c r="V51" s="340" t="str">
        <f>IF($AE51&lt;1," ",IF(U51&lt;1," ",(U51)/$AE51))</f>
        <v xml:space="preserve"> </v>
      </c>
      <c r="W51" s="398"/>
      <c r="X51" s="340" t="str">
        <f>IF($AE51&lt;1," ",IF(W51&lt;1," ",(W51)/$AE51))</f>
        <v xml:space="preserve"> </v>
      </c>
      <c r="Y51" s="398"/>
      <c r="Z51" s="340" t="str">
        <f>IF($AE51&lt;1," ",IF(Y51&lt;1," ",(Y51)/$AE51))</f>
        <v xml:space="preserve"> </v>
      </c>
      <c r="AA51" s="398"/>
      <c r="AB51" s="340" t="str">
        <f>IF($AE51&lt;1," ",IF(AA51&lt;1," ",(AA51)/$AE51))</f>
        <v xml:space="preserve"> </v>
      </c>
      <c r="AC51" s="1605"/>
      <c r="AD51" s="379">
        <f>+E51+G51+I51+K51+M51+O51+Q51+S51+U51+W51+Y51+AA51+AC51</f>
        <v>0</v>
      </c>
      <c r="AE51" s="775"/>
      <c r="AF51" s="776"/>
      <c r="AG51" s="1212"/>
    </row>
    <row r="52" spans="1:33" ht="15.75">
      <c r="A52" s="1806"/>
      <c r="B52" s="1807"/>
      <c r="C52" s="395"/>
      <c r="D52" s="395"/>
      <c r="E52" s="397"/>
      <c r="F52" s="340" t="str">
        <f>IF($AE52&lt;1," ",IF(E52&lt;1," ",(E52)/$AE52))</f>
        <v xml:space="preserve"> </v>
      </c>
      <c r="G52" s="398"/>
      <c r="H52" s="340" t="str">
        <f>IF($AE52&lt;1," ",IF(G52&lt;1," ",(G52)/$AE52))</f>
        <v xml:space="preserve"> </v>
      </c>
      <c r="I52" s="398"/>
      <c r="J52" s="340" t="str">
        <f>IF($AE52&lt;1," ",IF(I52&lt;1," ",(I52)/$AE52))</f>
        <v xml:space="preserve"> </v>
      </c>
      <c r="K52" s="398"/>
      <c r="L52" s="340" t="str">
        <f>IF($AE52&lt;1," ",IF(K52&lt;1," ",(K52)/$AE52))</f>
        <v xml:space="preserve"> </v>
      </c>
      <c r="M52" s="398"/>
      <c r="N52" s="531" t="str">
        <f>IF($AE52&lt;1," ",IF(M52&lt;1," ",(M52)/$AE52))</f>
        <v xml:space="preserve"> </v>
      </c>
      <c r="O52" s="398"/>
      <c r="P52" s="340" t="str">
        <f>IF($AE52&lt;1," ",IF(O52&lt;1," ",(O52)/$AE52))</f>
        <v xml:space="preserve"> </v>
      </c>
      <c r="Q52" s="398"/>
      <c r="R52" s="531" t="str">
        <f>IF($AE52&lt;1," ",IF(Q52&lt;1," ",(Q52)/$AE52))</f>
        <v xml:space="preserve"> </v>
      </c>
      <c r="S52" s="511"/>
      <c r="T52" s="340" t="str">
        <f>IF($AE52&lt;1," ",IF(S52&lt;1," ",(S52)/$AE52))</f>
        <v xml:space="preserve"> </v>
      </c>
      <c r="U52" s="398"/>
      <c r="V52" s="340" t="str">
        <f>IF($AE52&lt;1," ",IF(U52&lt;1," ",(U52)/$AE52))</f>
        <v xml:space="preserve"> </v>
      </c>
      <c r="W52" s="398"/>
      <c r="X52" s="340" t="str">
        <f>IF($AE52&lt;1," ",IF(W52&lt;1," ",(W52)/$AE52))</f>
        <v xml:space="preserve"> </v>
      </c>
      <c r="Y52" s="398"/>
      <c r="Z52" s="340" t="str">
        <f>IF($AE52&lt;1," ",IF(Y52&lt;1," ",(Y52)/$AE52))</f>
        <v xml:space="preserve"> </v>
      </c>
      <c r="AA52" s="398"/>
      <c r="AB52" s="340" t="str">
        <f>IF($AE52&lt;1," ",IF(AA52&lt;1," ",(AA52)/$AE52))</f>
        <v xml:space="preserve"> </v>
      </c>
      <c r="AC52" s="1605"/>
      <c r="AD52" s="379">
        <f>+E52+G52+I52+K52+M52+O52+Q52+S52+U52+W52+Y52+AA52+AC52</f>
        <v>0</v>
      </c>
      <c r="AE52" s="777"/>
      <c r="AF52" s="778"/>
      <c r="AG52" s="1240"/>
    </row>
    <row r="53" spans="1:33" ht="15.75">
      <c r="A53" s="1806"/>
      <c r="B53" s="1807"/>
      <c r="C53" s="376"/>
      <c r="D53" s="376"/>
      <c r="E53" s="397"/>
      <c r="F53" s="340" t="str">
        <f>IF($AE53&lt;1," ",IF(E53&lt;1," ",(E53)/$AE53))</f>
        <v xml:space="preserve"> </v>
      </c>
      <c r="G53" s="398"/>
      <c r="H53" s="340" t="str">
        <f>IF($AE53&lt;1," ",IF(G53&lt;1," ",(G53)/$AE53))</f>
        <v xml:space="preserve"> </v>
      </c>
      <c r="I53" s="398"/>
      <c r="J53" s="340" t="str">
        <f>IF($AE53&lt;1," ",IF(I53&lt;1," ",(I53)/$AE53))</f>
        <v xml:space="preserve"> </v>
      </c>
      <c r="K53" s="398"/>
      <c r="L53" s="340" t="str">
        <f>IF($AE53&lt;1," ",IF(K53&lt;1," ",(K53)/$AE53))</f>
        <v xml:space="preserve"> </v>
      </c>
      <c r="M53" s="398"/>
      <c r="N53" s="531" t="str">
        <f>IF($AE53&lt;1," ",IF(M53&lt;1," ",(M53)/$AE53))</f>
        <v xml:space="preserve"> </v>
      </c>
      <c r="O53" s="398"/>
      <c r="P53" s="340" t="str">
        <f>IF($AE53&lt;1," ",IF(O53&lt;1," ",(O53)/$AE53))</f>
        <v xml:space="preserve"> </v>
      </c>
      <c r="Q53" s="398"/>
      <c r="R53" s="531" t="str">
        <f>IF($AE53&lt;1," ",IF(Q53&lt;1," ",(Q53)/$AE53))</f>
        <v xml:space="preserve"> </v>
      </c>
      <c r="S53" s="511"/>
      <c r="T53" s="340" t="str">
        <f>IF($AE53&lt;1," ",IF(S53&lt;1," ",(S53)/$AE53))</f>
        <v xml:space="preserve"> </v>
      </c>
      <c r="U53" s="398"/>
      <c r="V53" s="340" t="str">
        <f>IF($AE53&lt;1," ",IF(U53&lt;1," ",(U53)/$AE53))</f>
        <v xml:space="preserve"> </v>
      </c>
      <c r="W53" s="398"/>
      <c r="X53" s="340" t="str">
        <f>IF($AE53&lt;1," ",IF(W53&lt;1," ",(W53)/$AE53))</f>
        <v xml:space="preserve"> </v>
      </c>
      <c r="Y53" s="398"/>
      <c r="Z53" s="340" t="str">
        <f>IF($AE53&lt;1," ",IF(Y53&lt;1," ",(Y53)/$AE53))</f>
        <v xml:space="preserve"> </v>
      </c>
      <c r="AA53" s="398"/>
      <c r="AB53" s="340" t="str">
        <f>IF($AE53&lt;1," ",IF(AA53&lt;1," ",(AA53)/$AE53))</f>
        <v xml:space="preserve"> </v>
      </c>
      <c r="AC53" s="1605"/>
      <c r="AD53" s="379">
        <f>+E53+G53+I53+K53+M53+O53+Q53+S53+U53+W53+Y53+AA53+AC53</f>
        <v>0</v>
      </c>
      <c r="AE53" s="777"/>
      <c r="AF53" s="778"/>
      <c r="AG53" s="1240"/>
    </row>
    <row r="54" spans="1:33" ht="15.75">
      <c r="A54" s="1806"/>
      <c r="B54" s="1807"/>
      <c r="C54" s="376"/>
      <c r="D54" s="376"/>
      <c r="E54" s="397"/>
      <c r="F54" s="340" t="str">
        <f>IF($AE54&lt;1," ",IF(E54&lt;1," ",(E54)/$AE54))</f>
        <v xml:space="preserve"> </v>
      </c>
      <c r="G54" s="398"/>
      <c r="H54" s="340" t="str">
        <f>IF($AE54&lt;1," ",IF(G54&lt;1," ",(G54)/$AE54))</f>
        <v xml:space="preserve"> </v>
      </c>
      <c r="I54" s="398"/>
      <c r="J54" s="340" t="str">
        <f>IF($AE54&lt;1," ",IF(I54&lt;1," ",(I54)/$AE54))</f>
        <v xml:space="preserve"> </v>
      </c>
      <c r="K54" s="398"/>
      <c r="L54" s="340" t="str">
        <f>IF($AE54&lt;1," ",IF(K54&lt;1," ",(K54)/$AE54))</f>
        <v xml:space="preserve"> </v>
      </c>
      <c r="M54" s="398"/>
      <c r="N54" s="531" t="str">
        <f>IF($AE54&lt;1," ",IF(M54&lt;1," ",(M54)/$AE54))</f>
        <v xml:space="preserve"> </v>
      </c>
      <c r="O54" s="398"/>
      <c r="P54" s="340" t="str">
        <f>IF($AE54&lt;1," ",IF(O54&lt;1," ",(O54)/$AE54))</f>
        <v xml:space="preserve"> </v>
      </c>
      <c r="Q54" s="398"/>
      <c r="R54" s="531" t="str">
        <f>IF($AE54&lt;1," ",IF(Q54&lt;1," ",(Q54)/$AE54))</f>
        <v xml:space="preserve"> </v>
      </c>
      <c r="S54" s="511"/>
      <c r="T54" s="340" t="str">
        <f>IF($AE54&lt;1," ",IF(S54&lt;1," ",(S54)/$AE54))</f>
        <v xml:space="preserve"> </v>
      </c>
      <c r="U54" s="398"/>
      <c r="V54" s="340" t="str">
        <f>IF($AE54&lt;1," ",IF(U54&lt;1," ",(U54)/$AE54))</f>
        <v xml:space="preserve"> </v>
      </c>
      <c r="W54" s="398"/>
      <c r="X54" s="340" t="str">
        <f>IF($AE54&lt;1," ",IF(W54&lt;1," ",(W54)/$AE54))</f>
        <v xml:space="preserve"> </v>
      </c>
      <c r="Y54" s="398"/>
      <c r="Z54" s="340" t="str">
        <f>IF($AE54&lt;1," ",IF(Y54&lt;1," ",(Y54)/$AE54))</f>
        <v xml:space="preserve"> </v>
      </c>
      <c r="AA54" s="398"/>
      <c r="AB54" s="340" t="str">
        <f>IF($AE54&lt;1," ",IF(AA54&lt;1," ",(AA54)/$AE54))</f>
        <v xml:space="preserve"> </v>
      </c>
      <c r="AC54" s="1605"/>
      <c r="AD54" s="379">
        <f>+E54+G54+I54+K54+M54+O54+Q54+S54+U54+W54+Y54+AA54+AC54</f>
        <v>0</v>
      </c>
      <c r="AE54" s="777"/>
      <c r="AF54" s="778"/>
      <c r="AG54" s="1212"/>
    </row>
    <row r="55" spans="1:33" ht="15.75">
      <c r="A55" s="1806"/>
      <c r="B55" s="1807"/>
      <c r="C55" s="376"/>
      <c r="D55" s="376"/>
      <c r="E55" s="397"/>
      <c r="F55" s="340" t="str">
        <f>IF($AE55&lt;1," ",IF(E55&lt;1," ",(E55)/$AE55))</f>
        <v xml:space="preserve"> </v>
      </c>
      <c r="G55" s="398"/>
      <c r="H55" s="340" t="str">
        <f>IF($AE55&lt;1," ",IF(G55&lt;1," ",(G55)/$AE55))</f>
        <v xml:space="preserve"> </v>
      </c>
      <c r="I55" s="398"/>
      <c r="J55" s="340" t="str">
        <f>IF($AE55&lt;1," ",IF(I55&lt;1," ",(I55)/$AE55))</f>
        <v xml:space="preserve"> </v>
      </c>
      <c r="K55" s="398"/>
      <c r="L55" s="340" t="str">
        <f>IF($AE55&lt;1," ",IF(K55&lt;1," ",(K55)/$AE55))</f>
        <v xml:space="preserve"> </v>
      </c>
      <c r="M55" s="398"/>
      <c r="N55" s="531" t="str">
        <f>IF($AE55&lt;1," ",IF(M55&lt;1," ",(M55)/$AE55))</f>
        <v xml:space="preserve"> </v>
      </c>
      <c r="O55" s="398"/>
      <c r="P55" s="340" t="str">
        <f>IF($AE55&lt;1," ",IF(O55&lt;1," ",(O55)/$AE55))</f>
        <v xml:space="preserve"> </v>
      </c>
      <c r="Q55" s="398"/>
      <c r="R55" s="531" t="str">
        <f>IF($AE55&lt;1," ",IF(Q55&lt;1," ",(Q55)/$AE55))</f>
        <v xml:space="preserve"> </v>
      </c>
      <c r="S55" s="511"/>
      <c r="T55" s="340" t="str">
        <f>IF($AE55&lt;1," ",IF(S55&lt;1," ",(S55)/$AE55))</f>
        <v xml:space="preserve"> </v>
      </c>
      <c r="U55" s="398"/>
      <c r="V55" s="340" t="str">
        <f>IF($AE55&lt;1," ",IF(U55&lt;1," ",(U55)/$AE55))</f>
        <v xml:space="preserve"> </v>
      </c>
      <c r="W55" s="398"/>
      <c r="X55" s="340" t="str">
        <f>IF($AE55&lt;1," ",IF(W55&lt;1," ",(W55)/$AE55))</f>
        <v xml:space="preserve"> </v>
      </c>
      <c r="Y55" s="398"/>
      <c r="Z55" s="340" t="str">
        <f>IF($AE55&lt;1," ",IF(Y55&lt;1," ",(Y55)/$AE55))</f>
        <v xml:space="preserve"> </v>
      </c>
      <c r="AA55" s="398"/>
      <c r="AB55" s="340" t="str">
        <f>IF($AE55&lt;1," ",IF(AA55&lt;1," ",(AA55)/$AE55))</f>
        <v xml:space="preserve"> </v>
      </c>
      <c r="AC55" s="1605"/>
      <c r="AD55" s="379">
        <f>+E55+G55+I55+K55+M55+O55+Q55+S55+U55+W55+Y55+AA55+AC55</f>
        <v>0</v>
      </c>
      <c r="AE55" s="777"/>
      <c r="AF55" s="778"/>
      <c r="AG55" s="1212"/>
    </row>
    <row r="56" spans="1:33" ht="16.5" thickBot="1">
      <c r="A56" s="400" t="s">
        <v>438</v>
      </c>
      <c r="B56" s="401"/>
      <c r="C56" s="376"/>
      <c r="D56" s="376"/>
      <c r="E56" s="770">
        <f>SUM(E51:E55)</f>
        <v>0</v>
      </c>
      <c r="F56" s="384" t="s">
        <v>103</v>
      </c>
      <c r="G56" s="771">
        <f>SUM(G51:G55)</f>
        <v>0</v>
      </c>
      <c r="H56" s="384" t="s">
        <v>103</v>
      </c>
      <c r="I56" s="771">
        <f>SUM(I51:I55)</f>
        <v>0</v>
      </c>
      <c r="J56" s="384" t="s">
        <v>103</v>
      </c>
      <c r="K56" s="771">
        <f>SUM(K51:K55)</f>
        <v>0</v>
      </c>
      <c r="L56" s="384" t="s">
        <v>103</v>
      </c>
      <c r="M56" s="771">
        <f>SUM(M51:M55)</f>
        <v>0</v>
      </c>
      <c r="N56" s="533" t="s">
        <v>103</v>
      </c>
      <c r="O56" s="771">
        <f>SUM(O51:O55)</f>
        <v>0</v>
      </c>
      <c r="P56" s="384" t="s">
        <v>103</v>
      </c>
      <c r="Q56" s="771">
        <f>SUM(Q51:Q55)</f>
        <v>0</v>
      </c>
      <c r="R56" s="533" t="s">
        <v>103</v>
      </c>
      <c r="S56" s="772">
        <f>SUM(S51:S55)</f>
        <v>0</v>
      </c>
      <c r="T56" s="384" t="s">
        <v>103</v>
      </c>
      <c r="U56" s="771">
        <f>SUM(U51:U55)</f>
        <v>0</v>
      </c>
      <c r="V56" s="384" t="s">
        <v>103</v>
      </c>
      <c r="W56" s="771">
        <f>SUM(W51:W55)</f>
        <v>0</v>
      </c>
      <c r="X56" s="384" t="s">
        <v>103</v>
      </c>
      <c r="Y56" s="771">
        <f>SUM(Y51:Y55)</f>
        <v>0</v>
      </c>
      <c r="Z56" s="384" t="s">
        <v>103</v>
      </c>
      <c r="AA56" s="771">
        <f>SUM(AA51:AA55)</f>
        <v>0</v>
      </c>
      <c r="AB56" s="384" t="s">
        <v>103</v>
      </c>
      <c r="AC56" s="1602"/>
      <c r="AD56" s="773">
        <f>SUM(AD51:AD55)</f>
        <v>0</v>
      </c>
      <c r="AE56" s="779"/>
      <c r="AF56" s="780"/>
      <c r="AG56" s="1212"/>
    </row>
    <row r="57" spans="1:33" ht="15.75">
      <c r="A57" s="782"/>
      <c r="B57" s="783"/>
      <c r="C57" s="373"/>
      <c r="D57" s="373"/>
      <c r="E57" s="545"/>
      <c r="F57" s="482"/>
      <c r="G57" s="525"/>
      <c r="H57" s="482"/>
      <c r="I57" s="525"/>
      <c r="J57" s="482"/>
      <c r="K57" s="525"/>
      <c r="L57" s="482"/>
      <c r="M57" s="525"/>
      <c r="N57" s="482"/>
      <c r="O57" s="525"/>
      <c r="P57" s="482"/>
      <c r="Q57" s="525"/>
      <c r="R57" s="482"/>
      <c r="S57" s="525"/>
      <c r="T57" s="482"/>
      <c r="U57" s="525"/>
      <c r="V57" s="482"/>
      <c r="W57" s="525"/>
      <c r="X57" s="482"/>
      <c r="Y57" s="525"/>
      <c r="Z57" s="482"/>
      <c r="AA57" s="525"/>
      <c r="AB57" s="482"/>
      <c r="AC57" s="1606"/>
      <c r="AD57" s="1035"/>
      <c r="AE57" s="1036"/>
      <c r="AF57" s="1042"/>
      <c r="AG57" s="1212"/>
    </row>
    <row r="58" spans="1:33" ht="16.5" thickBot="1">
      <c r="A58" s="400" t="s">
        <v>439</v>
      </c>
      <c r="B58" s="401"/>
      <c r="C58" s="376"/>
      <c r="D58" s="376"/>
      <c r="E58" s="770">
        <f>+E23-E34+E39+E48+E56</f>
        <v>-461996.53049039037</v>
      </c>
      <c r="F58" s="384"/>
      <c r="G58" s="771">
        <f>+G23-G34+G39+G48+G56</f>
        <v>67672.849840111798</v>
      </c>
      <c r="H58" s="384"/>
      <c r="I58" s="771">
        <f>+I23-I34+I39+I48+I56</f>
        <v>395317.10411775066</v>
      </c>
      <c r="J58" s="384"/>
      <c r="K58" s="771">
        <f>+K23-K34+K39+K48+K56</f>
        <v>-70846.044632249279</v>
      </c>
      <c r="L58" s="384"/>
      <c r="M58" s="771">
        <f>+M23-M34+M39+M48+M56</f>
        <v>-61773.337955165887</v>
      </c>
      <c r="N58" s="533"/>
      <c r="O58" s="771">
        <f>+O23-O34+O39+O48+O56</f>
        <v>639678.20892737084</v>
      </c>
      <c r="P58" s="384"/>
      <c r="Q58" s="771">
        <f>+Q23-Q34+Q39+Q48+Q56</f>
        <v>-54350.30682335957</v>
      </c>
      <c r="R58" s="533"/>
      <c r="S58" s="772">
        <f>+S23-S34+S39+S48+S56</f>
        <v>13889.063065098366</v>
      </c>
      <c r="T58" s="384"/>
      <c r="U58" s="771">
        <f>+U23-U34+U39+U48+U56</f>
        <v>494123.25500026555</v>
      </c>
      <c r="V58" s="384"/>
      <c r="W58" s="771">
        <f>+W23-W34+W39+W48+W56</f>
        <v>-75195.182821047609</v>
      </c>
      <c r="X58" s="384"/>
      <c r="Y58" s="771">
        <f>+Y23-Y34+Y39+Y48+Y56</f>
        <v>-75194.812932589673</v>
      </c>
      <c r="Z58" s="384"/>
      <c r="AA58" s="771">
        <f>+AA23-AA34+AA39+AA48+AA56</f>
        <v>788920.51778216078</v>
      </c>
      <c r="AB58" s="384"/>
      <c r="AC58" s="1602">
        <f>+AC23-AC34+AC39+AC48+AC56</f>
        <v>-715864.38230114034</v>
      </c>
      <c r="AD58" s="773">
        <f>+AD23-AD34+AD39+AD48+AD56</f>
        <v>884380.400776817</v>
      </c>
      <c r="AE58" s="779"/>
      <c r="AF58" s="780"/>
      <c r="AG58" s="1212"/>
    </row>
    <row r="59" spans="1:33" ht="16.5" thickBot="1">
      <c r="A59" s="69"/>
      <c r="B59" s="369"/>
      <c r="C59" s="70"/>
      <c r="D59" s="70"/>
      <c r="E59" s="47"/>
      <c r="F59" s="197"/>
      <c r="G59" s="21"/>
      <c r="H59" s="197"/>
      <c r="I59" s="21"/>
      <c r="J59" s="197"/>
      <c r="K59" s="21"/>
      <c r="L59" s="197"/>
      <c r="M59" s="21"/>
      <c r="N59" s="197"/>
      <c r="O59" s="21"/>
      <c r="P59" s="197"/>
      <c r="Q59" s="21"/>
      <c r="R59" s="197"/>
      <c r="S59" s="21"/>
      <c r="T59" s="197"/>
      <c r="U59" s="21"/>
      <c r="V59" s="197"/>
      <c r="W59" s="21"/>
      <c r="X59" s="197"/>
      <c r="Y59" s="21"/>
      <c r="Z59" s="197"/>
      <c r="AA59" s="21"/>
      <c r="AB59" s="197"/>
      <c r="AC59" s="1607"/>
      <c r="AD59" s="191"/>
      <c r="AE59" s="779"/>
      <c r="AF59" s="780"/>
      <c r="AG59" s="1212"/>
    </row>
    <row r="60" spans="1:33" ht="16.5" thickBot="1">
      <c r="A60" s="69" t="s">
        <v>440</v>
      </c>
      <c r="B60" s="369"/>
      <c r="C60" s="70"/>
      <c r="D60" s="70"/>
      <c r="E60" s="770">
        <f>+E6+E58</f>
        <v>29934.352563791792</v>
      </c>
      <c r="F60" s="384"/>
      <c r="G60" s="771">
        <f>+G6+G58</f>
        <v>97607.20240390359</v>
      </c>
      <c r="H60" s="384"/>
      <c r="I60" s="771">
        <f>+I6+I58</f>
        <v>492924.30652165425</v>
      </c>
      <c r="J60" s="384"/>
      <c r="K60" s="771">
        <f>+K6+K58</f>
        <v>422078.26188940497</v>
      </c>
      <c r="L60" s="384"/>
      <c r="M60" s="771">
        <f>+M6+M58</f>
        <v>360304.92393423908</v>
      </c>
      <c r="N60" s="1002"/>
      <c r="O60" s="1003">
        <f>+O6+O58</f>
        <v>999983.13286160992</v>
      </c>
      <c r="P60" s="384"/>
      <c r="Q60" s="771">
        <f>+Q6+Q58</f>
        <v>945632.82603825035</v>
      </c>
      <c r="R60" s="533"/>
      <c r="S60" s="772">
        <f>+S6+S58</f>
        <v>959521.88910334872</v>
      </c>
      <c r="T60" s="384"/>
      <c r="U60" s="771">
        <f>+U6+U58</f>
        <v>1453645.1441036141</v>
      </c>
      <c r="V60" s="384"/>
      <c r="W60" s="771">
        <f>+W6+W58</f>
        <v>1378449.9612825667</v>
      </c>
      <c r="X60" s="384"/>
      <c r="Y60" s="771">
        <f>+Y6+Y58</f>
        <v>1303255.1483499771</v>
      </c>
      <c r="Z60" s="384"/>
      <c r="AA60" s="771">
        <f>+AA6+AA58</f>
        <v>2092175.6661321379</v>
      </c>
      <c r="AB60" s="384"/>
      <c r="AC60" s="1602">
        <f>+AC6+AC58</f>
        <v>1376311.2838309975</v>
      </c>
      <c r="AD60" s="1260"/>
      <c r="AE60" s="1037"/>
      <c r="AF60" s="1043"/>
      <c r="AG60" s="1212"/>
    </row>
    <row r="62" spans="1:33" ht="16.5">
      <c r="AB62" s="1611" t="s">
        <v>441</v>
      </c>
      <c r="AC62" s="1612">
        <f>'Budget-Summary MYP'!H55</f>
        <v>4060603.8885552674</v>
      </c>
    </row>
    <row r="63" spans="1:33" ht="17.25" thickBot="1">
      <c r="AB63" s="1613" t="s">
        <v>442</v>
      </c>
      <c r="AC63" s="1615">
        <f>AC60-AC62</f>
        <v>-2684292.6047242698</v>
      </c>
    </row>
    <row r="64" spans="1:33" ht="17.25" thickTop="1">
      <c r="AC64" s="1612"/>
    </row>
    <row r="65" spans="29:29" ht="16.5">
      <c r="AC65" s="1614"/>
    </row>
  </sheetData>
  <sheetProtection password="CC5F" sheet="1" objects="1" scenarios="1"/>
  <mergeCells count="10">
    <mergeCell ref="F1:L1"/>
    <mergeCell ref="T1:Z1"/>
    <mergeCell ref="G2:K2"/>
    <mergeCell ref="D40:D42"/>
    <mergeCell ref="A51:B51"/>
    <mergeCell ref="A52:B52"/>
    <mergeCell ref="A53:B53"/>
    <mergeCell ref="A54:B54"/>
    <mergeCell ref="A55:B55"/>
    <mergeCell ref="AE40:AE42"/>
  </mergeCells>
  <conditionalFormatting sqref="T1">
    <cfRule type="containsText" dxfId="326" priority="7" stopIfTrue="1" operator="containsText" text="Enter">
      <formula>NOT(ISERROR(SEARCH("Enter",T1)))</formula>
    </cfRule>
  </conditionalFormatting>
  <conditionalFormatting sqref="F1">
    <cfRule type="containsText" dxfId="325" priority="8" stopIfTrue="1" operator="containsText" text="Enter">
      <formula>NOT(ISERROR(SEARCH("Enter",F1)))</formula>
    </cfRule>
  </conditionalFormatting>
  <conditionalFormatting sqref="E60 G60 I60 K60 M60 O60 Q60 S60 U60 W60 Y60 AA60">
    <cfRule type="expression" dxfId="324" priority="6" stopIfTrue="1">
      <formula>"&lt;0"</formula>
    </cfRule>
  </conditionalFormatting>
  <conditionalFormatting sqref="AD47">
    <cfRule type="cellIs" dxfId="323" priority="1" stopIfTrue="1" operator="notEqual">
      <formula>$D$47</formula>
    </cfRule>
  </conditionalFormatting>
  <conditionalFormatting sqref="AD43">
    <cfRule type="cellIs" dxfId="322" priority="5" stopIfTrue="1" operator="notEqual">
      <formula>$D$43</formula>
    </cfRule>
  </conditionalFormatting>
  <conditionalFormatting sqref="AD44">
    <cfRule type="cellIs" dxfId="321" priority="4" stopIfTrue="1" operator="notEqual">
      <formula>$D$44</formula>
    </cfRule>
  </conditionalFormatting>
  <conditionalFormatting sqref="AD45">
    <cfRule type="cellIs" dxfId="320" priority="3" stopIfTrue="1" operator="notEqual">
      <formula>$D$45</formula>
    </cfRule>
  </conditionalFormatting>
  <conditionalFormatting sqref="AD46">
    <cfRule type="cellIs" dxfId="319" priority="2" stopIfTrue="1" operator="notEqual">
      <formula>$D$46</formula>
    </cfRule>
  </conditionalFormatting>
  <pageMargins left="0.7" right="0.7" top="0.75" bottom="0.75" header="0.3" footer="0.3"/>
  <pageSetup scale="50" fitToWidth="2" orientation="landscape" r:id="rId1"/>
  <headerFooter>
    <oddHeader>&amp;RPage &amp;P of &amp;N</oddHeader>
  </headerFooter>
  <colBreaks count="1" manualBreakCount="1">
    <brk id="18" max="1048575" man="1"/>
  </colBreaks>
  <customProperties>
    <customPr name="DrillPoint.FROID" r:id="rId2"/>
    <customPr name="DrillPoint.Mode" r:id="rId3"/>
    <customPr name="DrillPoint.Subsheet"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48"/>
  <sheetViews>
    <sheetView workbookViewId="0">
      <selection activeCell="I21" sqref="I21"/>
    </sheetView>
  </sheetViews>
  <sheetFormatPr defaultRowHeight="12.75"/>
  <cols>
    <col min="1" max="1" width="56.85546875" customWidth="1"/>
    <col min="2" max="2" width="17" customWidth="1"/>
    <col min="3" max="3" width="14" customWidth="1"/>
    <col min="4" max="4" width="14.85546875" customWidth="1"/>
    <col min="5" max="5" width="14" customWidth="1"/>
    <col min="9" max="9" width="19" customWidth="1"/>
    <col min="10" max="10" width="23.7109375" customWidth="1"/>
  </cols>
  <sheetData>
    <row r="1" spans="1:10">
      <c r="A1" s="133" t="str">
        <f>'BUDGET-CERTIFICATION'!H1</f>
        <v>Encore High School -</v>
      </c>
    </row>
    <row r="2" spans="1:10">
      <c r="A2" s="133" t="s">
        <v>446</v>
      </c>
    </row>
    <row r="3" spans="1:10">
      <c r="A3" s="133" t="str">
        <f>'Budget-ADA'!K7</f>
        <v>2021-22</v>
      </c>
    </row>
    <row r="4" spans="1:10">
      <c r="A4" s="133" t="str">
        <f>'BUDGET-CERTIFICATION'!H3</f>
        <v>Hesperia Unified School District</v>
      </c>
    </row>
    <row r="5" spans="1:10">
      <c r="B5" s="1243" t="s">
        <v>447</v>
      </c>
      <c r="C5" s="1243" t="s">
        <v>448</v>
      </c>
      <c r="D5" s="1243" t="s">
        <v>449</v>
      </c>
      <c r="E5" s="1243" t="s">
        <v>449</v>
      </c>
      <c r="H5" s="1243"/>
      <c r="I5" s="1243"/>
      <c r="J5" s="1243"/>
    </row>
    <row r="6" spans="1:10">
      <c r="A6" s="135" t="s">
        <v>450</v>
      </c>
      <c r="B6" s="92">
        <f>'Budget-ADA'!J76</f>
        <v>899.27</v>
      </c>
      <c r="C6" s="92">
        <f>'Budget-ADA'!L76</f>
        <v>796.07999999999993</v>
      </c>
      <c r="D6" s="92">
        <f>'Budget-ADA'!O76</f>
        <v>796.07999999999993</v>
      </c>
      <c r="E6" s="92">
        <f>'Budget-ADA'!R76</f>
        <v>796.07999999999993</v>
      </c>
      <c r="H6" s="1263"/>
      <c r="I6" s="1264"/>
      <c r="J6" s="1264"/>
    </row>
    <row r="7" spans="1:10">
      <c r="A7" s="135" t="s">
        <v>451</v>
      </c>
      <c r="B7" s="1227">
        <f>'Budget-Assumptions'!F24</f>
        <v>858</v>
      </c>
      <c r="C7" s="1228">
        <f>'Budget-Assumptions'!G24</f>
        <v>856</v>
      </c>
      <c r="D7" s="1228">
        <f>'Budget-Assumptions'!H24</f>
        <v>856</v>
      </c>
      <c r="E7" s="1228">
        <f>'Budget-Assumptions'!J24</f>
        <v>856</v>
      </c>
      <c r="H7" s="1263"/>
      <c r="I7" s="1264"/>
      <c r="J7" s="1264"/>
    </row>
    <row r="8" spans="1:10">
      <c r="A8" t="s">
        <v>181</v>
      </c>
      <c r="B8" s="1227">
        <f>'Budget-Assumptions'!F27</f>
        <v>500</v>
      </c>
      <c r="C8" s="1228">
        <f>'Budget-Assumptions'!G27</f>
        <v>499</v>
      </c>
      <c r="D8" s="1228">
        <f>'Budget-Assumptions'!H27</f>
        <v>499</v>
      </c>
      <c r="E8" s="1228">
        <f>'Budget-Assumptions'!J27</f>
        <v>499</v>
      </c>
      <c r="H8" s="1263"/>
      <c r="I8" s="1264"/>
      <c r="J8" s="1264"/>
    </row>
    <row r="9" spans="1:10">
      <c r="A9" t="s">
        <v>452</v>
      </c>
      <c r="B9" s="1309">
        <f>'Budget-Assumptions'!F28</f>
        <v>0.59040000000000004</v>
      </c>
      <c r="C9" s="1309">
        <f>'Budget-Assumptions'!G28</f>
        <v>0.58479999999999999</v>
      </c>
      <c r="D9" s="1309">
        <f>'Budget-Assumptions'!H28</f>
        <v>0.58289999999999997</v>
      </c>
      <c r="E9" s="1309">
        <f>'Budget-Assumptions'!J28</f>
        <v>0.58289999999999997</v>
      </c>
      <c r="H9" s="1263"/>
      <c r="I9" s="1264"/>
      <c r="J9" s="1264"/>
    </row>
    <row r="10" spans="1:10">
      <c r="H10" s="1263"/>
      <c r="I10" s="1264"/>
      <c r="J10" s="1264"/>
    </row>
    <row r="11" spans="1:10">
      <c r="A11" t="s">
        <v>237</v>
      </c>
      <c r="B11" s="174">
        <f>'Budget-Unrestricted MYP'!E13+'Budget-Unrestricted MYP'!E14+'Budget-Unrestricted MYP'!E15+'Budget-Unrestricted MYP'!E16</f>
        <v>9158953</v>
      </c>
      <c r="C11" s="1229">
        <f>'Budget-Assumptions'!G11</f>
        <v>8609563</v>
      </c>
      <c r="D11" s="1229">
        <f>'Budget-Assumptions'!H11</f>
        <v>8812554</v>
      </c>
      <c r="E11" s="1229">
        <f>'Budget-Assumptions'!J11</f>
        <v>9086438</v>
      </c>
      <c r="H11" s="1263"/>
      <c r="I11" s="1264"/>
      <c r="J11" s="1264"/>
    </row>
    <row r="12" spans="1:10">
      <c r="H12" s="1263"/>
      <c r="I12" s="1264"/>
      <c r="J12" s="1264"/>
    </row>
    <row r="13" spans="1:10">
      <c r="A13" t="s">
        <v>453</v>
      </c>
      <c r="C13" s="1230">
        <f>'Budget-Assumptions'!G31</f>
        <v>34.5</v>
      </c>
      <c r="D13" s="1230">
        <f>'Budget-Assumptions'!H31</f>
        <v>34.5</v>
      </c>
      <c r="E13" s="1230">
        <f>'Budget-Assumptions'!J31</f>
        <v>34.5</v>
      </c>
      <c r="H13" s="1263"/>
      <c r="I13" s="1264"/>
      <c r="J13" s="1264"/>
    </row>
    <row r="14" spans="1:10">
      <c r="A14" t="s">
        <v>454</v>
      </c>
      <c r="C14" s="1230">
        <f>'Budget-Assumptions'!G33</f>
        <v>3</v>
      </c>
      <c r="D14" s="1230">
        <f>'Budget-Assumptions'!H33</f>
        <v>3</v>
      </c>
      <c r="E14" s="1230">
        <f>'Budget-Assumptions'!J33</f>
        <v>3</v>
      </c>
      <c r="H14" s="1263"/>
      <c r="I14" s="1264"/>
      <c r="J14" s="1264"/>
    </row>
    <row r="15" spans="1:10">
      <c r="A15" s="135" t="s">
        <v>455</v>
      </c>
      <c r="C15" s="1230">
        <f>'Budget-Assumptions'!G32</f>
        <v>3</v>
      </c>
      <c r="D15" s="1230">
        <f>'Budget-Assumptions'!H32</f>
        <v>3</v>
      </c>
      <c r="E15" s="1230">
        <f>'Budget-Assumptions'!J32</f>
        <v>3</v>
      </c>
      <c r="H15" s="1263"/>
    </row>
    <row r="16" spans="1:10">
      <c r="A16" s="135"/>
      <c r="C16" s="1230"/>
      <c r="D16" s="1230"/>
      <c r="E16" s="1230"/>
      <c r="H16" s="1263"/>
    </row>
    <row r="17" spans="1:8">
      <c r="A17" s="135" t="s">
        <v>456</v>
      </c>
      <c r="C17" s="1230">
        <f>'Budget-Assumptions'!G48</f>
        <v>28.78</v>
      </c>
      <c r="D17" s="1230">
        <f>'Budget-Assumptions'!H48</f>
        <v>29.5</v>
      </c>
      <c r="E17" s="1230">
        <f>'Budget-Assumptions'!J48</f>
        <v>30.5</v>
      </c>
      <c r="H17" s="135"/>
    </row>
    <row r="18" spans="1:8">
      <c r="A18" s="135" t="s">
        <v>457</v>
      </c>
      <c r="C18" s="1230">
        <f>'Budget-Assumptions'!G49</f>
        <v>7</v>
      </c>
      <c r="D18" s="1230">
        <f>'Budget-Assumptions'!H49</f>
        <v>7</v>
      </c>
      <c r="E18" s="1230">
        <f>'Budget-Assumptions'!J49</f>
        <v>7</v>
      </c>
      <c r="H18" s="135"/>
    </row>
    <row r="19" spans="1:8">
      <c r="A19" s="135"/>
      <c r="C19" s="1230"/>
      <c r="D19" s="1230"/>
      <c r="E19" s="1230"/>
      <c r="H19" s="135"/>
    </row>
    <row r="20" spans="1:8">
      <c r="A20" t="s">
        <v>458</v>
      </c>
      <c r="C20" s="1229">
        <f>'Budget-Assumptions'!G36</f>
        <v>70090.67</v>
      </c>
      <c r="D20" s="1229">
        <f>'Budget-Assumptions'!H36</f>
        <v>72193.39</v>
      </c>
      <c r="E20" s="1229">
        <f>'Budget-Assumptions'!J36</f>
        <v>74359.19</v>
      </c>
    </row>
    <row r="21" spans="1:8">
      <c r="A21" t="s">
        <v>459</v>
      </c>
      <c r="C21" s="1229">
        <f>'Budget-Assumptions'!G38</f>
        <v>114436.67</v>
      </c>
      <c r="D21" s="1229">
        <f>'Budget-Assumptions'!H38</f>
        <v>117869.77</v>
      </c>
      <c r="E21" s="1229">
        <f>'Budget-Assumptions'!J38</f>
        <v>121405.86</v>
      </c>
    </row>
    <row r="22" spans="1:8">
      <c r="A22" s="135" t="s">
        <v>460</v>
      </c>
      <c r="C22" s="1229">
        <f>'Budget-Assumptions'!G37</f>
        <v>112516.33</v>
      </c>
      <c r="D22" s="1229">
        <f>'Budget-Assumptions'!H37</f>
        <v>115891.82</v>
      </c>
      <c r="E22" s="1229">
        <f>'Budget-Assumptions'!J37</f>
        <v>119368.58</v>
      </c>
    </row>
    <row r="23" spans="1:8">
      <c r="A23" s="135"/>
      <c r="C23" s="1229"/>
      <c r="D23" s="1229"/>
      <c r="E23" s="1229"/>
    </row>
    <row r="24" spans="1:8">
      <c r="A24" t="s">
        <v>461</v>
      </c>
      <c r="C24" s="1229">
        <f>'Budget-Assumptions'!G50</f>
        <v>47112.23</v>
      </c>
      <c r="D24" s="1229">
        <f>'Budget-Assumptions'!H50</f>
        <v>48525.59</v>
      </c>
      <c r="E24" s="1229">
        <f>'Budget-Assumptions'!J50</f>
        <v>49981.36</v>
      </c>
    </row>
    <row r="25" spans="1:8">
      <c r="A25" s="135" t="s">
        <v>462</v>
      </c>
      <c r="C25" s="1229">
        <f>'Budget-Assumptions'!G51</f>
        <v>91807.7</v>
      </c>
      <c r="D25" s="1229">
        <f>'Budget-Assumptions'!H51</f>
        <v>94561.93</v>
      </c>
      <c r="E25" s="1229">
        <f>'Budget-Assumptions'!J51</f>
        <v>97398.78</v>
      </c>
    </row>
    <row r="26" spans="1:8">
      <c r="A26" s="135"/>
      <c r="C26" s="1229"/>
      <c r="D26" s="1229"/>
      <c r="E26" s="1229"/>
    </row>
    <row r="27" spans="1:8">
      <c r="A27" s="135" t="s">
        <v>463</v>
      </c>
      <c r="C27" s="1229">
        <f>'Budget-Assumptions'!G40</f>
        <v>10382.299999999999</v>
      </c>
      <c r="D27" s="1229">
        <f>'Budget-Assumptions'!H40</f>
        <v>10693.77</v>
      </c>
      <c r="E27" s="1229">
        <f>'Budget-Assumptions'!J40</f>
        <v>11014.58</v>
      </c>
    </row>
    <row r="28" spans="1:8">
      <c r="A28" s="135" t="s">
        <v>464</v>
      </c>
      <c r="C28" s="1229">
        <f>'Budget-Assumptions'!G53</f>
        <v>7432.11</v>
      </c>
      <c r="D28" s="1229">
        <f>'Budget-Assumptions'!H53</f>
        <v>7655.0780000000004</v>
      </c>
      <c r="E28" s="1229">
        <f>'Budget-Assumptions'!J53</f>
        <v>7884.72</v>
      </c>
    </row>
    <row r="30" spans="1:8">
      <c r="A30" s="135" t="s">
        <v>196</v>
      </c>
      <c r="B30" s="979"/>
      <c r="C30" s="979">
        <f>'Budget-Assumptions'!G42</f>
        <v>0.16919999999999999</v>
      </c>
      <c r="D30" s="979">
        <f>'Budget-Assumptions'!H42</f>
        <v>0.17430000000000001</v>
      </c>
      <c r="E30" s="979">
        <f>'Budget-Assumptions'!J42</f>
        <v>0.17949999999999999</v>
      </c>
    </row>
    <row r="31" spans="1:8">
      <c r="A31" s="135" t="s">
        <v>206</v>
      </c>
      <c r="C31" s="979">
        <f>'Budget-Assumptions'!G55</f>
        <v>0.2291</v>
      </c>
      <c r="D31" s="979">
        <f>'Budget-Assumptions'!H55</f>
        <v>0.26100000000000001</v>
      </c>
      <c r="E31" s="979">
        <f>'Budget-Assumptions'!J55</f>
        <v>0.27100000000000002</v>
      </c>
    </row>
    <row r="33" spans="1:5">
      <c r="A33" s="135" t="s">
        <v>465</v>
      </c>
      <c r="C33" s="979">
        <f>'Budget-Assumptions'!G61</f>
        <v>6.2E-2</v>
      </c>
      <c r="D33" s="979">
        <f>'Budget-Assumptions'!H61</f>
        <v>6.2E-2</v>
      </c>
      <c r="E33" s="979">
        <f>'Budget-Assumptions'!J61</f>
        <v>6.2E-2</v>
      </c>
    </row>
    <row r="34" spans="1:5">
      <c r="A34" s="135" t="s">
        <v>466</v>
      </c>
      <c r="C34" s="979">
        <f>'Budget-Assumptions'!G62</f>
        <v>1.4500000000000001E-2</v>
      </c>
      <c r="D34" s="979">
        <f>'Budget-Assumptions'!H62</f>
        <v>1.4500000000000001E-2</v>
      </c>
      <c r="E34" s="979">
        <f>'Budget-Assumptions'!J62</f>
        <v>1.4500000000000001E-2</v>
      </c>
    </row>
    <row r="35" spans="1:5">
      <c r="A35" s="135" t="s">
        <v>210</v>
      </c>
      <c r="C35" s="979">
        <f>'Budget-Assumptions'!G63</f>
        <v>1.23E-2</v>
      </c>
      <c r="D35" s="979">
        <f>'Budget-Assumptions'!H63</f>
        <v>2E-3</v>
      </c>
      <c r="E35" s="979">
        <f>'Budget-Assumptions'!J63</f>
        <v>2E-3</v>
      </c>
    </row>
    <row r="36" spans="1:5">
      <c r="A36" s="135" t="s">
        <v>211</v>
      </c>
      <c r="C36" s="979">
        <f>'Budget-Assumptions'!G64</f>
        <v>2.3002000000000002E-2</v>
      </c>
      <c r="D36" s="979">
        <f>'Budget-Assumptions'!H64</f>
        <v>2.3002000000000002E-2</v>
      </c>
      <c r="E36" s="979">
        <f>'Budget-Assumptions'!J64</f>
        <v>2.3002000000000002E-2</v>
      </c>
    </row>
    <row r="38" spans="1:5">
      <c r="A38" s="133" t="s">
        <v>467</v>
      </c>
    </row>
    <row r="39" spans="1:5" ht="15.75">
      <c r="A39" s="1" t="s">
        <v>468</v>
      </c>
      <c r="B39" s="983">
        <f>'Budget-Unrestricted MYP'!E49</f>
        <v>190562.52</v>
      </c>
      <c r="C39" s="1237">
        <f>'Budget-Unrestricted MYP'!F49</f>
        <v>2328491.2500000005</v>
      </c>
      <c r="D39" s="174">
        <f>'Budget-Unrestricted MYP'!H49</f>
        <v>3964597.6578057152</v>
      </c>
      <c r="E39" s="174">
        <f>'Budget-Unrestricted MYP'!J49</f>
        <v>4450833.9985552672</v>
      </c>
    </row>
    <row r="40" spans="1:5" ht="15.75">
      <c r="A40" s="1" t="s">
        <v>469</v>
      </c>
      <c r="B40" s="983">
        <f>'Budget-Unrestricted MYP'!E50</f>
        <v>0</v>
      </c>
      <c r="C40" s="1237">
        <f>'Budget-Unrestricted MYP'!F50</f>
        <v>0</v>
      </c>
      <c r="D40" s="174">
        <f>'Budget-Unrestricted MYP'!H50</f>
        <v>0</v>
      </c>
      <c r="E40" s="174">
        <f>'Budget-Unrestricted MYP'!J50</f>
        <v>0</v>
      </c>
    </row>
    <row r="41" spans="1:5" ht="15.75">
      <c r="A41" s="1" t="s">
        <v>282</v>
      </c>
      <c r="B41" s="983">
        <f>B39+B40</f>
        <v>190562.52</v>
      </c>
      <c r="C41" s="983">
        <f>C39+C40</f>
        <v>2328491.2500000005</v>
      </c>
      <c r="D41" s="983">
        <f>D39+D40</f>
        <v>3964597.6578057152</v>
      </c>
      <c r="E41" s="983">
        <f>E39+E40</f>
        <v>4450833.9985552672</v>
      </c>
    </row>
    <row r="42" spans="1:5" ht="15.75">
      <c r="A42" s="1" t="s">
        <v>470</v>
      </c>
      <c r="B42" s="983">
        <f>'Budget-Unrestricted MYP'!E51</f>
        <v>0</v>
      </c>
      <c r="C42" s="1237">
        <f>'Budget-Unrestricted MYP'!F51</f>
        <v>0</v>
      </c>
      <c r="D42" s="174">
        <f>'Budget-Unrestricted MYP'!H51</f>
        <v>0</v>
      </c>
      <c r="E42" s="174">
        <f>'Budget-Unrestricted MYP'!J51</f>
        <v>0</v>
      </c>
    </row>
    <row r="43" spans="1:5" ht="15.75">
      <c r="A43" s="1" t="s">
        <v>471</v>
      </c>
      <c r="B43" s="983">
        <f>'Budget-Unrestricted MYP'!E53</f>
        <v>6745</v>
      </c>
      <c r="C43" s="1237">
        <f>'Budget-Unrestricted MYP'!F53</f>
        <v>0</v>
      </c>
      <c r="D43" s="174">
        <f>'Budget-Unrestricted MYP'!H53</f>
        <v>0</v>
      </c>
      <c r="E43" s="174">
        <f>'Budget-Unrestricted MYP'!J53</f>
        <v>0</v>
      </c>
    </row>
    <row r="44" spans="1:5" ht="15.75">
      <c r="A44" s="1" t="s">
        <v>285</v>
      </c>
      <c r="B44" s="983">
        <f>'Budget-Unrestricted MYP'!E54</f>
        <v>197307.51999999999</v>
      </c>
      <c r="C44" s="1237">
        <f>'Budget-Unrestricted MYP'!F54</f>
        <v>0</v>
      </c>
      <c r="D44" s="174">
        <f>'Budget-Unrestricted MYP'!H54</f>
        <v>0</v>
      </c>
      <c r="E44" s="174">
        <f>'Budget-Unrestricted MYP'!J54</f>
        <v>0</v>
      </c>
    </row>
    <row r="45" spans="1:5" ht="15.75">
      <c r="A45" s="1" t="s">
        <v>472</v>
      </c>
      <c r="B45" s="983">
        <f>'Budget-Unrestricted MYP'!E55</f>
        <v>2328491.2500000005</v>
      </c>
      <c r="C45" s="1237">
        <f>'Budget-Unrestricted MYP'!F55</f>
        <v>3964597.6578057152</v>
      </c>
      <c r="D45" s="174">
        <f>'Budget-Unrestricted MYP'!H55</f>
        <v>4450833.9985552672</v>
      </c>
      <c r="E45" s="174">
        <f>'Budget-Unrestricted MYP'!J55</f>
        <v>5056918.7579839155</v>
      </c>
    </row>
    <row r="47" spans="1:5" ht="15.75">
      <c r="A47" s="98" t="s">
        <v>473</v>
      </c>
      <c r="B47" s="1239">
        <f>'Budget-Unrestricted MYP'!E59</f>
        <v>0</v>
      </c>
      <c r="C47" s="174">
        <f>'Budget-Unrestricted MYP'!F59</f>
        <v>0</v>
      </c>
      <c r="D47" s="174">
        <f>'Budget-Unrestricted MYP'!H59</f>
        <v>0</v>
      </c>
      <c r="E47" s="174">
        <f>'Budget-Unrestricted MYP'!J59</f>
        <v>0</v>
      </c>
    </row>
    <row r="48" spans="1:5" ht="15.75">
      <c r="A48" s="98" t="s">
        <v>474</v>
      </c>
      <c r="B48" s="1239">
        <f>'Budget-Unrestricted MYP'!E60</f>
        <v>0</v>
      </c>
      <c r="C48" s="174">
        <f>'Budget-Unrestricted MYP'!F60</f>
        <v>0</v>
      </c>
      <c r="D48" s="174">
        <f>'Budget-Unrestricted MYP'!H60</f>
        <v>0</v>
      </c>
      <c r="E48" s="174">
        <f>'Budget-Unrestricted MYP'!J60</f>
        <v>0</v>
      </c>
    </row>
    <row r="49" spans="1:5" ht="15.75">
      <c r="A49" s="98" t="s">
        <v>475</v>
      </c>
      <c r="B49" s="1239">
        <f>'Budget-Unrestricted MYP'!E61</f>
        <v>0</v>
      </c>
      <c r="C49" s="174">
        <f>'Budget-Unrestricted MYP'!F61</f>
        <v>0</v>
      </c>
      <c r="D49" s="174">
        <f>'Budget-Unrestricted MYP'!H61</f>
        <v>0</v>
      </c>
      <c r="E49" s="174">
        <f>'Budget-Unrestricted MYP'!J61</f>
        <v>0</v>
      </c>
    </row>
    <row r="50" spans="1:5" ht="15.75">
      <c r="A50" s="98" t="s">
        <v>476</v>
      </c>
      <c r="B50" s="1239">
        <f>'Budget-Unrestricted MYP'!E62</f>
        <v>0</v>
      </c>
      <c r="C50" s="174">
        <f>'Budget-Unrestricted MYP'!F62</f>
        <v>0</v>
      </c>
      <c r="D50" s="174">
        <f>'Budget-Unrestricted MYP'!H62</f>
        <v>0</v>
      </c>
      <c r="E50" s="174">
        <f>'Budget-Unrestricted MYP'!J62</f>
        <v>0</v>
      </c>
    </row>
    <row r="51" spans="1:5" ht="15.75">
      <c r="A51" s="98" t="s">
        <v>477</v>
      </c>
      <c r="B51" s="1239">
        <f>'Budget-Unrestricted MYP'!E65</f>
        <v>0</v>
      </c>
      <c r="C51" s="174">
        <f>'Budget-Unrestricted MYP'!F65</f>
        <v>0</v>
      </c>
      <c r="D51" s="174">
        <f>'Budget-Unrestricted MYP'!H65</f>
        <v>0</v>
      </c>
      <c r="E51" s="174">
        <f>'Budget-Unrestricted MYP'!J65</f>
        <v>0</v>
      </c>
    </row>
    <row r="52" spans="1:5" ht="15.75">
      <c r="A52" s="98" t="s">
        <v>478</v>
      </c>
      <c r="B52" s="1239">
        <f>'Budget-Unrestricted MYP'!E66</f>
        <v>0</v>
      </c>
      <c r="C52" s="174">
        <f>'Budget-Unrestricted MYP'!F66</f>
        <v>0</v>
      </c>
      <c r="D52" s="174">
        <f>'Budget-Unrestricted MYP'!H66</f>
        <v>0</v>
      </c>
      <c r="E52" s="174">
        <f>'Budget-Unrestricted MYP'!J66</f>
        <v>0</v>
      </c>
    </row>
    <row r="53" spans="1:5" ht="15.75">
      <c r="A53" s="98" t="s">
        <v>479</v>
      </c>
      <c r="B53" s="1239">
        <f>'Budget-Unrestricted MYP'!E67</f>
        <v>0</v>
      </c>
      <c r="C53" s="174">
        <f>'Budget-Unrestricted MYP'!F67</f>
        <v>0</v>
      </c>
      <c r="D53" s="174">
        <f>'Budget-Unrestricted MYP'!H67</f>
        <v>0</v>
      </c>
      <c r="E53" s="174">
        <f>'Budget-Unrestricted MYP'!J67</f>
        <v>0</v>
      </c>
    </row>
    <row r="54" spans="1:5" ht="15.75">
      <c r="A54" s="98" t="s">
        <v>480</v>
      </c>
      <c r="B54" s="1239">
        <f>'Budget-Unrestricted MYP'!E69</f>
        <v>0</v>
      </c>
      <c r="C54" s="174">
        <f>'Budget-Unrestricted MYP'!F69</f>
        <v>0</v>
      </c>
      <c r="D54" s="174">
        <f>'Budget-Unrestricted MYP'!H69</f>
        <v>0</v>
      </c>
      <c r="E54" s="174">
        <f>'Budget-Unrestricted MYP'!J69</f>
        <v>0</v>
      </c>
    </row>
    <row r="55" spans="1:5" ht="16.5">
      <c r="A55" s="1238" t="s">
        <v>481</v>
      </c>
      <c r="B55" s="1239">
        <f>'Budget-Unrestricted MYP'!E70</f>
        <v>2328491.2500000005</v>
      </c>
      <c r="C55" s="174">
        <f>'Budget-Unrestricted MYP'!F70</f>
        <v>3964597.6578057152</v>
      </c>
      <c r="D55" s="174">
        <f>'Budget-Unrestricted MYP'!H70</f>
        <v>4450833.9985552672</v>
      </c>
      <c r="E55" s="174">
        <f>'Budget-Unrestricted MYP'!J70</f>
        <v>5056918.7579839155</v>
      </c>
    </row>
    <row r="57" spans="1:5" s="133" customFormat="1">
      <c r="A57" s="133" t="s">
        <v>482</v>
      </c>
    </row>
    <row r="58" spans="1:5" ht="15.75">
      <c r="A58" s="1" t="s">
        <v>468</v>
      </c>
      <c r="B58" s="174">
        <f>'Budget-Restricted MYP'!E49</f>
        <v>-185160.67</v>
      </c>
      <c r="C58" s="174">
        <f>'Budget-Restricted MYP'!F49</f>
        <v>-240336</v>
      </c>
      <c r="D58" s="174">
        <f>'Budget-Restricted MYP'!H49</f>
        <v>-353495.85</v>
      </c>
      <c r="E58" s="174">
        <f>'Budget-Restricted MYP'!J49</f>
        <v>-390230.11</v>
      </c>
    </row>
    <row r="59" spans="1:5" ht="15.75">
      <c r="A59" s="1" t="s">
        <v>469</v>
      </c>
      <c r="B59" s="174">
        <f>'Budget-Restricted MYP'!E50</f>
        <v>0</v>
      </c>
      <c r="C59" s="174">
        <f>'Budget-Restricted MYP'!F50</f>
        <v>0</v>
      </c>
      <c r="D59" s="174">
        <f>'Budget-Restricted MYP'!H50</f>
        <v>0</v>
      </c>
      <c r="E59" s="174">
        <f>'Budget-Restricted MYP'!J50</f>
        <v>0</v>
      </c>
    </row>
    <row r="60" spans="1:5" ht="15.75">
      <c r="A60" s="1" t="s">
        <v>282</v>
      </c>
      <c r="B60" s="174">
        <f>B58+B59</f>
        <v>-185160.67</v>
      </c>
      <c r="C60" s="174">
        <f>C58+C59</f>
        <v>-240336</v>
      </c>
      <c r="D60" s="174">
        <f>D58+D59</f>
        <v>-353495.85</v>
      </c>
      <c r="E60" s="174">
        <f>E58+E59</f>
        <v>-390230.11</v>
      </c>
    </row>
    <row r="61" spans="1:5" ht="15.75">
      <c r="A61" s="1" t="s">
        <v>470</v>
      </c>
      <c r="B61" s="174">
        <f>'Budget-Restricted MYP'!E51</f>
        <v>0</v>
      </c>
      <c r="C61" s="174">
        <f>'Budget-Restricted MYP'!F51</f>
        <v>0</v>
      </c>
      <c r="D61" s="174">
        <f>'Budget-Restricted MYP'!H51</f>
        <v>0</v>
      </c>
      <c r="E61" s="174">
        <f>'Budget-Restricted MYP'!J51</f>
        <v>0</v>
      </c>
    </row>
    <row r="62" spans="1:5" ht="15.75">
      <c r="A62" s="1" t="s">
        <v>471</v>
      </c>
      <c r="B62" s="174">
        <f>'Budget-Restricted MYP'!E53</f>
        <v>0</v>
      </c>
      <c r="C62" s="174">
        <f>'Budget-Restricted MYP'!F53</f>
        <v>0</v>
      </c>
      <c r="D62" s="174">
        <f>'Budget-Restricted MYP'!H53</f>
        <v>0</v>
      </c>
      <c r="E62" s="174">
        <f>'Budget-Restricted MYP'!J53</f>
        <v>0</v>
      </c>
    </row>
    <row r="63" spans="1:5" ht="15.75">
      <c r="A63" s="1" t="s">
        <v>285</v>
      </c>
      <c r="B63" s="174">
        <f>'Budget-Restricted MYP'!E54</f>
        <v>-185160.67</v>
      </c>
      <c r="C63" s="174">
        <f>'Budget-Restricted MYP'!F54</f>
        <v>0</v>
      </c>
      <c r="D63" s="174">
        <f>'Budget-Restricted MYP'!H54</f>
        <v>0</v>
      </c>
      <c r="E63" s="174">
        <f>'Budget-Restricted MYP'!J54</f>
        <v>0</v>
      </c>
    </row>
    <row r="64" spans="1:5" ht="15.75">
      <c r="A64" s="1" t="s">
        <v>472</v>
      </c>
      <c r="B64" s="174">
        <f>'Budget-Restricted MYP'!E55</f>
        <v>-240336</v>
      </c>
      <c r="C64" s="174">
        <f>'Budget-Restricted MYP'!F55</f>
        <v>-353495.85</v>
      </c>
      <c r="D64" s="174">
        <f>'Budget-Restricted MYP'!H55</f>
        <v>-390230.11</v>
      </c>
      <c r="E64" s="174">
        <f>'Budget-Restricted MYP'!J55</f>
        <v>-977270.07</v>
      </c>
    </row>
    <row r="65" spans="1:5">
      <c r="B65" s="174"/>
      <c r="C65" s="174"/>
      <c r="D65" s="174"/>
      <c r="E65" s="174"/>
    </row>
    <row r="66" spans="1:5" ht="15.75">
      <c r="A66" s="1" t="s">
        <v>483</v>
      </c>
      <c r="B66" s="174">
        <f>'Budget-Unrestricted MYP'!E13</f>
        <v>6902334</v>
      </c>
      <c r="C66" s="174">
        <f>'Budget-Unrestricted MYP'!F13</f>
        <v>6570869</v>
      </c>
      <c r="D66" s="174">
        <f>'Budget-Unrestricted MYP'!H13</f>
        <v>8812554</v>
      </c>
      <c r="E66" s="174">
        <f>'Budget-Unrestricted MYP'!J13</f>
        <v>9086438</v>
      </c>
    </row>
    <row r="67" spans="1:5" ht="15.75">
      <c r="A67" s="1" t="s">
        <v>484</v>
      </c>
      <c r="B67" s="174">
        <f>'Budget-Unrestricted MYP'!E14</f>
        <v>1969435</v>
      </c>
      <c r="C67" s="174">
        <f>'Budget-Unrestricted MYP'!F14</f>
        <v>1743325</v>
      </c>
      <c r="D67" s="174">
        <f>'Budget-Unrestricted MYP'!H14</f>
        <v>0</v>
      </c>
      <c r="E67" s="174">
        <f>'Budget-Unrestricted MYP'!J14</f>
        <v>0</v>
      </c>
    </row>
    <row r="68" spans="1:5" ht="15.75">
      <c r="A68" s="1" t="s">
        <v>485</v>
      </c>
      <c r="B68" s="174">
        <f>'Budget-Unrestricted MYP'!E15</f>
        <v>-46472</v>
      </c>
      <c r="C68" s="174">
        <f>'Budget-Unrestricted MYP'!F15</f>
        <v>0</v>
      </c>
      <c r="D68" s="174">
        <f>'Budget-Unrestricted MYP'!H15</f>
        <v>0</v>
      </c>
      <c r="E68" s="174">
        <f>'Budget-Unrestricted MYP'!J15</f>
        <v>0</v>
      </c>
    </row>
    <row r="69" spans="1:5" ht="15.75">
      <c r="A69" s="1" t="s">
        <v>486</v>
      </c>
      <c r="B69" s="174">
        <f>'Budget-Unrestricted MYP'!E16</f>
        <v>333656</v>
      </c>
      <c r="C69" s="174">
        <f>'Budget-Unrestricted MYP'!F16</f>
        <v>295369</v>
      </c>
      <c r="D69" s="174">
        <f>'Budget-Unrestricted MYP'!H16</f>
        <v>0</v>
      </c>
      <c r="E69" s="174">
        <f>'Budget-Unrestricted MYP'!J16</f>
        <v>0</v>
      </c>
    </row>
    <row r="71" spans="1:5">
      <c r="A71" s="135" t="s">
        <v>359</v>
      </c>
      <c r="B71" s="1400">
        <f>'Budget-Summary MYP'!E73</f>
        <v>0.04</v>
      </c>
      <c r="C71" s="1400">
        <f>'Budget-Summary MYP'!F73</f>
        <v>0.04</v>
      </c>
      <c r="D71" s="1400">
        <f>'Budget-Summary MYP'!H73</f>
        <v>0.04</v>
      </c>
      <c r="E71" s="1400">
        <f>'Budget-Summary MYP'!J73</f>
        <v>0.04</v>
      </c>
    </row>
    <row r="72" spans="1:5">
      <c r="A72" s="135" t="s">
        <v>487</v>
      </c>
      <c r="B72" s="1400" t="str">
        <f>IF('Budget-Summary MYP'!E74="","",'Budget-Summary MYP'!E74)</f>
        <v/>
      </c>
      <c r="C72" s="1400" t="str">
        <f>IF('Budget-Summary MYP'!F74="","",'Budget-Summary MYP'!F74)</f>
        <v/>
      </c>
      <c r="D72" s="1400" t="str">
        <f>IF('Budget-Summary MYP'!G74="","",'Budget-Summary MYP'!G74)</f>
        <v/>
      </c>
      <c r="E72" s="1400" t="str">
        <f>IF('Budget-Summary MYP'!H74="","",'Budget-Summary MYP'!H74)</f>
        <v/>
      </c>
    </row>
    <row r="73" spans="1:5" ht="15.75">
      <c r="A73" s="1" t="s">
        <v>488</v>
      </c>
      <c r="B73" s="1400">
        <f>'Budget-Summary MYP'!E71</f>
        <v>0.21928829082552051</v>
      </c>
      <c r="C73" s="1400">
        <f>'Budget-Summary MYP'!F71</f>
        <v>0.31964127694031097</v>
      </c>
      <c r="D73" s="1400">
        <f>'Budget-Summary MYP'!H71</f>
        <v>0.3785289766291729</v>
      </c>
      <c r="E73" s="1400">
        <f>'Budget-Summary MYP'!J71</f>
        <v>0.42193105166831329</v>
      </c>
    </row>
    <row r="74" spans="1:5" ht="15.75">
      <c r="A74" s="1" t="s">
        <v>366</v>
      </c>
      <c r="B74" s="1400">
        <f>'Budget-Summary MYP'!E81</f>
        <v>7.2999999999999995E-2</v>
      </c>
      <c r="C74" s="1400">
        <f>'Budget-Summary MYP'!F81</f>
        <v>0.107</v>
      </c>
      <c r="D74" s="1400">
        <f>'Budget-Summary MYP'!H81</f>
        <v>0.126</v>
      </c>
      <c r="E74" s="1400">
        <f>'Budget-Summary MYP'!J81</f>
        <v>0.14099999999999999</v>
      </c>
    </row>
    <row r="75" spans="1:5" ht="15.75">
      <c r="A75" s="1" t="s">
        <v>489</v>
      </c>
      <c r="B75" s="1400">
        <f>'Budget-Summary MYP'!E80</f>
        <v>0</v>
      </c>
      <c r="C75" s="1400">
        <f>'Budget-Summary MYP'!F80</f>
        <v>0</v>
      </c>
      <c r="D75" s="1400">
        <f>'Budget-Summary MYP'!H80</f>
        <v>0</v>
      </c>
      <c r="E75" s="1400">
        <f>'Budget-Summary MYP'!J80</f>
        <v>0</v>
      </c>
    </row>
    <row r="77" spans="1:5" ht="15.75">
      <c r="A77" s="1" t="s">
        <v>490</v>
      </c>
      <c r="B77" s="1229">
        <f>'Budget-Unrestricted MYP'!E26+'Budget-Unrestricted MYP'!E42</f>
        <v>9266804.8399999999</v>
      </c>
      <c r="C77" s="1229">
        <f>'Budget-Unrestricted MYP'!F26+'Budget-Unrestricted MYP'!F42</f>
        <v>10766827.05752</v>
      </c>
      <c r="D77" s="1229">
        <f>'Budget-Unrestricted MYP'!H26+'Budget-Unrestricted MYP'!H42</f>
        <v>9130794.3475199994</v>
      </c>
      <c r="E77" s="1229">
        <f>'Budget-Unrestricted MYP'!J26+'Budget-Unrestricted MYP'!J42</f>
        <v>9410483.9275199994</v>
      </c>
    </row>
    <row r="78" spans="1:5" ht="15.75">
      <c r="A78" s="1" t="s">
        <v>491</v>
      </c>
      <c r="B78" s="1229">
        <f>'Budget-Unrestricted MYP'!E37+'Budget-Unrestricted MYP'!E43</f>
        <v>7135621.1099999994</v>
      </c>
      <c r="C78" s="1229">
        <f>'Budget-Unrestricted MYP'!F37+'Budget-Unrestricted MYP'!F43</f>
        <v>9130720.6497142855</v>
      </c>
      <c r="D78" s="1229">
        <f>'Budget-Unrestricted MYP'!H37+'Budget-Unrestricted MYP'!H43</f>
        <v>8644558.0067704469</v>
      </c>
      <c r="E78" s="1229">
        <f>'Budget-Unrestricted MYP'!J37+'Budget-Unrestricted MYP'!J43</f>
        <v>8804399.1680913512</v>
      </c>
    </row>
    <row r="80" spans="1:5" ht="15.75">
      <c r="A80" s="1" t="s">
        <v>492</v>
      </c>
      <c r="B80" s="1229">
        <f>'Budget-Restricted MYP'!E26+'Budget-Restricted MYP'!E42</f>
        <v>3427605.9400000004</v>
      </c>
      <c r="C80" s="1229">
        <f>'Budget-Restricted MYP'!F26+'Budget-Restricted MYP'!F42</f>
        <v>3159391.3721232004</v>
      </c>
      <c r="D80" s="1229">
        <f>'Budget-Restricted MYP'!H26+'Budget-Restricted MYP'!H42</f>
        <v>3076946.2621232001</v>
      </c>
      <c r="E80" s="1229">
        <f>'Budget-Restricted MYP'!J26+'Budget-Restricted MYP'!J42</f>
        <v>2593738.8721232</v>
      </c>
    </row>
    <row r="81" spans="1:5" ht="15.75">
      <c r="A81" s="1" t="s">
        <v>493</v>
      </c>
      <c r="B81" s="1229">
        <f>'Budget-Restricted MYP'!E37+'Budget-Restricted MYP'!E43</f>
        <v>3482781</v>
      </c>
      <c r="C81" s="1229">
        <f>'Budget-Restricted MYP'!F37+'Budget-Restricted MYP'!F43</f>
        <v>3272551.2175118001</v>
      </c>
      <c r="D81" s="1229">
        <f>'Budget-Restricted MYP'!H37+'Budget-Restricted MYP'!H43</f>
        <v>3113680.5254292702</v>
      </c>
      <c r="E81" s="1229">
        <f>'Budget-Restricted MYP'!J37+'Budget-Restricted MYP'!J43</f>
        <v>3180778.83193705</v>
      </c>
    </row>
    <row r="83" spans="1:5" ht="15.75">
      <c r="A83" s="1" t="s">
        <v>344</v>
      </c>
      <c r="B83" s="158">
        <f>'Budget-Restricted MYP'!E144</f>
        <v>0</v>
      </c>
      <c r="C83" s="158">
        <f>'Budget-Restricted MYP'!F144</f>
        <v>0</v>
      </c>
      <c r="D83" s="979">
        <f>'Budget-Restricted MYP'!H144</f>
        <v>0</v>
      </c>
      <c r="E83" s="979">
        <f>'Budget-Restricted MYP'!J144</f>
        <v>0</v>
      </c>
    </row>
    <row r="84" spans="1:5" ht="15.75">
      <c r="A84" s="1" t="s">
        <v>494</v>
      </c>
      <c r="B84" s="1274" t="str">
        <f>T('Budget-Restricted MYP'!E145)</f>
        <v/>
      </c>
      <c r="C84" s="1401"/>
      <c r="D84" s="1402"/>
      <c r="E84" s="1402"/>
    </row>
    <row r="85" spans="1:5" ht="15.75">
      <c r="A85" s="1" t="s">
        <v>346</v>
      </c>
      <c r="B85" s="1270">
        <f>'Budget-Restricted MYP'!E146</f>
        <v>407422</v>
      </c>
      <c r="C85" s="1270">
        <f>'Budget-Restricted MYP'!F146</f>
        <v>497550</v>
      </c>
      <c r="D85" s="1229">
        <f>'Budget-Restricted MYP'!H146</f>
        <v>512447</v>
      </c>
      <c r="E85" s="1229">
        <f>'Budget-Restricted MYP'!J146</f>
        <v>527851</v>
      </c>
    </row>
    <row r="86" spans="1:5" ht="15.75">
      <c r="A86" s="1" t="s">
        <v>347</v>
      </c>
      <c r="B86" s="1270">
        <f>'Budget-Restricted MYP'!E147</f>
        <v>0</v>
      </c>
      <c r="C86" s="1270">
        <f>'Budget-Restricted MYP'!F147</f>
        <v>0</v>
      </c>
      <c r="D86" s="1229">
        <f>'Budget-Restricted MYP'!H147</f>
        <v>0</v>
      </c>
      <c r="E86" s="1229">
        <f>'Budget-Restricted MYP'!J147</f>
        <v>0</v>
      </c>
    </row>
    <row r="87" spans="1:5" ht="15.75">
      <c r="A87" s="1" t="s">
        <v>495</v>
      </c>
      <c r="B87" s="1270">
        <f>'Budget-Restricted MYP'!E148</f>
        <v>0</v>
      </c>
      <c r="C87" s="1270">
        <f>'Budget-Restricted MYP'!F148</f>
        <v>0</v>
      </c>
      <c r="D87" s="1229">
        <f>'Budget-Restricted MYP'!H148</f>
        <v>0</v>
      </c>
      <c r="E87" s="1229">
        <f>'Budget-Restricted MYP'!J148</f>
        <v>0</v>
      </c>
    </row>
    <row r="88" spans="1:5" ht="15.75">
      <c r="A88" s="1" t="s">
        <v>349</v>
      </c>
      <c r="B88" s="1270">
        <f>'Budget-Restricted MYP'!E149</f>
        <v>407422</v>
      </c>
      <c r="C88" s="1270">
        <f>'Budget-Restricted MYP'!F149</f>
        <v>497550</v>
      </c>
      <c r="D88" s="1229">
        <f>'Budget-Restricted MYP'!H149</f>
        <v>512447</v>
      </c>
      <c r="E88" s="1229">
        <f>'Budget-Restricted MYP'!J149</f>
        <v>527851</v>
      </c>
    </row>
    <row r="89" spans="1:5" ht="15.75">
      <c r="A89" s="1" t="s">
        <v>350</v>
      </c>
      <c r="B89" s="1270">
        <f>'Budget-Restricted MYP'!E150</f>
        <v>0</v>
      </c>
      <c r="C89" s="1270">
        <f>'Budget-Restricted MYP'!F150</f>
        <v>0</v>
      </c>
      <c r="D89" s="1229">
        <f>'Budget-Restricted MYP'!H150</f>
        <v>0</v>
      </c>
      <c r="E89" s="1229">
        <f>'Budget-Restricted MYP'!J150</f>
        <v>0</v>
      </c>
    </row>
    <row r="91" spans="1:5" ht="15.75">
      <c r="A91" s="81" t="s">
        <v>496</v>
      </c>
    </row>
    <row r="92" spans="1:5" ht="15.75">
      <c r="A92" s="1" t="s">
        <v>256</v>
      </c>
      <c r="B92" s="174">
        <f>'Budget-Unrestricted MYP'!E29</f>
        <v>1863894.63</v>
      </c>
      <c r="C92" s="174">
        <f>'Budget-Unrestricted MYP'!F29</f>
        <v>2141205.7039999999</v>
      </c>
      <c r="D92" s="174">
        <f>'Budget-Unrestricted MYP'!H29</f>
        <v>2167540.0025318749</v>
      </c>
      <c r="E92" s="174">
        <f>'Budget-Unrestricted MYP'!J29</f>
        <v>2215338.0787041383</v>
      </c>
    </row>
    <row r="93" spans="1:5" ht="15.75">
      <c r="A93" s="1" t="s">
        <v>258</v>
      </c>
      <c r="B93" s="174">
        <f>'Budget-Unrestricted MYP'!E30</f>
        <v>1406863.56</v>
      </c>
      <c r="C93" s="174">
        <f>'Budget-Unrestricted MYP'!F30</f>
        <v>1361635.92</v>
      </c>
      <c r="D93" s="174">
        <f>'Budget-Unrestricted MYP'!H30</f>
        <v>1385469.5998335194</v>
      </c>
      <c r="E93" s="174">
        <f>'Budget-Unrestricted MYP'!J30</f>
        <v>1427033.687828525</v>
      </c>
    </row>
    <row r="94" spans="1:5" ht="15.75">
      <c r="A94" s="1" t="s">
        <v>260</v>
      </c>
      <c r="B94" s="174">
        <f>'Budget-Unrestricted MYP'!E31</f>
        <v>1322011</v>
      </c>
      <c r="C94" s="174">
        <f>'Budget-Unrestricted MYP'!F31</f>
        <v>1389040.6</v>
      </c>
      <c r="D94" s="174">
        <f>'Budget-Unrestricted MYP'!H31</f>
        <v>1480092.6628946571</v>
      </c>
      <c r="E94" s="174">
        <f>'Budget-Unrestricted MYP'!J31</f>
        <v>1548549.2451365993</v>
      </c>
    </row>
    <row r="95" spans="1:5" ht="15.75">
      <c r="A95" s="1" t="s">
        <v>262</v>
      </c>
      <c r="B95" s="174">
        <f>'Budget-Unrestricted MYP'!E32</f>
        <v>578449.02</v>
      </c>
      <c r="C95" s="174">
        <f>'Budget-Unrestricted MYP'!F32</f>
        <v>545283.35</v>
      </c>
      <c r="D95" s="174">
        <f>'Budget-Unrestricted MYP'!H32</f>
        <v>320357.03190886835</v>
      </c>
      <c r="E95" s="174">
        <f>'Budget-Unrestricted MYP'!J32</f>
        <v>329967.74286613439</v>
      </c>
    </row>
    <row r="96" spans="1:5" ht="15.75">
      <c r="A96" s="1" t="s">
        <v>264</v>
      </c>
      <c r="B96" s="174">
        <f>'Budget-Unrestricted MYP'!E33</f>
        <v>1746273.83</v>
      </c>
      <c r="C96" s="174">
        <f>'Budget-Unrestricted MYP'!F33</f>
        <v>3437167.79</v>
      </c>
      <c r="D96" s="174">
        <f>'Budget-Unrestricted MYP'!H33</f>
        <v>3027019.5478158132</v>
      </c>
      <c r="E96" s="174">
        <f>'Budget-Unrestricted MYP'!J33</f>
        <v>3011508.8769166688</v>
      </c>
    </row>
    <row r="97" spans="1:5" ht="15.75">
      <c r="A97" s="1" t="s">
        <v>266</v>
      </c>
      <c r="B97" s="174">
        <f>'Budget-Unrestricted MYP'!E34</f>
        <v>168526</v>
      </c>
      <c r="C97" s="174">
        <f>'Budget-Unrestricted MYP'!F34</f>
        <v>204240.28571428571</v>
      </c>
      <c r="D97" s="174">
        <f>'Budget-Unrestricted MYP'!H34</f>
        <v>210367.49428571429</v>
      </c>
      <c r="E97" s="174">
        <f>'Budget-Unrestricted MYP'!J34</f>
        <v>216678.51911428574</v>
      </c>
    </row>
    <row r="98" spans="1:5" ht="15.75">
      <c r="A98" s="1" t="s">
        <v>268</v>
      </c>
      <c r="B98" s="174">
        <f>'Budget-Unrestricted MYP'!E35</f>
        <v>0</v>
      </c>
      <c r="C98" s="174">
        <f>'Budget-Unrestricted MYP'!F35</f>
        <v>0</v>
      </c>
      <c r="D98" s="174">
        <f>'Budget-Unrestricted MYP'!H35</f>
        <v>53711.667500000003</v>
      </c>
      <c r="E98" s="174">
        <f>'Budget-Unrestricted MYP'!J35</f>
        <v>55323.017525000003</v>
      </c>
    </row>
    <row r="99" spans="1:5" ht="15.75">
      <c r="A99" s="1" t="s">
        <v>270</v>
      </c>
      <c r="B99" s="174">
        <f>'Budget-Unrestricted MYP'!E36</f>
        <v>49603.07</v>
      </c>
      <c r="C99" s="174">
        <f>'Budget-Unrestricted MYP'!F36</f>
        <v>52147</v>
      </c>
      <c r="D99" s="174">
        <f>'Budget-Unrestricted MYP'!H36</f>
        <v>0</v>
      </c>
      <c r="E99" s="174">
        <f>'Budget-Unrestricted MYP'!J36</f>
        <v>0</v>
      </c>
    </row>
    <row r="100" spans="1:5" ht="15.75">
      <c r="A100" s="1" t="s">
        <v>497</v>
      </c>
      <c r="B100" s="174">
        <f>'Budget-Unrestricted MYP'!E37</f>
        <v>7135621.1099999994</v>
      </c>
      <c r="C100" s="174">
        <f>'Budget-Unrestricted MYP'!F37</f>
        <v>9130720.6497142855</v>
      </c>
      <c r="D100" s="174">
        <f>'Budget-Unrestricted MYP'!H37</f>
        <v>8644558.0067704469</v>
      </c>
      <c r="E100" s="174">
        <f>'Budget-Unrestricted MYP'!J37</f>
        <v>8804399.1680913512</v>
      </c>
    </row>
    <row r="102" spans="1:5" ht="15.75">
      <c r="A102" s="81" t="s">
        <v>498</v>
      </c>
    </row>
    <row r="103" spans="1:5" ht="15.75">
      <c r="A103" s="1" t="s">
        <v>256</v>
      </c>
      <c r="B103" s="174">
        <f>'Budget-Restricted MYP'!E29</f>
        <v>798794</v>
      </c>
      <c r="C103" s="174">
        <f>'Budget-Restricted MYP'!F29</f>
        <v>965931.3759999997</v>
      </c>
      <c r="D103" s="174">
        <f>'Budget-Restricted MYP'!H29</f>
        <v>977811.18986812537</v>
      </c>
      <c r="E103" s="174">
        <f>'Budget-Restricted MYP'!J29</f>
        <v>999373.64946786268</v>
      </c>
    </row>
    <row r="104" spans="1:5" ht="15.75">
      <c r="A104" s="1" t="s">
        <v>258</v>
      </c>
      <c r="B104" s="174">
        <f>'Budget-Restricted MYP'!E30</f>
        <v>682038</v>
      </c>
      <c r="C104" s="174">
        <f>'Budget-Restricted MYP'!F30</f>
        <v>638957.80500000017</v>
      </c>
      <c r="D104" s="174">
        <f>'Budget-Restricted MYP'!H30</f>
        <v>650141.93691648077</v>
      </c>
      <c r="E104" s="174">
        <f>'Budget-Restricted MYP'!J30</f>
        <v>669646.19502397522</v>
      </c>
    </row>
    <row r="105" spans="1:5" ht="15.75">
      <c r="A105" s="1" t="s">
        <v>260</v>
      </c>
      <c r="B105" s="174">
        <f>'Budget-Restricted MYP'!E31</f>
        <v>408081</v>
      </c>
      <c r="C105" s="174">
        <f>'Budget-Restricted MYP'!F31</f>
        <v>543372.37651180022</v>
      </c>
      <c r="D105" s="174">
        <f>'Budget-Restricted MYP'!H31</f>
        <v>576160.9543693458</v>
      </c>
      <c r="E105" s="174">
        <f>'Budget-Restricted MYP'!J31</f>
        <v>602809.29250801564</v>
      </c>
    </row>
    <row r="106" spans="1:5" ht="15.75">
      <c r="A106" s="1" t="s">
        <v>262</v>
      </c>
      <c r="B106" s="174">
        <f>'Budget-Restricted MYP'!E32</f>
        <v>365081</v>
      </c>
      <c r="C106" s="174">
        <f>'Budget-Restricted MYP'!F32</f>
        <v>195969</v>
      </c>
      <c r="D106" s="174">
        <f>'Budget-Restricted MYP'!H32</f>
        <v>115132.88859113162</v>
      </c>
      <c r="E106" s="174">
        <f>'Budget-Restricted MYP'!J32</f>
        <v>118586.87524886554</v>
      </c>
    </row>
    <row r="107" spans="1:5" ht="15.75">
      <c r="A107" s="1" t="s">
        <v>264</v>
      </c>
      <c r="B107" s="174">
        <f>'Budget-Restricted MYP'!E33</f>
        <v>1228787</v>
      </c>
      <c r="C107" s="174">
        <f>'Budget-Restricted MYP'!F33</f>
        <v>928320.65999999992</v>
      </c>
      <c r="D107" s="174">
        <f>'Budget-Restricted MYP'!H33</f>
        <v>794433.55568418675</v>
      </c>
      <c r="E107" s="174">
        <f>'Budget-Restricted MYP'!J33</f>
        <v>790362.81968833052</v>
      </c>
    </row>
    <row r="108" spans="1:5" ht="15.75">
      <c r="A108" s="1" t="s">
        <v>266</v>
      </c>
      <c r="B108" s="174">
        <f>'Budget-Restricted MYP'!E34</f>
        <v>0</v>
      </c>
      <c r="C108" s="174">
        <f>'Budget-Restricted MYP'!F34</f>
        <v>0</v>
      </c>
      <c r="D108" s="174">
        <f>'Budget-Restricted MYP'!H34</f>
        <v>0</v>
      </c>
      <c r="E108" s="174">
        <f>'Budget-Restricted MYP'!J34</f>
        <v>0</v>
      </c>
    </row>
    <row r="109" spans="1:5" ht="15.75">
      <c r="A109" s="1" t="s">
        <v>268</v>
      </c>
      <c r="B109" s="174">
        <f>'Budget-Restricted MYP'!E35</f>
        <v>0</v>
      </c>
      <c r="C109" s="174">
        <f>'Budget-Restricted MYP'!F35</f>
        <v>0</v>
      </c>
      <c r="D109" s="174">
        <f>'Budget-Restricted MYP'!H35</f>
        <v>0</v>
      </c>
      <c r="E109" s="174">
        <f>'Budget-Restricted MYP'!J35</f>
        <v>0</v>
      </c>
    </row>
    <row r="110" spans="1:5" ht="15.75">
      <c r="A110" s="1" t="s">
        <v>270</v>
      </c>
      <c r="B110" s="174">
        <f>'Budget-Restricted MYP'!E36</f>
        <v>0</v>
      </c>
      <c r="C110" s="174">
        <f>'Budget-Restricted MYP'!F36</f>
        <v>0</v>
      </c>
      <c r="D110" s="174">
        <f>'Budget-Restricted MYP'!H36</f>
        <v>0</v>
      </c>
      <c r="E110" s="174">
        <f>'Budget-Restricted MYP'!J36</f>
        <v>0</v>
      </c>
    </row>
    <row r="111" spans="1:5" ht="15.75">
      <c r="A111" s="1" t="s">
        <v>497</v>
      </c>
      <c r="B111" s="174">
        <f>'Budget-Restricted MYP'!E37</f>
        <v>3482781</v>
      </c>
      <c r="C111" s="174">
        <f>'Budget-Restricted MYP'!F37</f>
        <v>3272551.2175118001</v>
      </c>
      <c r="D111" s="174">
        <f>'Budget-Restricted MYP'!H37</f>
        <v>3113680.5254292702</v>
      </c>
      <c r="E111" s="174">
        <f>'Budget-Restricted MYP'!J37</f>
        <v>3180778.83193705</v>
      </c>
    </row>
    <row r="113" spans="1:5">
      <c r="A113" t="s">
        <v>213</v>
      </c>
      <c r="C113" s="1229">
        <f>'Budget-Assumptions'!G67</f>
        <v>1152802.93</v>
      </c>
      <c r="D113" s="1229">
        <f>'Budget-Assumptions'!H67</f>
        <v>1187387.0178999999</v>
      </c>
      <c r="E113" s="1229">
        <f>'Budget-Assumptions'!J67</f>
        <v>1223008.6284369999</v>
      </c>
    </row>
    <row r="114" spans="1:5">
      <c r="A114" t="s">
        <v>214</v>
      </c>
      <c r="C114" s="1229">
        <f>'Budget-Assumptions'!G68</f>
        <v>156406.39999999999</v>
      </c>
      <c r="D114" s="1229">
        <f>'Budget-Assumptions'!H68</f>
        <v>161098.592</v>
      </c>
      <c r="E114" s="1229">
        <f>'Budget-Assumptions'!J68</f>
        <v>165931.54975999999</v>
      </c>
    </row>
    <row r="115" spans="1:5">
      <c r="A115" t="s">
        <v>215</v>
      </c>
      <c r="C115" s="1229" t="str">
        <f>'Budget-Assumptions'!G69</f>
        <v>included in above</v>
      </c>
      <c r="D115" s="1229" t="str">
        <f>'Budget-Assumptions'!H69</f>
        <v>included in above</v>
      </c>
      <c r="E115" s="1229" t="str">
        <f>'Budget-Assumptions'!J69</f>
        <v>included in above</v>
      </c>
    </row>
    <row r="116" spans="1:5">
      <c r="A116" t="s">
        <v>217</v>
      </c>
      <c r="C116" s="1229">
        <f>'Budget-Assumptions'!G70</f>
        <v>0</v>
      </c>
      <c r="D116" s="1229">
        <f>'Budget-Assumptions'!H70</f>
        <v>0</v>
      </c>
      <c r="E116" s="1229">
        <f>'Budget-Assumptions'!J70</f>
        <v>0</v>
      </c>
    </row>
    <row r="118" spans="1:5">
      <c r="A118" t="s">
        <v>220</v>
      </c>
      <c r="C118" s="1229">
        <f>'Budget-Assumptions'!G76</f>
        <v>86095.63</v>
      </c>
      <c r="D118" s="1229">
        <f>'Budget-Assumptions'!H76</f>
        <v>88125.540000000008</v>
      </c>
      <c r="E118" s="1229">
        <f>'Budget-Assumptions'!J76</f>
        <v>90864.38</v>
      </c>
    </row>
    <row r="119" spans="1:5">
      <c r="A119" t="s">
        <v>221</v>
      </c>
      <c r="C119" s="1229">
        <f>'Budget-Assumptions'!G77</f>
        <v>226592</v>
      </c>
      <c r="D119" s="1229">
        <f>'Budget-Assumptions'!H77</f>
        <v>233389.76</v>
      </c>
      <c r="E119" s="1229">
        <f>'Budget-Assumptions'!J77</f>
        <v>240391.45280000003</v>
      </c>
    </row>
    <row r="120" spans="1:5">
      <c r="A120" t="s">
        <v>499</v>
      </c>
      <c r="C120" s="1229">
        <f>'Budget-Assumptions'!G78</f>
        <v>0</v>
      </c>
      <c r="D120" s="1229">
        <f>'Budget-Assumptions'!H78</f>
        <v>0</v>
      </c>
      <c r="E120" s="1229">
        <f>'Budget-Assumptions'!J78</f>
        <v>0</v>
      </c>
    </row>
    <row r="121" spans="1:5">
      <c r="C121" s="1229"/>
      <c r="D121" s="1229"/>
      <c r="E121" s="1229"/>
    </row>
    <row r="122" spans="1:5">
      <c r="A122" s="133" t="s">
        <v>500</v>
      </c>
    </row>
    <row r="123" spans="1:5">
      <c r="A123" t="str">
        <f>T('Budget-DEBT'!A15)</f>
        <v>State School Building Loans</v>
      </c>
      <c r="C123" s="174">
        <f>'Budget-DEBT'!E15+'Budget-DEBT'!F15</f>
        <v>0</v>
      </c>
      <c r="D123" s="174">
        <f>'Budget-DEBT'!G15+'Budget-DEBT'!H15</f>
        <v>0</v>
      </c>
      <c r="E123" s="174">
        <f>'Budget-DEBT'!I15+'Budget-DEBT'!J15</f>
        <v>0</v>
      </c>
    </row>
    <row r="124" spans="1:5">
      <c r="A124" t="str">
        <f>T('Budget-DEBT'!A16)</f>
        <v>Charter School Start-up Loans</v>
      </c>
      <c r="C124" s="174">
        <f>'Budget-DEBT'!E16+'Budget-DEBT'!F16</f>
        <v>0</v>
      </c>
      <c r="D124" s="174">
        <f>'Budget-DEBT'!G16+'Budget-DEBT'!H16</f>
        <v>0</v>
      </c>
      <c r="E124" s="174">
        <f>'Budget-DEBT'!I16+'Budget-DEBT'!J16</f>
        <v>0</v>
      </c>
    </row>
    <row r="125" spans="1:5">
      <c r="A125" t="str">
        <f>T('Budget-DEBT'!A17)</f>
        <v>Other Post Employment Benefits</v>
      </c>
      <c r="C125" s="174">
        <f>'Budget-DEBT'!E17+'Budget-DEBT'!F17</f>
        <v>0</v>
      </c>
      <c r="D125" s="174">
        <f>'Budget-DEBT'!G17+'Budget-DEBT'!H17</f>
        <v>0</v>
      </c>
      <c r="E125" s="174">
        <f>'Budget-DEBT'!I17+'Budget-DEBT'!J17</f>
        <v>0</v>
      </c>
    </row>
    <row r="126" spans="1:5">
      <c r="A126" t="str">
        <f>T('Budget-DEBT'!A18)</f>
        <v>Compensated Absences</v>
      </c>
      <c r="C126" s="174">
        <f>'Budget-DEBT'!E18+'Budget-DEBT'!F18</f>
        <v>0</v>
      </c>
      <c r="D126" s="174">
        <f>'Budget-DEBT'!G18+'Budget-DEBT'!H18</f>
        <v>0</v>
      </c>
      <c r="E126" s="174">
        <f>'Budget-DEBT'!I18+'Budget-DEBT'!J18</f>
        <v>0</v>
      </c>
    </row>
    <row r="127" spans="1:5">
      <c r="A127" t="str">
        <f>T('Budget-DEBT'!A19)</f>
        <v>Bank Line of Credit Loans</v>
      </c>
      <c r="C127" s="174">
        <f>'Budget-DEBT'!E19+'Budget-DEBT'!F19</f>
        <v>2000000</v>
      </c>
      <c r="D127" s="174">
        <f>'Budget-DEBT'!G19+'Budget-DEBT'!H19</f>
        <v>0</v>
      </c>
      <c r="E127" s="174">
        <f>'Budget-DEBT'!I19+'Budget-DEBT'!J19</f>
        <v>0</v>
      </c>
    </row>
    <row r="128" spans="1:5">
      <c r="A128" t="str">
        <f>T('Budget-DEBT'!A20)</f>
        <v>Municipal Lease</v>
      </c>
      <c r="C128" s="174">
        <f>'Budget-DEBT'!E20+'Budget-DEBT'!F20</f>
        <v>0</v>
      </c>
      <c r="D128" s="174">
        <f>'Budget-DEBT'!G20+'Budget-DEBT'!H20</f>
        <v>0</v>
      </c>
      <c r="E128" s="174">
        <f>'Budget-DEBT'!I20+'Budget-DEBT'!J20</f>
        <v>0</v>
      </c>
    </row>
    <row r="129" spans="1:5">
      <c r="A129" t="str">
        <f>T('Budget-DEBT'!A21)</f>
        <v>Capital Lease</v>
      </c>
      <c r="C129" s="174">
        <f>'Budget-DEBT'!E21+'Budget-DEBT'!F21</f>
        <v>0</v>
      </c>
      <c r="D129" s="174">
        <f>'Budget-DEBT'!G21+'Budget-DEBT'!H21</f>
        <v>0</v>
      </c>
      <c r="E129" s="174">
        <f>'Budget-DEBT'!I21+'Budget-DEBT'!J21</f>
        <v>0</v>
      </c>
    </row>
    <row r="130" spans="1:5">
      <c r="A130" t="str">
        <f>T('Budget-DEBT'!A22)</f>
        <v>Capital Lease</v>
      </c>
      <c r="C130" s="174">
        <f>'Budget-DEBT'!E22+'Budget-DEBT'!F22</f>
        <v>4237.53</v>
      </c>
      <c r="D130" s="174">
        <f>'Budget-DEBT'!G22+'Budget-DEBT'!H22</f>
        <v>0</v>
      </c>
      <c r="E130" s="174">
        <f>'Budget-DEBT'!I22+'Budget-DEBT'!J22</f>
        <v>0</v>
      </c>
    </row>
    <row r="131" spans="1:5">
      <c r="A131" t="str">
        <f>T('Budget-DEBT'!A23)</f>
        <v>Capital Lease</v>
      </c>
      <c r="C131" s="174">
        <f>'Budget-DEBT'!E23+'Budget-DEBT'!F23</f>
        <v>0</v>
      </c>
      <c r="D131" s="174">
        <f>'Budget-DEBT'!G23+'Budget-DEBT'!H23</f>
        <v>0</v>
      </c>
      <c r="E131" s="174">
        <f>'Budget-DEBT'!I23+'Budget-DEBT'!J23</f>
        <v>0</v>
      </c>
    </row>
    <row r="132" spans="1:5">
      <c r="A132" t="str">
        <f>T('Budget-DEBT'!A24)</f>
        <v>Inter-Agency Borrowing</v>
      </c>
      <c r="C132" s="174">
        <f>'Budget-DEBT'!E24+'Budget-DEBT'!F24</f>
        <v>2467017</v>
      </c>
      <c r="D132" s="174">
        <f>'Budget-DEBT'!G24+'Budget-DEBT'!H24</f>
        <v>0</v>
      </c>
      <c r="E132" s="174">
        <f>'Budget-DEBT'!I24+'Budget-DEBT'!J24</f>
        <v>0</v>
      </c>
    </row>
    <row r="133" spans="1:5">
      <c r="A133" t="str">
        <f>T('Budget-DEBT'!A25)</f>
        <v>Other</v>
      </c>
      <c r="C133" s="174">
        <f>'Budget-DEBT'!E25+'Budget-DEBT'!F25</f>
        <v>187500</v>
      </c>
      <c r="D133" s="174">
        <f>'Budget-DEBT'!G25+'Budget-DEBT'!H25</f>
        <v>0</v>
      </c>
      <c r="E133" s="174">
        <f>'Budget-DEBT'!I25+'Budget-DEBT'!J25</f>
        <v>0</v>
      </c>
    </row>
    <row r="134" spans="1:5">
      <c r="A134" t="str">
        <f>T('Budget-DEBT'!A26)</f>
        <v/>
      </c>
    </row>
    <row r="135" spans="1:5">
      <c r="A135" s="133" t="s">
        <v>501</v>
      </c>
    </row>
    <row r="136" spans="1:5">
      <c r="A136" s="135" t="s">
        <v>502</v>
      </c>
      <c r="C136" s="174">
        <f>'Budget-Cash Flow Year 1'!E6</f>
        <v>393063</v>
      </c>
    </row>
    <row r="137" spans="1:5">
      <c r="A137" s="135" t="s">
        <v>406</v>
      </c>
      <c r="C137" s="1229">
        <f>'Budget-Cash Flow Year 1'!E60</f>
        <v>1048522.6780722225</v>
      </c>
      <c r="D137" s="1229">
        <f>'Budget-Cash Flow Year 2'!E60</f>
        <v>29934.352563791792</v>
      </c>
    </row>
    <row r="138" spans="1:5">
      <c r="A138" s="135" t="s">
        <v>408</v>
      </c>
      <c r="C138" s="1229">
        <f>'Budget-Cash Flow Year 1'!G60</f>
        <v>1027941.6528192722</v>
      </c>
      <c r="D138" s="1229">
        <f>'Budget-Cash Flow Year 2'!G60</f>
        <v>97607.20240390359</v>
      </c>
    </row>
    <row r="139" spans="1:5">
      <c r="A139" s="135" t="s">
        <v>409</v>
      </c>
      <c r="C139" s="1229">
        <f>'Budget-Cash Flow Year 1'!I60</f>
        <v>1623781.2691551219</v>
      </c>
      <c r="D139" s="1229">
        <f>'Budget-Cash Flow Year 2'!I60</f>
        <v>492924.30652165425</v>
      </c>
    </row>
    <row r="140" spans="1:5">
      <c r="A140" s="135" t="s">
        <v>410</v>
      </c>
      <c r="C140" s="1229">
        <f>'Budget-Cash Flow Year 1'!K60</f>
        <v>1252523.2704909716</v>
      </c>
      <c r="D140" s="1229">
        <f>'Budget-Cash Flow Year 2'!K60</f>
        <v>422078.26188940497</v>
      </c>
    </row>
    <row r="141" spans="1:5">
      <c r="A141" s="135" t="s">
        <v>411</v>
      </c>
      <c r="C141" s="1229">
        <f>'Budget-Cash Flow Year 1'!M60</f>
        <v>174356.02911848784</v>
      </c>
      <c r="D141" s="1229">
        <f>'Budget-Cash Flow Year 2'!M60</f>
        <v>360304.92393423908</v>
      </c>
    </row>
    <row r="142" spans="1:5">
      <c r="A142" s="135" t="s">
        <v>412</v>
      </c>
      <c r="C142" s="1229">
        <f>'Budget-Cash Flow Year 1'!O60</f>
        <v>35118.204317973694</v>
      </c>
      <c r="D142" s="1229">
        <f>'Budget-Cash Flow Year 2'!O60</f>
        <v>999983.13286160992</v>
      </c>
    </row>
    <row r="143" spans="1:5">
      <c r="A143" s="135" t="s">
        <v>413</v>
      </c>
      <c r="C143" s="1229">
        <f>'Budget-Cash Flow Year 1'!Q60</f>
        <v>20661.977996230708</v>
      </c>
      <c r="D143" s="1229">
        <f>'Budget-Cash Flow Year 2'!Q60</f>
        <v>945632.82603825035</v>
      </c>
    </row>
    <row r="144" spans="1:5">
      <c r="A144" s="135" t="s">
        <v>414</v>
      </c>
      <c r="C144" s="1229">
        <f>'Budget-Cash Flow Year 1'!S60</f>
        <v>54014.268341154326</v>
      </c>
      <c r="D144" s="1229">
        <f>'Budget-Cash Flow Year 2'!S60</f>
        <v>959521.88910334872</v>
      </c>
    </row>
    <row r="145" spans="1:4">
      <c r="A145" s="135" t="s">
        <v>415</v>
      </c>
      <c r="C145" s="1229">
        <f>'Budget-Cash Flow Year 1'!U60</f>
        <v>91067.328686077846</v>
      </c>
      <c r="D145" s="1229">
        <f>'Budget-Cash Flow Year 2'!U60</f>
        <v>1453645.1441036141</v>
      </c>
    </row>
    <row r="146" spans="1:4">
      <c r="A146" s="135" t="s">
        <v>416</v>
      </c>
      <c r="C146" s="1229">
        <f>'Budget-Cash Flow Year 1'!W60</f>
        <v>231841.89236433478</v>
      </c>
      <c r="D146" s="1229">
        <f>'Budget-Cash Flow Year 2'!W60</f>
        <v>1378449.9612825667</v>
      </c>
    </row>
    <row r="147" spans="1:4">
      <c r="A147" s="135" t="s">
        <v>417</v>
      </c>
      <c r="C147" s="1229">
        <f>'Budget-Cash Flow Year 1'!Y60</f>
        <v>872616.45604259172</v>
      </c>
      <c r="D147" s="1229">
        <f>'Budget-Cash Flow Year 2'!Y60</f>
        <v>1303255.1483499771</v>
      </c>
    </row>
    <row r="148" spans="1:4">
      <c r="A148" s="135" t="s">
        <v>418</v>
      </c>
      <c r="C148" s="1229">
        <f>'Budget-Cash Flow Year 1'!AA60</f>
        <v>491930.88305418217</v>
      </c>
      <c r="D148" s="1229">
        <f>'Budget-Cash Flow Year 2'!AA60</f>
        <v>2092175.6661321379</v>
      </c>
    </row>
  </sheetData>
  <sheetProtection password="CC5F" sheet="1"/>
  <phoneticPr fontId="5" type="noConversion"/>
  <conditionalFormatting sqref="A71">
    <cfRule type="expression" dxfId="318" priority="2" stopIfTrue="1">
      <formula>$E$81=""</formula>
    </cfRule>
  </conditionalFormatting>
  <conditionalFormatting sqref="A72">
    <cfRule type="expression" dxfId="317" priority="1" stopIfTrue="1">
      <formula>$E$81&lt;&gt;0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B29"/>
  <sheetViews>
    <sheetView showGridLines="0" zoomScale="145" zoomScaleNormal="145" workbookViewId="0">
      <selection activeCell="A23" sqref="A23"/>
    </sheetView>
  </sheetViews>
  <sheetFormatPr defaultRowHeight="12.75"/>
  <cols>
    <col min="1" max="1" width="6.140625" customWidth="1"/>
    <col min="2" max="2" width="86" customWidth="1"/>
  </cols>
  <sheetData>
    <row r="1" spans="1:2">
      <c r="A1" s="133" t="s">
        <v>52</v>
      </c>
    </row>
    <row r="2" spans="1:2">
      <c r="A2" s="133" t="s">
        <v>503</v>
      </c>
    </row>
    <row r="3" spans="1:2">
      <c r="A3" s="1085" t="str">
        <f>Instructions!H1</f>
        <v>Rev. 5/28/2021</v>
      </c>
    </row>
    <row r="4" spans="1:2" ht="15.75">
      <c r="A4" s="1636" t="str">
        <f>IF('INTERIM-CERTIFICATION'!$M$1="","Enter Charter Name on INTERIM - CERTIFICATION Worksheet",'INTERIM-CERTIFICATION'!$M$1)</f>
        <v>Encore High School -</v>
      </c>
      <c r="B4" s="1636"/>
    </row>
    <row r="5" spans="1:2" ht="15.75">
      <c r="A5" s="1637" t="str">
        <f>IF('INTERIM-CERTIFICATION'!$M$2="","Enter CDS# on INTERIM - CERTIFICATION Worksheet",'INTERIM-CERTIFICATION'!$M$2)</f>
        <v>35-75044-01166707</v>
      </c>
      <c r="B5" s="1637"/>
    </row>
    <row r="6" spans="1:2">
      <c r="A6" s="133"/>
    </row>
    <row r="7" spans="1:2">
      <c r="A7" s="214" t="s">
        <v>504</v>
      </c>
    </row>
    <row r="8" spans="1:2">
      <c r="A8" s="134" t="s">
        <v>505</v>
      </c>
    </row>
    <row r="9" spans="1:2">
      <c r="A9" s="137"/>
    </row>
    <row r="10" spans="1:2">
      <c r="A10" s="137" t="s">
        <v>55</v>
      </c>
    </row>
    <row r="11" spans="1:2">
      <c r="A11" s="1638" t="str">
        <f>"CHARTER "&amp;'Budget-ADA'!K7&amp;" Budget/Interim Reporting Worksheet (all Budget tabs completed):"</f>
        <v>CHARTER 2021-22 Budget/Interim Reporting Worksheet (all Budget tabs completed):</v>
      </c>
      <c r="B11" s="1638"/>
    </row>
    <row r="12" spans="1:2" ht="13.5" thickBot="1">
      <c r="A12" s="199"/>
      <c r="B12" s="135" t="s">
        <v>506</v>
      </c>
    </row>
    <row r="13" spans="1:2" ht="13.5" thickBot="1">
      <c r="A13" s="200" t="s">
        <v>56</v>
      </c>
      <c r="B13" s="135" t="s">
        <v>507</v>
      </c>
    </row>
    <row r="14" spans="1:2" ht="13.5" thickBot="1">
      <c r="A14" s="200" t="s">
        <v>56</v>
      </c>
      <c r="B14" s="135" t="s">
        <v>508</v>
      </c>
    </row>
    <row r="15" spans="1:2" ht="13.5" thickBot="1">
      <c r="A15" s="200"/>
      <c r="B15" s="135" t="s">
        <v>509</v>
      </c>
    </row>
    <row r="16" spans="1:2" ht="13.5" thickBot="1">
      <c r="A16" s="200"/>
      <c r="B16" s="135" t="s">
        <v>510</v>
      </c>
    </row>
    <row r="17" spans="1:2" ht="13.5" thickBot="1">
      <c r="A17" s="200"/>
      <c r="B17" s="135" t="s">
        <v>511</v>
      </c>
    </row>
    <row r="18" spans="1:2" ht="13.5" thickBot="1">
      <c r="A18" s="200"/>
      <c r="B18" s="135" t="s">
        <v>512</v>
      </c>
    </row>
    <row r="19" spans="1:2" ht="13.5" thickBot="1">
      <c r="A19" s="200"/>
      <c r="B19" s="135" t="s">
        <v>513</v>
      </c>
    </row>
    <row r="20" spans="1:2" ht="13.5" thickBot="1">
      <c r="A20" s="200"/>
      <c r="B20" s="135" t="s">
        <v>514</v>
      </c>
    </row>
    <row r="21" spans="1:2">
      <c r="A21" s="203"/>
      <c r="B21" s="135"/>
    </row>
    <row r="22" spans="1:2" ht="13.5" thickBot="1">
      <c r="A22" s="199" t="s">
        <v>56</v>
      </c>
      <c r="B22" s="135" t="s">
        <v>66</v>
      </c>
    </row>
    <row r="23" spans="1:2">
      <c r="A23" s="203"/>
    </row>
    <row r="24" spans="1:2">
      <c r="A24" t="s">
        <v>68</v>
      </c>
    </row>
    <row r="25" spans="1:2" ht="13.5" thickBot="1">
      <c r="A25" s="199"/>
      <c r="B25" t="s">
        <v>515</v>
      </c>
    </row>
    <row r="26" spans="1:2">
      <c r="A26" s="203"/>
    </row>
    <row r="27" spans="1:2">
      <c r="A27" s="135"/>
      <c r="B27" s="549"/>
    </row>
    <row r="28" spans="1:2">
      <c r="A28" s="549" t="s">
        <v>70</v>
      </c>
    </row>
    <row r="29" spans="1:2">
      <c r="A29" s="1635" t="s">
        <v>71</v>
      </c>
      <c r="B29" s="1635"/>
    </row>
  </sheetData>
  <sheetProtection password="CC5F" sheet="1" objects="1" scenarios="1"/>
  <mergeCells count="4">
    <mergeCell ref="A4:B4"/>
    <mergeCell ref="A5:B5"/>
    <mergeCell ref="A11:B11"/>
    <mergeCell ref="A29:B29"/>
  </mergeCells>
  <phoneticPr fontId="5" type="noConversion"/>
  <conditionalFormatting sqref="A4">
    <cfRule type="containsText" dxfId="316" priority="3" stopIfTrue="1" operator="containsText" text="Enter">
      <formula>NOT(ISERROR(SEARCH("Enter",A4)))</formula>
    </cfRule>
    <cfRule type="cellIs" dxfId="315" priority="4" stopIfTrue="1" operator="equal">
      <formula>"Enter Charter CDS # on BUDGET - CERT Worksheet"</formula>
    </cfRule>
  </conditionalFormatting>
  <conditionalFormatting sqref="A5">
    <cfRule type="containsText" dxfId="314" priority="1" stopIfTrue="1" operator="containsText" text="Enter">
      <formula>NOT(ISERROR(SEARCH("Enter",A5)))</formula>
    </cfRule>
    <cfRule type="cellIs" dxfId="313" priority="2" stopIfTrue="1" operator="equal">
      <formula>"Enter Charter CDS # on BUDGET - CERT Worksheet"</formula>
    </cfRule>
  </conditionalFormatting>
  <hyperlinks>
    <hyperlink ref="A29" r:id="rId1" display="http://fcmat.org/local-control-funding-formula-resources/" xr:uid="{00000000-0004-0000-0C00-000000000000}"/>
    <hyperlink ref="A29:B29" r:id="rId2" display="https://www.fcmat.org/lcff" xr:uid="{00000000-0004-0000-0C00-000001000000}"/>
  </hyperlinks>
  <printOptions horizontalCentered="1"/>
  <pageMargins left="0.75" right="0.75" top="1" bottom="1" header="0.5" footer="0.5"/>
  <pageSetup scale="97" orientation="portrait" horizontalDpi="1200" verticalDpi="1200"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S65"/>
  <sheetViews>
    <sheetView showGridLines="0" zoomScaleNormal="100" workbookViewId="0">
      <selection activeCell="H23" sqref="H23"/>
    </sheetView>
  </sheetViews>
  <sheetFormatPr defaultRowHeight="12.75"/>
  <cols>
    <col min="13" max="13" width="16.140625" bestFit="1" customWidth="1"/>
  </cols>
  <sheetData>
    <row r="1" spans="1:19" ht="16.5">
      <c r="A1" s="111" t="s">
        <v>516</v>
      </c>
      <c r="B1" s="108"/>
      <c r="C1" s="108"/>
      <c r="D1" s="108"/>
      <c r="E1" s="109"/>
      <c r="F1" s="109"/>
      <c r="G1" s="109"/>
      <c r="H1" s="109"/>
      <c r="I1" s="109"/>
      <c r="J1" s="114"/>
      <c r="K1" s="114"/>
      <c r="L1" s="115" t="s">
        <v>72</v>
      </c>
      <c r="M1" s="1818" t="str">
        <f>'BUDGET-CERTIFICATION'!$H$1</f>
        <v>Encore High School -</v>
      </c>
      <c r="N1" s="1818"/>
      <c r="O1" s="1818"/>
      <c r="P1" s="1818"/>
      <c r="Q1" s="1818"/>
      <c r="R1" s="1818"/>
      <c r="S1" s="1818"/>
    </row>
    <row r="2" spans="1:19" ht="16.5">
      <c r="A2" s="1816" t="s">
        <v>517</v>
      </c>
      <c r="B2" s="1817"/>
      <c r="C2" s="1817"/>
      <c r="D2" s="1817"/>
      <c r="E2" s="110"/>
      <c r="F2" s="110"/>
      <c r="G2" s="110"/>
      <c r="H2" s="110"/>
      <c r="I2" s="110"/>
      <c r="J2" s="114"/>
      <c r="K2" s="114"/>
      <c r="L2" s="115" t="s">
        <v>74</v>
      </c>
      <c r="M2" s="1819" t="str">
        <f t="array" ref="M2:R2">'BUDGET-CERTIFICATION'!$H$2:$M$2</f>
        <v>35-75044-01166707</v>
      </c>
      <c r="N2" s="1819">
        <v>0</v>
      </c>
      <c r="O2" s="1819">
        <v>0</v>
      </c>
      <c r="P2" s="1819">
        <v>0</v>
      </c>
      <c r="Q2" s="1819">
        <v>0</v>
      </c>
      <c r="R2" s="1819">
        <v>0</v>
      </c>
      <c r="S2" s="1285"/>
    </row>
    <row r="3" spans="1:19" ht="16.5">
      <c r="A3" s="1816" t="s">
        <v>518</v>
      </c>
      <c r="B3" s="1817"/>
      <c r="C3" s="1817"/>
      <c r="D3" s="1817"/>
      <c r="E3" s="109"/>
      <c r="F3" s="109"/>
      <c r="G3" s="109"/>
      <c r="H3" s="109"/>
      <c r="I3" s="109"/>
      <c r="J3" s="114"/>
      <c r="K3" s="114"/>
      <c r="L3" s="115" t="s">
        <v>519</v>
      </c>
      <c r="M3" s="1819" t="str">
        <f>'BUDGET-CERTIFICATION'!$H$3</f>
        <v>Hesperia Unified School District</v>
      </c>
      <c r="N3" s="1819"/>
      <c r="O3" s="1819"/>
      <c r="P3" s="1819"/>
      <c r="Q3" s="1819"/>
      <c r="R3" s="1819"/>
      <c r="S3" s="1285"/>
    </row>
    <row r="4" spans="1:19" ht="16.5">
      <c r="A4" s="111"/>
      <c r="B4" s="108"/>
      <c r="C4" s="108"/>
      <c r="D4" s="108"/>
      <c r="E4" s="109"/>
      <c r="F4" s="109"/>
      <c r="G4" s="109"/>
      <c r="H4" s="109"/>
      <c r="I4" s="109"/>
      <c r="J4" s="114"/>
      <c r="K4" s="114"/>
      <c r="L4" s="115" t="s">
        <v>78</v>
      </c>
      <c r="M4" s="1819" t="str">
        <f>'BUDGET-CERTIFICATION'!$H$4</f>
        <v>San Bernardino</v>
      </c>
      <c r="N4" s="1819"/>
      <c r="O4" s="1819"/>
      <c r="P4" s="1819"/>
      <c r="Q4" s="1819"/>
      <c r="R4" s="1819"/>
      <c r="S4" s="1285"/>
    </row>
    <row r="5" spans="1:19" ht="16.5">
      <c r="A5" s="111" t="s">
        <v>520</v>
      </c>
      <c r="B5" s="99"/>
      <c r="C5" s="99"/>
      <c r="D5" s="111"/>
      <c r="E5" s="112"/>
      <c r="F5" s="112"/>
      <c r="G5" s="112"/>
      <c r="H5" s="112"/>
      <c r="I5" s="112"/>
      <c r="J5" s="114"/>
      <c r="K5" s="114"/>
      <c r="L5" s="115" t="s">
        <v>80</v>
      </c>
      <c r="M5" s="1819" t="str">
        <f>'BUDGET-CERTIFICATION'!$H$5</f>
        <v>971</v>
      </c>
      <c r="N5" s="1819"/>
      <c r="O5" s="1819"/>
      <c r="P5" s="1819"/>
      <c r="Q5" s="1819"/>
      <c r="R5" s="1819"/>
      <c r="S5" s="1285"/>
    </row>
    <row r="6" spans="1:19" ht="15" thickBot="1">
      <c r="A6" s="116"/>
      <c r="B6" s="116"/>
      <c r="C6" s="116"/>
      <c r="D6" s="117"/>
      <c r="E6" s="117"/>
      <c r="F6" s="117"/>
      <c r="G6" s="117"/>
      <c r="H6" s="117"/>
      <c r="I6" s="117"/>
      <c r="J6" s="117"/>
      <c r="K6" s="117"/>
      <c r="L6" s="117"/>
      <c r="M6" s="117"/>
      <c r="N6" s="117"/>
      <c r="O6" s="117"/>
      <c r="P6" s="117"/>
      <c r="Q6" s="99"/>
      <c r="R6" s="99"/>
      <c r="S6" s="1091" t="str">
        <f>Instructions!H1</f>
        <v>Rev. 5/28/2021</v>
      </c>
    </row>
    <row r="7" spans="1:19" ht="15" thickTop="1">
      <c r="A7" s="99"/>
      <c r="B7" s="99"/>
      <c r="C7" s="99"/>
      <c r="D7" s="8"/>
      <c r="E7" s="8"/>
      <c r="F7" s="8"/>
      <c r="G7" s="8"/>
      <c r="H7" s="8"/>
      <c r="I7" s="8"/>
      <c r="J7" s="8"/>
      <c r="K7" s="8"/>
      <c r="L7" s="8"/>
      <c r="M7" s="8"/>
      <c r="N7" s="8"/>
      <c r="O7" s="8"/>
      <c r="P7" s="8"/>
      <c r="Q7" s="221"/>
      <c r="R7" s="221"/>
      <c r="S7" s="1283"/>
    </row>
    <row r="8" spans="1:19" ht="14.25">
      <c r="A8" s="99"/>
      <c r="B8" s="99"/>
      <c r="C8" s="99"/>
      <c r="D8" s="8"/>
      <c r="E8" s="8" t="s">
        <v>82</v>
      </c>
      <c r="F8" s="130"/>
      <c r="G8" s="130"/>
      <c r="H8" s="130"/>
      <c r="I8" s="130"/>
      <c r="J8" s="130"/>
      <c r="K8" s="8"/>
      <c r="L8" s="130"/>
      <c r="M8" s="130"/>
      <c r="N8" s="130"/>
      <c r="O8" s="130"/>
      <c r="P8" s="130"/>
      <c r="Q8" s="1282"/>
      <c r="R8" s="1282"/>
      <c r="S8" s="1282"/>
    </row>
    <row r="9" spans="1:19" ht="14.25" customHeight="1">
      <c r="A9" s="222"/>
      <c r="B9" s="128"/>
      <c r="C9" s="99"/>
      <c r="D9" s="8"/>
      <c r="E9" s="1648" t="str">
        <f>""&amp;'Budget-ADA'!K7&amp;" CHARTER SCHOOL INTERIM REPORT -- ALTERNATIVE FORM:  This report has been approved, and is hereby filed by the charter school pursuant to Education Code Section 47604.33."</f>
        <v>2021-22 CHARTER SCHOOL INTERIM REPORT -- ALTERNATIVE FORM:  This report has been approved, and is hereby filed by the charter school pursuant to Education Code Section 47604.33.</v>
      </c>
      <c r="F9" s="1648"/>
      <c r="G9" s="1648"/>
      <c r="H9" s="1648"/>
      <c r="I9" s="1648"/>
      <c r="J9" s="1648"/>
      <c r="K9" s="1648"/>
      <c r="L9" s="1648"/>
      <c r="M9" s="1648"/>
      <c r="N9" s="1648"/>
      <c r="O9" s="1648"/>
      <c r="P9" s="1648"/>
      <c r="Q9" s="99"/>
      <c r="R9" s="99"/>
      <c r="S9" s="99" t="s">
        <v>521</v>
      </c>
    </row>
    <row r="10" spans="1:19" ht="14.25">
      <c r="A10" s="99"/>
      <c r="B10" s="99"/>
      <c r="C10" s="99"/>
      <c r="D10" s="8"/>
      <c r="E10" s="1648"/>
      <c r="F10" s="1648"/>
      <c r="G10" s="1648"/>
      <c r="H10" s="1648"/>
      <c r="I10" s="1648"/>
      <c r="J10" s="1648"/>
      <c r="K10" s="1648"/>
      <c r="L10" s="1648"/>
      <c r="M10" s="1648"/>
      <c r="N10" s="1648"/>
      <c r="O10" s="1648"/>
      <c r="P10" s="1648"/>
      <c r="Q10" s="99"/>
      <c r="R10" s="99"/>
      <c r="S10" s="99"/>
    </row>
    <row r="11" spans="1:19" ht="27.75" customHeight="1">
      <c r="A11" s="99"/>
      <c r="B11" s="99"/>
      <c r="C11" s="99"/>
      <c r="D11" s="8"/>
      <c r="E11" s="8" t="s">
        <v>83</v>
      </c>
      <c r="F11" s="1642"/>
      <c r="G11" s="1650"/>
      <c r="H11" s="1650"/>
      <c r="I11" s="1650"/>
      <c r="J11" s="1650"/>
      <c r="K11" s="8"/>
      <c r="L11" s="8" t="s">
        <v>84</v>
      </c>
      <c r="M11" s="1642"/>
      <c r="N11" s="1642"/>
      <c r="O11" s="1642"/>
      <c r="P11" s="8"/>
      <c r="Q11" s="99"/>
      <c r="R11" s="99"/>
      <c r="S11" s="99"/>
    </row>
    <row r="12" spans="1:19" ht="14.25">
      <c r="A12" s="99"/>
      <c r="B12" s="99"/>
      <c r="C12" s="99"/>
      <c r="D12" s="99"/>
      <c r="E12" s="99"/>
      <c r="F12" s="120" t="s">
        <v>85</v>
      </c>
      <c r="G12" s="121"/>
      <c r="H12" s="121"/>
      <c r="I12" s="121"/>
      <c r="J12" s="121"/>
      <c r="K12" s="99"/>
      <c r="L12" s="99"/>
      <c r="M12" s="99"/>
      <c r="N12" s="99"/>
      <c r="O12" s="99"/>
      <c r="P12" s="99"/>
      <c r="Q12" s="99"/>
      <c r="R12" s="99"/>
      <c r="S12" s="99"/>
    </row>
    <row r="13" spans="1:19" ht="14.25">
      <c r="A13" s="99"/>
      <c r="B13" s="99"/>
      <c r="C13" s="99"/>
      <c r="D13" s="99"/>
      <c r="E13" s="99"/>
      <c r="F13" s="120" t="s">
        <v>86</v>
      </c>
      <c r="G13" s="121"/>
      <c r="H13" s="121"/>
      <c r="I13" s="121"/>
      <c r="J13" s="121"/>
      <c r="K13" s="99"/>
      <c r="L13" s="99"/>
      <c r="M13" s="99"/>
      <c r="N13" s="99"/>
      <c r="O13" s="99"/>
      <c r="P13" s="99"/>
      <c r="Q13" s="99"/>
      <c r="R13" s="99"/>
      <c r="S13" s="99"/>
    </row>
    <row r="14" spans="1:19" ht="28.5">
      <c r="A14" s="99"/>
      <c r="B14" s="99"/>
      <c r="C14" s="99"/>
      <c r="D14" s="8"/>
      <c r="E14" s="122" t="s">
        <v>87</v>
      </c>
      <c r="F14" s="1645" t="s">
        <v>522</v>
      </c>
      <c r="G14" s="1646"/>
      <c r="H14" s="1646"/>
      <c r="I14" s="1646"/>
      <c r="J14" s="1646"/>
      <c r="K14" s="8"/>
      <c r="L14" s="8" t="s">
        <v>89</v>
      </c>
      <c r="M14" s="1645" t="s">
        <v>523</v>
      </c>
      <c r="N14" s="1645"/>
      <c r="O14" s="1645"/>
      <c r="P14" s="8"/>
      <c r="Q14" s="99"/>
      <c r="R14" s="99"/>
      <c r="S14" s="99"/>
    </row>
    <row r="15" spans="1:19" ht="14.25">
      <c r="A15" s="99"/>
      <c r="B15" s="99"/>
      <c r="C15" s="99"/>
      <c r="D15" s="8"/>
      <c r="E15" s="122"/>
      <c r="F15" s="138"/>
      <c r="G15" s="139"/>
      <c r="H15" s="139"/>
      <c r="I15" s="139"/>
      <c r="J15" s="139"/>
      <c r="K15" s="8"/>
      <c r="L15" s="8"/>
      <c r="M15" s="138"/>
      <c r="N15" s="138"/>
      <c r="O15" s="138"/>
      <c r="P15" s="8"/>
      <c r="Q15" s="99"/>
      <c r="R15" s="99"/>
      <c r="S15" s="99"/>
    </row>
    <row r="16" spans="1:19" ht="14.25">
      <c r="A16" s="99" t="s">
        <v>91</v>
      </c>
      <c r="B16" s="99"/>
      <c r="C16" s="99"/>
      <c r="D16" s="8"/>
      <c r="E16" s="122"/>
      <c r="F16" s="138"/>
      <c r="G16" s="139"/>
      <c r="H16" s="139"/>
      <c r="I16" s="139"/>
      <c r="J16" s="139"/>
      <c r="K16" s="8"/>
      <c r="L16" s="8"/>
      <c r="M16" s="138"/>
      <c r="N16" s="138"/>
      <c r="O16" s="138"/>
      <c r="P16" s="8"/>
      <c r="Q16" s="99"/>
      <c r="R16" s="99"/>
      <c r="S16" s="99"/>
    </row>
    <row r="17" spans="1:19" ht="14.25">
      <c r="A17" s="99"/>
      <c r="B17" s="99"/>
      <c r="C17" s="99"/>
      <c r="D17" s="8"/>
      <c r="E17" s="122"/>
      <c r="F17" s="138"/>
      <c r="G17" s="139"/>
      <c r="H17" s="139"/>
      <c r="I17" s="139"/>
      <c r="J17" s="139"/>
      <c r="K17" s="8"/>
      <c r="L17" s="8"/>
      <c r="M17" s="138"/>
      <c r="N17" s="138"/>
      <c r="O17" s="138"/>
      <c r="P17" s="8"/>
      <c r="Q17" s="99"/>
      <c r="R17" s="99"/>
      <c r="S17" s="99"/>
    </row>
    <row r="18" spans="1:19" ht="14.25">
      <c r="A18" s="222" t="s">
        <v>524</v>
      </c>
      <c r="B18" s="223"/>
      <c r="C18" s="99" t="s">
        <v>525</v>
      </c>
      <c r="D18" s="8"/>
      <c r="E18" s="122"/>
      <c r="F18" s="138"/>
      <c r="G18" s="222" t="s">
        <v>524</v>
      </c>
      <c r="H18" s="223"/>
      <c r="I18" s="99" t="s">
        <v>526</v>
      </c>
      <c r="J18" s="99"/>
      <c r="K18" s="8"/>
      <c r="L18" s="222"/>
      <c r="M18" s="222" t="s">
        <v>524</v>
      </c>
      <c r="N18" s="223"/>
      <c r="O18" s="99" t="s">
        <v>527</v>
      </c>
      <c r="P18" s="8"/>
      <c r="Q18" s="99"/>
      <c r="R18" s="99"/>
      <c r="S18" s="99"/>
    </row>
    <row r="19" spans="1:19" ht="14.25">
      <c r="A19" s="222"/>
      <c r="B19" s="128"/>
      <c r="C19" s="99" t="s">
        <v>528</v>
      </c>
      <c r="D19" s="8"/>
      <c r="E19" s="122"/>
      <c r="F19" s="138"/>
      <c r="G19" s="222"/>
      <c r="H19" s="128"/>
      <c r="I19" s="99" t="s">
        <v>528</v>
      </c>
      <c r="J19" s="99"/>
      <c r="K19" s="8"/>
      <c r="L19" s="222"/>
      <c r="M19" s="128"/>
      <c r="N19" s="99"/>
      <c r="O19" s="99" t="s">
        <v>528</v>
      </c>
      <c r="P19" s="8"/>
      <c r="Q19" s="99"/>
      <c r="R19" s="99"/>
      <c r="S19" s="99"/>
    </row>
    <row r="20" spans="1:19" ht="14.25">
      <c r="A20" s="222"/>
      <c r="B20" s="128"/>
      <c r="C20" s="99" t="s">
        <v>529</v>
      </c>
      <c r="D20" s="8"/>
      <c r="E20" s="122"/>
      <c r="F20" s="138"/>
      <c r="G20" s="222"/>
      <c r="H20" s="128"/>
      <c r="I20" s="99" t="s">
        <v>530</v>
      </c>
      <c r="J20" s="99"/>
      <c r="K20" s="8"/>
      <c r="L20" s="222"/>
      <c r="M20" s="128"/>
      <c r="N20" s="99"/>
      <c r="O20" s="99" t="s">
        <v>531</v>
      </c>
      <c r="P20" s="8"/>
      <c r="Q20" s="99"/>
      <c r="R20" s="99"/>
      <c r="S20" s="99"/>
    </row>
    <row r="21" spans="1:19" ht="14.25">
      <c r="A21" s="222"/>
      <c r="B21" s="128"/>
      <c r="C21" s="99" t="s">
        <v>532</v>
      </c>
      <c r="D21" s="8"/>
      <c r="E21" s="122"/>
      <c r="F21" s="138"/>
      <c r="G21" s="222"/>
      <c r="H21" s="128"/>
      <c r="I21" s="99" t="s">
        <v>533</v>
      </c>
      <c r="J21" s="99"/>
      <c r="K21" s="8"/>
      <c r="L21" s="222"/>
      <c r="M21" s="128"/>
      <c r="N21" s="99"/>
      <c r="O21" s="99" t="s">
        <v>534</v>
      </c>
      <c r="P21" s="8"/>
      <c r="Q21" s="99"/>
      <c r="R21" s="99"/>
      <c r="S21" s="99"/>
    </row>
    <row r="22" spans="1:19" ht="14.25">
      <c r="A22" s="222"/>
      <c r="B22" s="128"/>
      <c r="C22" s="99" t="s">
        <v>535</v>
      </c>
      <c r="D22" s="8"/>
      <c r="E22" s="122"/>
      <c r="F22" s="138"/>
      <c r="G22" s="222"/>
      <c r="H22" s="128"/>
      <c r="I22" s="99" t="s">
        <v>535</v>
      </c>
      <c r="J22" s="99"/>
      <c r="K22" s="8"/>
      <c r="L22" s="222"/>
      <c r="M22" s="128"/>
      <c r="N22" s="99"/>
      <c r="O22" s="99" t="s">
        <v>536</v>
      </c>
      <c r="P22" s="8"/>
      <c r="Q22" s="99"/>
      <c r="R22" s="99"/>
      <c r="S22" s="99"/>
    </row>
    <row r="23" spans="1:19" ht="14.25">
      <c r="A23" s="222"/>
      <c r="B23" s="128"/>
      <c r="C23" s="99"/>
      <c r="D23" s="8"/>
      <c r="E23" s="122"/>
      <c r="F23" s="138"/>
      <c r="G23" s="222"/>
      <c r="H23" s="128"/>
      <c r="I23" s="99"/>
      <c r="J23" s="99"/>
      <c r="K23" s="8"/>
      <c r="L23" s="222"/>
      <c r="M23" s="128"/>
      <c r="N23" s="99"/>
      <c r="O23" s="99" t="s">
        <v>537</v>
      </c>
      <c r="P23" s="8"/>
      <c r="Q23" s="99"/>
      <c r="R23" s="99"/>
      <c r="S23" s="99"/>
    </row>
    <row r="24" spans="1:19" s="1281" customFormat="1" ht="14.25">
      <c r="A24" s="1279"/>
      <c r="B24" s="1279"/>
      <c r="C24" s="1279"/>
      <c r="D24" s="1279"/>
      <c r="E24" s="1279"/>
      <c r="F24" s="1279"/>
      <c r="G24" s="1279"/>
      <c r="H24" s="1279"/>
      <c r="I24" s="1279"/>
      <c r="J24" s="1279"/>
      <c r="K24" s="1279"/>
      <c r="L24" s="1279"/>
      <c r="M24" s="1279"/>
      <c r="N24" s="1279"/>
      <c r="O24" s="1280"/>
      <c r="P24" s="1279"/>
      <c r="Q24" s="1279"/>
      <c r="R24" s="1279"/>
      <c r="S24" s="1279"/>
    </row>
    <row r="25" spans="1:19" ht="14.25">
      <c r="A25" s="8"/>
      <c r="B25" s="8"/>
      <c r="C25" s="8"/>
      <c r="D25" s="8"/>
      <c r="E25" s="8"/>
      <c r="F25" s="8"/>
      <c r="G25" s="8"/>
      <c r="H25" s="8"/>
      <c r="I25" s="8"/>
      <c r="J25" s="8"/>
      <c r="K25" s="8"/>
      <c r="L25" s="8"/>
      <c r="M25" s="8"/>
      <c r="N25" s="8"/>
      <c r="O25" s="99"/>
      <c r="P25" s="8"/>
      <c r="Q25" s="8"/>
      <c r="R25" s="8"/>
      <c r="S25" s="8"/>
    </row>
    <row r="26" spans="1:19" ht="14.25">
      <c r="A26" s="99"/>
      <c r="B26" s="99"/>
      <c r="C26" s="99"/>
      <c r="D26" s="8"/>
      <c r="E26" s="8" t="s">
        <v>98</v>
      </c>
      <c r="F26" s="8"/>
      <c r="G26" s="8"/>
      <c r="H26" s="8"/>
      <c r="I26" s="8"/>
      <c r="J26" s="8"/>
      <c r="K26" s="8"/>
      <c r="L26" s="8"/>
      <c r="M26" s="8"/>
      <c r="N26" s="8"/>
      <c r="O26" s="8"/>
      <c r="P26" s="130"/>
      <c r="Q26" s="130"/>
      <c r="R26" s="130"/>
      <c r="S26" s="130"/>
    </row>
    <row r="27" spans="1:19" ht="14.25" customHeight="1">
      <c r="A27" s="222"/>
      <c r="B27" s="128"/>
      <c r="C27" s="99"/>
      <c r="D27" s="8"/>
      <c r="E27" s="1648" t="str">
        <f>""&amp;'Budget-ADA'!K7&amp;" CHARTER SCHOOL INTERIM REPORT -- ALTERNATIVE FORM:  This report has been reviewed pursuant to Education Code 47604.32(a) is hereby filed with the County Superintendent pursuant to Education Code Section 47604.33."</f>
        <v>2021-22 CHARTER SCHOOL INTERIM REPORT -- ALTERNATIVE FORM:  This report has been reviewed pursuant to Education Code 47604.32(a) is hereby filed with the County Superintendent pursuant to Education Code Section 47604.33.</v>
      </c>
      <c r="F27" s="1648"/>
      <c r="G27" s="1648"/>
      <c r="H27" s="1648"/>
      <c r="I27" s="1648"/>
      <c r="J27" s="1648"/>
      <c r="K27" s="1648"/>
      <c r="L27" s="1648"/>
      <c r="M27" s="1648"/>
      <c r="N27" s="1648"/>
      <c r="O27" s="1648"/>
      <c r="P27" s="1648"/>
      <c r="Q27" s="99"/>
      <c r="R27" s="99"/>
      <c r="S27" s="99"/>
    </row>
    <row r="28" spans="1:19" ht="13.5" customHeight="1">
      <c r="A28" s="99"/>
      <c r="B28" s="99"/>
      <c r="C28" s="99"/>
      <c r="D28" s="8"/>
      <c r="E28" s="1648"/>
      <c r="F28" s="1648"/>
      <c r="G28" s="1648"/>
      <c r="H28" s="1648"/>
      <c r="I28" s="1648"/>
      <c r="J28" s="1648"/>
      <c r="K28" s="1648"/>
      <c r="L28" s="1648"/>
      <c r="M28" s="1648"/>
      <c r="N28" s="1648"/>
      <c r="O28" s="1648"/>
      <c r="P28" s="1648"/>
      <c r="Q28" s="99"/>
      <c r="R28" s="99"/>
      <c r="S28" s="99"/>
    </row>
    <row r="29" spans="1:19" ht="27.75" customHeight="1">
      <c r="A29" s="99"/>
      <c r="B29" s="99"/>
      <c r="C29" s="99"/>
      <c r="D29" s="8"/>
      <c r="E29" s="8" t="s">
        <v>83</v>
      </c>
      <c r="F29" s="1642"/>
      <c r="G29" s="1642"/>
      <c r="H29" s="1642"/>
      <c r="I29" s="1642"/>
      <c r="J29" s="1642"/>
      <c r="K29" s="8"/>
      <c r="L29" s="8" t="s">
        <v>84</v>
      </c>
      <c r="M29" s="1642"/>
      <c r="N29" s="1642"/>
      <c r="O29" s="1642"/>
      <c r="P29" s="8"/>
      <c r="Q29" s="99"/>
      <c r="R29" s="99"/>
      <c r="S29" s="99"/>
    </row>
    <row r="30" spans="1:19" ht="25.5" customHeight="1">
      <c r="A30" s="99"/>
      <c r="B30" s="99"/>
      <c r="C30" s="99"/>
      <c r="D30" s="99"/>
      <c r="E30" s="99"/>
      <c r="F30" s="126" t="s">
        <v>99</v>
      </c>
      <c r="G30" s="126"/>
      <c r="H30" s="126"/>
      <c r="I30" s="126"/>
      <c r="J30" s="126"/>
      <c r="K30" s="99"/>
      <c r="L30" s="99"/>
      <c r="M30" s="127"/>
      <c r="N30" s="127"/>
      <c r="O30" s="127"/>
      <c r="P30" s="99"/>
      <c r="Q30" s="99"/>
      <c r="R30" s="99"/>
      <c r="S30" s="99"/>
    </row>
    <row r="31" spans="1:19">
      <c r="A31" s="99"/>
      <c r="B31" s="99"/>
      <c r="C31" s="99"/>
      <c r="D31" s="99"/>
      <c r="E31" s="99"/>
      <c r="F31" s="108" t="s">
        <v>86</v>
      </c>
      <c r="G31" s="108"/>
      <c r="H31" s="108"/>
      <c r="I31" s="108"/>
      <c r="J31" s="108"/>
      <c r="K31" s="99"/>
      <c r="L31" s="99"/>
      <c r="M31" s="99"/>
      <c r="N31" s="99"/>
      <c r="O31" s="99"/>
      <c r="P31" s="99"/>
      <c r="Q31" s="99"/>
      <c r="R31" s="99"/>
      <c r="S31" s="99"/>
    </row>
    <row r="32" spans="1:19" ht="28.5">
      <c r="A32" s="99"/>
      <c r="B32" s="99"/>
      <c r="C32" s="99"/>
      <c r="D32" s="8"/>
      <c r="E32" s="122" t="s">
        <v>87</v>
      </c>
      <c r="F32" s="1639"/>
      <c r="G32" s="1639"/>
      <c r="H32" s="1639"/>
      <c r="I32" s="1639"/>
      <c r="J32" s="1639"/>
      <c r="K32" s="8"/>
      <c r="L32" s="8" t="s">
        <v>89</v>
      </c>
      <c r="M32" s="1639"/>
      <c r="N32" s="1639"/>
      <c r="O32" s="1639"/>
      <c r="P32" s="8"/>
      <c r="Q32" s="99"/>
      <c r="R32" s="99"/>
      <c r="S32" s="99"/>
    </row>
    <row r="33" spans="1:19" ht="14.25">
      <c r="A33" s="99"/>
      <c r="B33" s="99"/>
      <c r="C33" s="99"/>
      <c r="D33" s="8"/>
      <c r="E33" s="122"/>
      <c r="F33" s="138"/>
      <c r="G33" s="138"/>
      <c r="H33" s="138"/>
      <c r="I33" s="138"/>
      <c r="J33" s="138"/>
      <c r="K33" s="8"/>
      <c r="L33" s="8"/>
      <c r="M33" s="138"/>
      <c r="N33" s="138"/>
      <c r="O33" s="138"/>
      <c r="P33" s="8"/>
      <c r="Q33" s="99"/>
      <c r="R33" s="99"/>
      <c r="S33" s="99"/>
    </row>
    <row r="34" spans="1:19" ht="14.25">
      <c r="A34" s="222" t="s">
        <v>524</v>
      </c>
      <c r="B34" s="1284"/>
      <c r="C34" s="99" t="s">
        <v>525</v>
      </c>
      <c r="D34" s="8"/>
      <c r="E34" s="122"/>
      <c r="F34" s="138"/>
      <c r="G34" s="222" t="s">
        <v>524</v>
      </c>
      <c r="H34" s="1284"/>
      <c r="I34" s="99" t="s">
        <v>526</v>
      </c>
      <c r="J34" s="99"/>
      <c r="K34" s="8"/>
      <c r="L34" s="222"/>
      <c r="M34" s="222" t="s">
        <v>524</v>
      </c>
      <c r="N34" s="1284"/>
      <c r="O34" s="99" t="s">
        <v>527</v>
      </c>
      <c r="P34" s="8"/>
      <c r="Q34" s="99"/>
      <c r="R34" s="99"/>
      <c r="S34" s="99"/>
    </row>
    <row r="35" spans="1:19" ht="14.25">
      <c r="A35" s="222"/>
      <c r="B35" s="128"/>
      <c r="C35" s="99" t="s">
        <v>528</v>
      </c>
      <c r="D35" s="8"/>
      <c r="E35" s="122"/>
      <c r="F35" s="138"/>
      <c r="G35" s="222"/>
      <c r="H35" s="128"/>
      <c r="I35" s="99" t="s">
        <v>528</v>
      </c>
      <c r="J35" s="99"/>
      <c r="K35" s="8"/>
      <c r="L35" s="222"/>
      <c r="M35" s="128"/>
      <c r="N35" s="99"/>
      <c r="O35" s="99" t="s">
        <v>528</v>
      </c>
      <c r="P35" s="8"/>
      <c r="Q35" s="99"/>
      <c r="R35" s="99"/>
      <c r="S35" s="99"/>
    </row>
    <row r="36" spans="1:19" ht="14.25">
      <c r="A36" s="222"/>
      <c r="B36" s="128"/>
      <c r="C36" s="99" t="s">
        <v>529</v>
      </c>
      <c r="D36" s="8"/>
      <c r="E36" s="122"/>
      <c r="F36" s="138"/>
      <c r="G36" s="222"/>
      <c r="H36" s="128"/>
      <c r="I36" s="99" t="s">
        <v>530</v>
      </c>
      <c r="J36" s="99"/>
      <c r="K36" s="8"/>
      <c r="L36" s="222"/>
      <c r="M36" s="128"/>
      <c r="N36" s="99"/>
      <c r="O36" s="99" t="s">
        <v>531</v>
      </c>
      <c r="P36" s="8"/>
      <c r="Q36" s="99"/>
      <c r="R36" s="99"/>
      <c r="S36" s="99"/>
    </row>
    <row r="37" spans="1:19" ht="14.25">
      <c r="A37" s="222"/>
      <c r="B37" s="128"/>
      <c r="C37" s="99" t="s">
        <v>532</v>
      </c>
      <c r="D37" s="8"/>
      <c r="E37" s="122"/>
      <c r="F37" s="138"/>
      <c r="G37" s="222"/>
      <c r="H37" s="128"/>
      <c r="I37" s="99" t="s">
        <v>533</v>
      </c>
      <c r="J37" s="99"/>
      <c r="K37" s="8"/>
      <c r="L37" s="222"/>
      <c r="M37" s="128"/>
      <c r="N37" s="99"/>
      <c r="O37" s="99" t="s">
        <v>534</v>
      </c>
      <c r="P37" s="8"/>
      <c r="Q37" s="99"/>
      <c r="R37" s="99"/>
      <c r="S37" s="99"/>
    </row>
    <row r="38" spans="1:19" ht="14.25">
      <c r="A38" s="222"/>
      <c r="B38" s="128"/>
      <c r="C38" s="99" t="s">
        <v>535</v>
      </c>
      <c r="D38" s="8"/>
      <c r="E38" s="122"/>
      <c r="F38" s="138"/>
      <c r="G38" s="222"/>
      <c r="H38" s="128"/>
      <c r="I38" s="99" t="s">
        <v>535</v>
      </c>
      <c r="J38" s="99"/>
      <c r="K38" s="8"/>
      <c r="L38" s="222"/>
      <c r="M38" s="128"/>
      <c r="N38" s="99"/>
      <c r="O38" s="99" t="s">
        <v>536</v>
      </c>
      <c r="P38" s="8"/>
      <c r="Q38" s="99"/>
      <c r="R38" s="99"/>
      <c r="S38" s="99"/>
    </row>
    <row r="39" spans="1:19" ht="14.25">
      <c r="A39" s="123"/>
      <c r="B39" s="123"/>
      <c r="C39" s="123"/>
      <c r="D39" s="123"/>
      <c r="E39" s="123"/>
      <c r="F39" s="123"/>
      <c r="G39" s="123"/>
      <c r="H39" s="123"/>
      <c r="I39" s="123"/>
      <c r="J39" s="123"/>
      <c r="K39" s="123"/>
      <c r="L39" s="123"/>
      <c r="M39" s="123"/>
      <c r="N39" s="123"/>
      <c r="O39" s="123"/>
      <c r="P39" s="123"/>
      <c r="Q39" s="123"/>
      <c r="R39" s="123"/>
      <c r="S39" s="123"/>
    </row>
    <row r="40" spans="1:19" ht="14.25">
      <c r="A40" s="99"/>
      <c r="B40" s="99"/>
      <c r="C40" s="99"/>
      <c r="D40" s="8"/>
      <c r="E40" s="124" t="s">
        <v>103</v>
      </c>
      <c r="F40" s="124"/>
      <c r="G40" s="124"/>
      <c r="H40" s="124"/>
      <c r="I40" s="124"/>
      <c r="J40" s="124"/>
      <c r="K40" s="124"/>
      <c r="L40" s="124"/>
      <c r="M40" s="124"/>
      <c r="N40" s="124"/>
      <c r="O40" s="124"/>
      <c r="P40" s="125"/>
      <c r="Q40" s="125"/>
      <c r="R40" s="125"/>
      <c r="S40" s="125"/>
    </row>
    <row r="41" spans="1:19" ht="14.25" customHeight="1">
      <c r="A41" s="222"/>
      <c r="B41" s="128"/>
      <c r="C41" s="99"/>
      <c r="D41" s="8"/>
      <c r="E41" s="1648" t="str">
        <f>""&amp;'Budget-ADA'!K7&amp;" CHARTER SCHOOL INTERIM REPORT -- ALTERNATIVE FORM:  This report has been received by the County Superintendent of Schools pursuant to Education Code Section 47604.33(1)."</f>
        <v>2021-22 CHARTER SCHOOL INTERIM REPORT -- ALTERNATIVE FORM:  This report has been received by the County Superintendent of Schools pursuant to Education Code Section 47604.33(1).</v>
      </c>
      <c r="F41" s="1648"/>
      <c r="G41" s="1648"/>
      <c r="H41" s="1648"/>
      <c r="I41" s="1648"/>
      <c r="J41" s="1648"/>
      <c r="K41" s="1648"/>
      <c r="L41" s="1648"/>
      <c r="M41" s="1648"/>
      <c r="N41" s="1648"/>
      <c r="O41" s="1648"/>
      <c r="P41" s="1648"/>
      <c r="Q41" s="99"/>
      <c r="R41" s="99"/>
      <c r="S41" s="99"/>
    </row>
    <row r="42" spans="1:19" ht="14.25">
      <c r="A42" s="99"/>
      <c r="B42" s="99"/>
      <c r="C42" s="99"/>
      <c r="D42" s="8"/>
      <c r="E42" s="1648"/>
      <c r="F42" s="1648"/>
      <c r="G42" s="1648"/>
      <c r="H42" s="1648"/>
      <c r="I42" s="1648"/>
      <c r="J42" s="1648"/>
      <c r="K42" s="1648"/>
      <c r="L42" s="1648"/>
      <c r="M42" s="1648"/>
      <c r="N42" s="1648"/>
      <c r="O42" s="1648"/>
      <c r="P42" s="1648"/>
      <c r="Q42" s="99"/>
      <c r="R42" s="99"/>
      <c r="S42" s="99"/>
    </row>
    <row r="43" spans="1:19" ht="27" customHeight="1">
      <c r="A43" s="99"/>
      <c r="B43" s="99"/>
      <c r="C43" s="99"/>
      <c r="D43" s="8"/>
      <c r="E43" s="8" t="s">
        <v>83</v>
      </c>
      <c r="F43" s="1642"/>
      <c r="G43" s="1642"/>
      <c r="H43" s="1642"/>
      <c r="I43" s="1642"/>
      <c r="J43" s="1642"/>
      <c r="K43" s="8"/>
      <c r="L43" s="8" t="s">
        <v>84</v>
      </c>
      <c r="M43" s="1642"/>
      <c r="N43" s="1642"/>
      <c r="O43" s="1642"/>
      <c r="P43" s="8"/>
      <c r="Q43" s="99"/>
      <c r="R43" s="99"/>
      <c r="S43" s="99"/>
    </row>
    <row r="44" spans="1:19" ht="14.25">
      <c r="A44" s="99"/>
      <c r="B44" s="99"/>
      <c r="C44" s="99"/>
      <c r="D44" s="8"/>
      <c r="E44" s="8"/>
      <c r="F44" s="108" t="s">
        <v>104</v>
      </c>
      <c r="G44" s="108"/>
      <c r="H44" s="108"/>
      <c r="I44" s="108"/>
      <c r="J44" s="108"/>
      <c r="K44" s="128"/>
      <c r="L44" s="8"/>
      <c r="M44" s="8"/>
      <c r="N44" s="8"/>
      <c r="O44" s="8"/>
      <c r="P44" s="8"/>
      <c r="Q44" s="99"/>
      <c r="R44" s="99"/>
      <c r="S44" s="99"/>
    </row>
    <row r="45" spans="1:19" ht="14.25">
      <c r="A45" s="99"/>
      <c r="B45" s="99"/>
      <c r="C45" s="99"/>
      <c r="D45" s="8"/>
      <c r="E45" s="8"/>
      <c r="F45" s="108" t="s">
        <v>86</v>
      </c>
      <c r="G45" s="108"/>
      <c r="H45" s="108"/>
      <c r="I45" s="108"/>
      <c r="J45" s="108"/>
      <c r="K45" s="128"/>
      <c r="L45" s="8"/>
      <c r="M45" s="8"/>
      <c r="N45" s="8"/>
      <c r="O45" s="8"/>
      <c r="P45" s="8"/>
      <c r="Q45" s="99"/>
      <c r="R45" s="99"/>
      <c r="S45" s="99"/>
    </row>
    <row r="46" spans="1:19" ht="13.5" thickBot="1">
      <c r="A46" s="116"/>
      <c r="B46" s="116"/>
      <c r="C46" s="116"/>
      <c r="D46" s="116"/>
      <c r="E46" s="116"/>
      <c r="F46" s="116"/>
      <c r="G46" s="116"/>
      <c r="H46" s="116"/>
      <c r="I46" s="116"/>
      <c r="J46" s="116"/>
      <c r="K46" s="116"/>
      <c r="L46" s="116"/>
      <c r="M46" s="116"/>
      <c r="N46" s="116"/>
      <c r="O46" s="116"/>
      <c r="P46" s="99"/>
      <c r="Q46" s="99"/>
      <c r="R46" s="99"/>
      <c r="S46" s="99"/>
    </row>
    <row r="47" spans="1:19" ht="15" thickTop="1">
      <c r="A47" s="99"/>
      <c r="B47" s="99"/>
      <c r="C47" s="99"/>
      <c r="D47" s="99"/>
      <c r="E47" s="118" t="s">
        <v>105</v>
      </c>
      <c r="F47" s="119"/>
      <c r="G47" s="119"/>
      <c r="H47" s="119"/>
      <c r="I47" s="119"/>
      <c r="J47" s="119"/>
      <c r="K47" s="119"/>
      <c r="L47" s="119"/>
      <c r="M47" s="119"/>
      <c r="N47" s="119"/>
      <c r="O47" s="119"/>
      <c r="P47" s="221"/>
      <c r="Q47" s="221"/>
      <c r="R47" s="221"/>
      <c r="S47" s="221"/>
    </row>
    <row r="48" spans="1:19">
      <c r="A48" s="99"/>
      <c r="B48" s="99"/>
      <c r="C48" s="99"/>
      <c r="D48" s="99"/>
      <c r="E48" s="99"/>
      <c r="F48" s="99"/>
      <c r="G48" s="99"/>
      <c r="H48" s="99"/>
      <c r="I48" s="99"/>
      <c r="J48" s="99"/>
      <c r="K48" s="99"/>
      <c r="L48" s="99"/>
      <c r="M48" s="99"/>
      <c r="N48" s="99"/>
      <c r="O48" s="99"/>
      <c r="P48" s="99"/>
      <c r="Q48" s="99"/>
      <c r="R48" s="99"/>
      <c r="S48" s="99"/>
    </row>
    <row r="49" spans="1:19" ht="14.25">
      <c r="A49" s="99"/>
      <c r="B49" s="99"/>
      <c r="C49" s="99"/>
      <c r="D49" s="99"/>
      <c r="E49" s="129" t="s">
        <v>106</v>
      </c>
      <c r="F49" s="130"/>
      <c r="G49" s="130"/>
      <c r="H49" s="130"/>
      <c r="I49" s="130"/>
      <c r="J49" s="130"/>
      <c r="K49" s="8"/>
      <c r="L49" s="129" t="s">
        <v>107</v>
      </c>
      <c r="M49" s="130"/>
      <c r="N49" s="130"/>
      <c r="O49" s="130"/>
      <c r="P49" s="130"/>
      <c r="Q49" s="99"/>
      <c r="R49" s="99"/>
      <c r="S49" s="99"/>
    </row>
    <row r="50" spans="1:19" ht="29.25" customHeight="1">
      <c r="A50" s="99"/>
      <c r="B50" s="99"/>
      <c r="C50" s="99"/>
      <c r="D50" s="99"/>
      <c r="E50" s="1639" t="s">
        <v>538</v>
      </c>
      <c r="F50" s="1639"/>
      <c r="G50" s="1639"/>
      <c r="H50" s="1639"/>
      <c r="I50" s="1639"/>
      <c r="J50" s="1639"/>
      <c r="K50" s="8"/>
      <c r="L50" s="1644" t="s">
        <v>108</v>
      </c>
      <c r="M50" s="1641"/>
      <c r="N50" s="1641"/>
      <c r="O50" s="1641"/>
      <c r="P50" s="1641"/>
      <c r="Q50" s="99"/>
      <c r="R50" s="99"/>
      <c r="S50" s="99"/>
    </row>
    <row r="51" spans="1:19" ht="14.25">
      <c r="A51" s="99"/>
      <c r="B51" s="99"/>
      <c r="C51" s="99"/>
      <c r="D51" s="99"/>
      <c r="E51" s="131" t="s">
        <v>109</v>
      </c>
      <c r="F51" s="131"/>
      <c r="G51" s="131"/>
      <c r="H51" s="131"/>
      <c r="I51" s="131"/>
      <c r="J51" s="132"/>
      <c r="K51" s="8"/>
      <c r="L51" s="131" t="s">
        <v>109</v>
      </c>
      <c r="M51" s="131"/>
      <c r="N51" s="131"/>
      <c r="O51" s="131"/>
      <c r="P51" s="131"/>
      <c r="Q51" s="99"/>
      <c r="R51" s="99"/>
      <c r="S51" s="99"/>
    </row>
    <row r="52" spans="1:19" ht="27.75" customHeight="1">
      <c r="A52" s="99"/>
      <c r="B52" s="99"/>
      <c r="C52" s="99"/>
      <c r="D52" s="99"/>
      <c r="E52" s="1639" t="s">
        <v>539</v>
      </c>
      <c r="F52" s="1639"/>
      <c r="G52" s="1639"/>
      <c r="H52" s="1639"/>
      <c r="I52" s="1639"/>
      <c r="J52" s="1639"/>
      <c r="K52" s="8"/>
      <c r="L52" s="1645" t="s">
        <v>540</v>
      </c>
      <c r="M52" s="1646"/>
      <c r="N52" s="1646"/>
      <c r="O52" s="1646"/>
      <c r="P52" s="1646"/>
      <c r="Q52" s="99"/>
      <c r="R52" s="99"/>
      <c r="S52" s="99"/>
    </row>
    <row r="53" spans="1:19" ht="14.25">
      <c r="A53" s="99"/>
      <c r="B53" s="99"/>
      <c r="C53" s="99"/>
      <c r="D53" s="99"/>
      <c r="E53" s="131" t="s">
        <v>111</v>
      </c>
      <c r="F53" s="131"/>
      <c r="G53" s="131"/>
      <c r="H53" s="131"/>
      <c r="I53" s="131"/>
      <c r="J53" s="131"/>
      <c r="K53" s="8"/>
      <c r="L53" s="131" t="s">
        <v>111</v>
      </c>
      <c r="M53" s="131"/>
      <c r="N53" s="131"/>
      <c r="O53" s="131"/>
      <c r="P53" s="132"/>
      <c r="Q53" s="99"/>
      <c r="R53" s="99"/>
      <c r="S53" s="99"/>
    </row>
    <row r="54" spans="1:19" ht="27" customHeight="1">
      <c r="A54" s="99"/>
      <c r="B54" s="99"/>
      <c r="C54" s="99"/>
      <c r="D54" s="99"/>
      <c r="E54" s="1639" t="s">
        <v>541</v>
      </c>
      <c r="F54" s="1639"/>
      <c r="G54" s="1639"/>
      <c r="H54" s="1639"/>
      <c r="I54" s="1639"/>
      <c r="J54" s="1639"/>
      <c r="K54" s="8"/>
      <c r="L54" s="1644" t="s">
        <v>542</v>
      </c>
      <c r="M54" s="1641"/>
      <c r="N54" s="1641"/>
      <c r="O54" s="1641"/>
      <c r="P54" s="1641"/>
      <c r="Q54" s="99"/>
      <c r="R54" s="99"/>
      <c r="S54" s="99"/>
    </row>
    <row r="55" spans="1:19" ht="14.25">
      <c r="A55" s="8"/>
      <c r="B55" s="8"/>
      <c r="C55" s="8"/>
      <c r="D55" s="8"/>
      <c r="E55" s="131" t="s">
        <v>113</v>
      </c>
      <c r="F55" s="131"/>
      <c r="G55" s="131"/>
      <c r="H55" s="131"/>
      <c r="I55" s="131"/>
      <c r="J55" s="131"/>
      <c r="K55" s="8"/>
      <c r="L55" s="131" t="s">
        <v>113</v>
      </c>
      <c r="M55" s="131"/>
      <c r="N55" s="131"/>
      <c r="O55" s="131"/>
      <c r="P55" s="131"/>
      <c r="Q55" s="8"/>
      <c r="R55" s="8"/>
      <c r="S55" s="8"/>
    </row>
    <row r="56" spans="1:19" ht="27" customHeight="1">
      <c r="A56" s="8"/>
      <c r="B56" s="8"/>
      <c r="C56" s="8"/>
      <c r="D56" s="8"/>
      <c r="E56" s="1639" t="s">
        <v>543</v>
      </c>
      <c r="F56" s="1639"/>
      <c r="G56" s="1639"/>
      <c r="H56" s="1639"/>
      <c r="I56" s="1639"/>
      <c r="J56" s="1639"/>
      <c r="K56" s="8"/>
      <c r="L56" s="1640" t="s">
        <v>114</v>
      </c>
      <c r="M56" s="1644"/>
      <c r="N56" s="1644"/>
      <c r="O56" s="1644"/>
      <c r="P56" s="1644"/>
      <c r="Q56" s="8"/>
      <c r="R56" s="8"/>
      <c r="S56" s="8"/>
    </row>
    <row r="57" spans="1:19" ht="14.25">
      <c r="A57" s="8"/>
      <c r="B57" s="8"/>
      <c r="C57" s="8"/>
      <c r="D57" s="8"/>
      <c r="E57" s="131" t="s">
        <v>115</v>
      </c>
      <c r="F57" s="131"/>
      <c r="G57" s="131"/>
      <c r="H57" s="131"/>
      <c r="I57" s="131"/>
      <c r="J57" s="132"/>
      <c r="K57" s="8"/>
      <c r="L57" s="131" t="s">
        <v>115</v>
      </c>
      <c r="M57" s="131"/>
      <c r="N57" s="131"/>
      <c r="O57" s="131"/>
      <c r="P57" s="131"/>
      <c r="Q57" s="8"/>
      <c r="R57" s="8"/>
      <c r="S57" s="8"/>
    </row>
    <row r="58" spans="1:19">
      <c r="A58" s="99"/>
      <c r="B58" s="99"/>
      <c r="C58" s="99"/>
      <c r="D58" s="99"/>
      <c r="E58" s="99"/>
      <c r="F58" s="99"/>
      <c r="G58" s="99"/>
      <c r="H58" s="99"/>
      <c r="I58" s="99"/>
      <c r="J58" s="99"/>
      <c r="K58" s="99"/>
      <c r="L58" s="99"/>
      <c r="M58" s="99"/>
      <c r="N58" s="99"/>
      <c r="O58" s="99"/>
      <c r="P58" s="99"/>
      <c r="Q58" s="99"/>
      <c r="R58" s="99"/>
      <c r="S58" s="99"/>
    </row>
    <row r="59" spans="1:19">
      <c r="A59" s="1619"/>
      <c r="B59" s="1619"/>
      <c r="C59" s="1619"/>
      <c r="D59" s="1619"/>
      <c r="E59" s="1619"/>
      <c r="F59" s="1619"/>
      <c r="G59" s="1619"/>
      <c r="H59" s="1619"/>
      <c r="I59" s="1619"/>
      <c r="J59" s="1619"/>
      <c r="K59" s="1619"/>
      <c r="L59" s="1619"/>
      <c r="M59" s="1619"/>
      <c r="N59" s="1619"/>
      <c r="O59" s="1619"/>
      <c r="P59" s="1619"/>
      <c r="Q59" s="1619"/>
      <c r="R59" s="1619"/>
      <c r="S59" s="1619"/>
    </row>
    <row r="60" spans="1:19">
      <c r="A60" s="1619"/>
      <c r="B60" s="1619"/>
      <c r="C60" s="1619"/>
      <c r="D60" s="1619"/>
      <c r="E60" s="1619"/>
      <c r="F60" s="1619"/>
      <c r="G60" s="1619"/>
      <c r="H60" s="1619"/>
      <c r="I60" s="1619"/>
      <c r="J60" s="1619"/>
      <c r="K60" s="1619"/>
      <c r="L60" s="1619"/>
      <c r="M60" s="1619"/>
      <c r="N60" s="1619"/>
      <c r="O60" s="1619"/>
      <c r="P60" s="1619"/>
      <c r="Q60" s="1619"/>
      <c r="R60" s="1619"/>
      <c r="S60" s="1619"/>
    </row>
    <row r="61" spans="1:19">
      <c r="A61" s="1619"/>
      <c r="B61" s="1619"/>
      <c r="C61" s="1619"/>
      <c r="D61" s="1619"/>
      <c r="E61" s="1619"/>
      <c r="F61" s="1619"/>
      <c r="G61" s="1619"/>
      <c r="H61" s="1619"/>
      <c r="I61" s="1619"/>
      <c r="J61" s="1619"/>
      <c r="K61" s="1619"/>
      <c r="L61" s="1619"/>
      <c r="M61" s="1619"/>
      <c r="N61" s="1619"/>
      <c r="O61" s="1619"/>
      <c r="P61" s="1619"/>
      <c r="Q61" s="1619"/>
      <c r="R61" s="1619"/>
      <c r="S61" s="1619"/>
    </row>
    <row r="62" spans="1:19">
      <c r="A62" s="1619"/>
      <c r="B62" s="1619"/>
      <c r="C62" s="1619"/>
      <c r="D62" s="1619"/>
      <c r="E62" s="1619"/>
      <c r="F62" s="1619"/>
      <c r="G62" s="1619"/>
      <c r="H62" s="1619"/>
      <c r="I62" s="1619"/>
      <c r="J62" s="1619"/>
      <c r="K62" s="1619"/>
      <c r="L62" s="1619"/>
      <c r="M62" s="1619"/>
      <c r="N62" s="1619"/>
      <c r="O62" s="1619"/>
      <c r="P62" s="1619"/>
      <c r="Q62" s="1619"/>
      <c r="R62" s="1619"/>
      <c r="S62" s="1619"/>
    </row>
    <row r="63" spans="1:19">
      <c r="A63" s="1619"/>
      <c r="B63" s="1619"/>
      <c r="C63" s="1619"/>
      <c r="D63" s="1619"/>
      <c r="E63" s="1619"/>
      <c r="F63" s="1619"/>
      <c r="G63" s="1619"/>
      <c r="H63" s="1619"/>
      <c r="I63" s="1619"/>
      <c r="J63" s="1619"/>
      <c r="K63" s="1619"/>
      <c r="L63" s="1619"/>
      <c r="M63" s="1619"/>
      <c r="N63" s="1619"/>
      <c r="O63" s="1619"/>
      <c r="P63" s="1619"/>
      <c r="Q63" s="1619"/>
      <c r="R63" s="1619"/>
      <c r="S63" s="1619"/>
    </row>
    <row r="64" spans="1:19">
      <c r="A64" s="1619"/>
      <c r="B64" s="1619"/>
      <c r="C64" s="1619"/>
      <c r="D64" s="1619"/>
      <c r="E64" s="1619"/>
      <c r="F64" s="1619"/>
      <c r="G64" s="1619"/>
      <c r="H64" s="1619"/>
      <c r="I64" s="1619"/>
      <c r="J64" s="1619"/>
      <c r="K64" s="1619"/>
      <c r="L64" s="1619"/>
      <c r="M64" s="1619"/>
      <c r="N64" s="1619"/>
      <c r="O64" s="1619"/>
      <c r="P64" s="1619"/>
      <c r="Q64" s="1619"/>
      <c r="R64" s="1619"/>
      <c r="S64" s="1619"/>
    </row>
    <row r="65" spans="1:19">
      <c r="A65" s="1619"/>
      <c r="B65" s="1619"/>
      <c r="C65" s="1619"/>
      <c r="D65" s="1619"/>
      <c r="E65" s="1619"/>
      <c r="F65" s="1619"/>
      <c r="G65" s="1619"/>
      <c r="H65" s="1619"/>
      <c r="I65" s="1619"/>
      <c r="J65" s="1619"/>
      <c r="K65" s="1619"/>
      <c r="L65" s="1619"/>
      <c r="M65" s="1619"/>
      <c r="N65" s="1619"/>
      <c r="O65" s="1619"/>
      <c r="P65" s="1619"/>
      <c r="Q65" s="1619"/>
      <c r="R65" s="1619"/>
      <c r="S65" s="1619"/>
    </row>
  </sheetData>
  <sheetProtection password="CC5F" sheet="1" objects="1" scenarios="1"/>
  <mergeCells count="28">
    <mergeCell ref="E56:J56"/>
    <mergeCell ref="L56:P56"/>
    <mergeCell ref="E52:J52"/>
    <mergeCell ref="L52:P52"/>
    <mergeCell ref="E54:J54"/>
    <mergeCell ref="L54:P54"/>
    <mergeCell ref="M1:S1"/>
    <mergeCell ref="E9:P10"/>
    <mergeCell ref="M2:R2"/>
    <mergeCell ref="M3:R3"/>
    <mergeCell ref="M4:R4"/>
    <mergeCell ref="M5:R5"/>
    <mergeCell ref="E50:J50"/>
    <mergeCell ref="L50:P50"/>
    <mergeCell ref="F29:J29"/>
    <mergeCell ref="A2:D2"/>
    <mergeCell ref="A3:D3"/>
    <mergeCell ref="F11:J11"/>
    <mergeCell ref="M11:O11"/>
    <mergeCell ref="F43:J43"/>
    <mergeCell ref="M43:O43"/>
    <mergeCell ref="F14:J14"/>
    <mergeCell ref="M14:O14"/>
    <mergeCell ref="E27:P28"/>
    <mergeCell ref="E41:P42"/>
    <mergeCell ref="M32:O32"/>
    <mergeCell ref="M29:O29"/>
    <mergeCell ref="F32:J32"/>
  </mergeCells>
  <phoneticPr fontId="5" type="noConversion"/>
  <printOptions horizontalCentered="1"/>
  <pageMargins left="0.25" right="0.25" top="0.25" bottom="0.25" header="0.5" footer="0.5"/>
  <pageSetup scale="61" orientation="landscape" horizontalDpi="1200" verticalDpi="1200" r:id="rId1"/>
  <headerFooter alignWithMargins="0"/>
  <customProperties>
    <customPr name="DrillPoint.FROID" r:id="rId2"/>
    <customPr name="DrillPoint.Mode" r:id="rId3"/>
    <customPr name="DrillPoint.Subsheet" r:id="rId4"/>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4"/>
    <pageSetUpPr autoPageBreaks="0"/>
  </sheetPr>
  <dimension ref="A1:W91"/>
  <sheetViews>
    <sheetView showGridLines="0" zoomScale="85" zoomScaleNormal="85" workbookViewId="0">
      <pane xSplit="8" ySplit="9" topLeftCell="K10" activePane="bottomRight" state="frozen"/>
      <selection pane="topRight" activeCell="J13" sqref="J13"/>
      <selection pane="bottomLeft" activeCell="J13" sqref="J13"/>
      <selection pane="bottomRight" activeCell="N12" sqref="N12"/>
    </sheetView>
  </sheetViews>
  <sheetFormatPr defaultColWidth="5" defaultRowHeight="12.75"/>
  <cols>
    <col min="1" max="1" width="2.85546875" style="5" customWidth="1"/>
    <col min="2" max="2" width="9.140625" style="7" customWidth="1"/>
    <col min="3" max="8" width="9.140625" style="5" customWidth="1"/>
    <col min="9" max="9" width="12" style="5" customWidth="1"/>
    <col min="10" max="10" width="14.28515625" style="5" customWidth="1"/>
    <col min="11" max="11" width="14.42578125" style="5" customWidth="1"/>
    <col min="12" max="12" width="14" style="5" customWidth="1"/>
    <col min="13" max="13" width="12.5703125" style="5" customWidth="1"/>
    <col min="14" max="15" width="14" style="5" customWidth="1"/>
    <col min="16" max="16" width="12.5703125" style="5" customWidth="1"/>
    <col min="17" max="19" width="14" style="5" customWidth="1"/>
    <col min="20" max="20" width="14" style="27" customWidth="1"/>
    <col min="21" max="21" width="14" style="5" customWidth="1"/>
    <col min="22" max="22" width="12.5703125" style="5" customWidth="1"/>
    <col min="23" max="23" width="75.42578125" style="1213" customWidth="1"/>
    <col min="24" max="16384" width="5" style="5"/>
  </cols>
  <sheetData>
    <row r="1" spans="1:23" ht="15.75">
      <c r="A1" s="42" t="s">
        <v>116</v>
      </c>
      <c r="B1" s="43"/>
      <c r="C1" s="44"/>
      <c r="D1" s="44"/>
      <c r="E1" s="44"/>
      <c r="F1" s="44"/>
      <c r="G1" s="44"/>
      <c r="H1" s="448"/>
      <c r="I1" s="1677" t="str">
        <f>IF('INTERIM-CERTIFICATION'!$M$1="","CHARTER NAME: Enter Charter Name on INTERIM-CERTIFICATION Worksheet",(CONCATENATE("CHARTER NAME: ",'INTERIM-CERTIFICATION'!$M$1)))</f>
        <v>CHARTER NAME: Encore High School -</v>
      </c>
      <c r="J1" s="1677"/>
      <c r="K1" s="1677"/>
      <c r="L1" s="1677"/>
      <c r="M1" s="1677"/>
      <c r="N1" s="1677"/>
      <c r="O1" s="97"/>
      <c r="P1" s="97"/>
      <c r="Q1" s="97"/>
      <c r="R1" s="204"/>
      <c r="S1" s="204"/>
      <c r="T1" s="257"/>
      <c r="U1" s="257"/>
      <c r="V1" s="449"/>
    </row>
    <row r="2" spans="1:23" ht="16.5" thickBot="1">
      <c r="A2" s="450"/>
      <c r="B2" s="32"/>
      <c r="C2" s="33"/>
      <c r="D2" s="33"/>
      <c r="E2" s="33"/>
      <c r="F2" s="33"/>
      <c r="G2" s="33"/>
      <c r="H2" s="413"/>
      <c r="I2" s="1678" t="str">
        <f>IF('INTERIM-CERTIFICATION'!$M$5="","CHARTER #: Enter Charter # on INTERIM-CERTIFICATION Worksheet",(_xlfn.CONCAT("CHARTER #: ",'INTERIM-CERTIFICATION'!$M$5)))</f>
        <v>CHARTER #: 971</v>
      </c>
      <c r="J2" s="1678"/>
      <c r="K2" s="1678"/>
      <c r="L2" s="1678"/>
      <c r="M2" s="1678"/>
      <c r="N2" s="1678"/>
      <c r="O2" s="205"/>
      <c r="P2" s="10"/>
      <c r="Q2" s="10"/>
      <c r="R2" s="10"/>
      <c r="S2" s="10"/>
      <c r="T2"/>
      <c r="U2"/>
      <c r="V2" s="451"/>
    </row>
    <row r="3" spans="1:23" ht="16.5" thickTop="1">
      <c r="A3" s="450"/>
      <c r="B3" s="32"/>
      <c r="C3" s="33"/>
      <c r="D3" s="33"/>
      <c r="E3" s="33"/>
      <c r="F3" s="33"/>
      <c r="G3" s="33"/>
      <c r="H3" s="34"/>
      <c r="I3" s="90"/>
      <c r="J3" s="34"/>
      <c r="K3" s="34"/>
      <c r="L3" s="34"/>
      <c r="M3" s="34"/>
      <c r="N3" s="34"/>
      <c r="O3" s="34"/>
      <c r="P3" s="34"/>
      <c r="Q3" s="34"/>
      <c r="R3" s="34"/>
      <c r="S3" s="34"/>
      <c r="T3"/>
      <c r="U3"/>
      <c r="V3" s="451"/>
    </row>
    <row r="4" spans="1:23" s="1403" customFormat="1" ht="15.75">
      <c r="A4" s="39"/>
      <c r="B4" s="35"/>
      <c r="C4"/>
      <c r="D4"/>
      <c r="E4" s="36"/>
      <c r="F4" s="36"/>
      <c r="G4" s="36"/>
      <c r="H4" s="36"/>
      <c r="I4" s="36"/>
      <c r="J4" s="93" t="str">
        <f>"Fiscal Year "&amp;'Budget-ADA'!K7&amp;" First Interim Report"</f>
        <v>Fiscal Year 2021-22 First Interim Report</v>
      </c>
      <c r="K4" s="36"/>
      <c r="L4" s="36"/>
      <c r="M4" s="36"/>
      <c r="N4" s="36"/>
      <c r="O4" s="36"/>
      <c r="P4" s="36"/>
      <c r="Q4" s="36"/>
      <c r="R4" s="36"/>
      <c r="S4" s="36"/>
      <c r="T4"/>
      <c r="U4" s="87"/>
      <c r="V4" s="452"/>
      <c r="W4" s="1214"/>
    </row>
    <row r="5" spans="1:23" s="1403" customFormat="1" ht="15.75">
      <c r="A5" s="39"/>
      <c r="B5" s="35"/>
      <c r="C5" s="35"/>
      <c r="D5"/>
      <c r="E5" s="36"/>
      <c r="F5" s="36"/>
      <c r="G5" s="36"/>
      <c r="H5" s="36"/>
      <c r="I5" s="36"/>
      <c r="J5" s="36" t="str">
        <f>"Projected ADA as of October 31, "&amp;'Budget-DEBT'!$D$13&amp;""</f>
        <v>Projected ADA as of October 31, 2021</v>
      </c>
      <c r="K5" s="36"/>
      <c r="L5" s="36"/>
      <c r="M5" s="36"/>
      <c r="N5" s="36"/>
      <c r="O5" s="36"/>
      <c r="P5" s="36"/>
      <c r="Q5" s="36"/>
      <c r="R5" s="36"/>
      <c r="S5" s="36"/>
      <c r="T5"/>
      <c r="U5" s="87"/>
      <c r="V5" s="452"/>
      <c r="W5" s="1214"/>
    </row>
    <row r="6" spans="1:23" s="1403" customFormat="1" ht="16.5" thickBot="1">
      <c r="A6" s="1824" t="str">
        <f>Instructions!H1</f>
        <v>Rev. 5/28/2021</v>
      </c>
      <c r="B6" s="1825"/>
      <c r="C6" s="1825"/>
      <c r="D6" s="1825"/>
      <c r="E6" s="1825"/>
      <c r="F6" s="1825"/>
      <c r="G6" s="1825"/>
      <c r="H6" s="1825"/>
      <c r="I6" s="105"/>
      <c r="J6" s="104"/>
      <c r="K6" s="235"/>
      <c r="L6" s="235"/>
      <c r="M6" s="235"/>
      <c r="N6" s="235"/>
      <c r="O6" s="235"/>
      <c r="P6" s="235"/>
      <c r="Q6" s="1"/>
      <c r="R6" s="1"/>
      <c r="S6" s="1"/>
      <c r="T6"/>
      <c r="U6"/>
      <c r="V6" s="452"/>
      <c r="W6" s="1214"/>
    </row>
    <row r="7" spans="1:23" s="1403" customFormat="1" ht="16.5" customHeight="1">
      <c r="A7" s="1669" t="str">
        <f>IF('INTERIM-CERTIFICATION'!$H$3="","Charter Authorizer: Enter Charter Authorizer on INTERIM-CERTIFICATION Worksheet",(_xlfn.CONCAT("Charter Authorizer: ",'INTERIM-CERTIFICATION'!$H$3)))</f>
        <v>Charter Authorizer: Enter Charter Authorizer on INTERIM-CERTIFICATION Worksheet</v>
      </c>
      <c r="B7" s="1670"/>
      <c r="C7" s="1670"/>
      <c r="D7" s="1670"/>
      <c r="E7" s="1670"/>
      <c r="F7" s="1670"/>
      <c r="G7" s="1671"/>
      <c r="H7" s="241"/>
      <c r="I7" s="1652" t="str">
        <f>'Budget-ADA'!I7</f>
        <v>2020-21</v>
      </c>
      <c r="J7" s="1826"/>
      <c r="K7" s="428"/>
      <c r="L7" s="429" t="str">
        <f>""&amp;'Budget-ADA'!$K$7&amp;" Adopted Budget"</f>
        <v>2021-22 Adopted Budget</v>
      </c>
      <c r="M7" s="430"/>
      <c r="N7" s="428"/>
      <c r="O7" s="429" t="str">
        <f>""&amp;'Budget-ADA'!$K$7&amp;" First Interim"</f>
        <v>2021-22 First Interim</v>
      </c>
      <c r="P7" s="430"/>
      <c r="Q7" s="428"/>
      <c r="R7" s="429" t="str">
        <f>""&amp;'Budget-ADA'!$N$7&amp;" First Interim"</f>
        <v>2022-23 First Interim</v>
      </c>
      <c r="S7" s="430"/>
      <c r="T7" s="428"/>
      <c r="U7" s="429" t="str">
        <f>""&amp;'Budget-ADA'!$Q$7&amp;" First Interim"</f>
        <v>2023-24 First Interim</v>
      </c>
      <c r="V7" s="431"/>
      <c r="W7" s="1214"/>
    </row>
    <row r="8" spans="1:23" s="1403" customFormat="1" ht="21" thickBot="1">
      <c r="A8" s="1672"/>
      <c r="B8" s="1673"/>
      <c r="C8" s="1673"/>
      <c r="D8" s="1673"/>
      <c r="E8" s="1673"/>
      <c r="F8" s="1673"/>
      <c r="G8" s="1674"/>
      <c r="H8" s="39"/>
      <c r="I8" s="425" t="s">
        <v>122</v>
      </c>
      <c r="J8" s="426" t="s">
        <v>123</v>
      </c>
      <c r="K8" s="432" t="s">
        <v>117</v>
      </c>
      <c r="L8" s="433" t="s">
        <v>123</v>
      </c>
      <c r="M8" s="1822" t="s">
        <v>124</v>
      </c>
      <c r="N8" s="432" t="s">
        <v>117</v>
      </c>
      <c r="O8" s="433" t="s">
        <v>123</v>
      </c>
      <c r="P8" s="1822" t="s">
        <v>544</v>
      </c>
      <c r="Q8" s="432" t="s">
        <v>117</v>
      </c>
      <c r="R8" s="433" t="s">
        <v>123</v>
      </c>
      <c r="S8" s="1822" t="s">
        <v>124</v>
      </c>
      <c r="T8" s="432" t="s">
        <v>117</v>
      </c>
      <c r="U8" s="433" t="s">
        <v>123</v>
      </c>
      <c r="V8" s="1820" t="s">
        <v>124</v>
      </c>
      <c r="W8" s="1214"/>
    </row>
    <row r="9" spans="1:23" ht="19.5" thickBot="1">
      <c r="A9" s="416" t="s">
        <v>103</v>
      </c>
      <c r="B9" s="417"/>
      <c r="C9" s="417"/>
      <c r="D9" s="417"/>
      <c r="E9" s="418"/>
      <c r="F9" s="419"/>
      <c r="G9" s="418"/>
      <c r="H9" s="424" t="s">
        <v>125</v>
      </c>
      <c r="I9" s="232" t="s">
        <v>545</v>
      </c>
      <c r="J9" s="89"/>
      <c r="K9" s="86" t="s">
        <v>127</v>
      </c>
      <c r="L9" s="89"/>
      <c r="M9" s="1823"/>
      <c r="N9" s="86" t="s">
        <v>127</v>
      </c>
      <c r="O9" s="89"/>
      <c r="P9" s="1823"/>
      <c r="Q9" s="86" t="s">
        <v>127</v>
      </c>
      <c r="R9" s="89"/>
      <c r="S9" s="1823"/>
      <c r="T9" s="86" t="s">
        <v>127</v>
      </c>
      <c r="U9" s="89"/>
      <c r="V9" s="1821"/>
    </row>
    <row r="10" spans="1:23" ht="21.75" thickTop="1" thickBot="1">
      <c r="A10" s="414" t="s">
        <v>128</v>
      </c>
      <c r="B10" s="415"/>
      <c r="C10" s="415"/>
      <c r="D10" s="44"/>
      <c r="E10" s="44"/>
      <c r="F10" s="44"/>
      <c r="G10" s="1001">
        <v>1</v>
      </c>
      <c r="H10" s="557"/>
      <c r="I10" s="558"/>
      <c r="J10" s="557"/>
      <c r="K10" s="557"/>
      <c r="L10" s="557"/>
      <c r="M10" s="557"/>
      <c r="N10" s="557"/>
      <c r="O10" s="557"/>
      <c r="P10" s="557"/>
      <c r="Q10" s="557"/>
      <c r="R10" s="557"/>
      <c r="S10" s="557"/>
      <c r="T10" s="557"/>
      <c r="U10" s="557"/>
      <c r="V10" s="559"/>
    </row>
    <row r="11" spans="1:23" ht="15.75">
      <c r="A11" s="41" t="s">
        <v>129</v>
      </c>
      <c r="B11" s="242"/>
      <c r="C11"/>
      <c r="D11" s="33"/>
      <c r="E11" s="33"/>
      <c r="F11" s="33"/>
      <c r="G11" s="33"/>
      <c r="H11" s="560"/>
      <c r="I11" s="438"/>
      <c r="J11" s="242"/>
      <c r="K11" s="242"/>
      <c r="L11" s="242"/>
      <c r="M11" s="242"/>
      <c r="N11" s="242"/>
      <c r="O11" s="242"/>
      <c r="P11" s="242"/>
      <c r="Q11" s="242"/>
      <c r="R11" s="242"/>
      <c r="S11" s="242"/>
      <c r="T11" s="242"/>
      <c r="U11" s="242"/>
      <c r="V11" s="437"/>
    </row>
    <row r="12" spans="1:23" ht="15.75">
      <c r="A12" s="67"/>
      <c r="B12" s="246"/>
      <c r="C12" s="247" t="s">
        <v>130</v>
      </c>
      <c r="D12" s="244"/>
      <c r="E12" s="244"/>
      <c r="F12" s="244"/>
      <c r="G12" s="244"/>
      <c r="H12" s="245" t="s">
        <v>131</v>
      </c>
      <c r="I12" s="427">
        <f>'Budget-ADA'!I12</f>
        <v>0</v>
      </c>
      <c r="J12" s="784"/>
      <c r="K12" s="255">
        <f>'Budget-ADA'!K12</f>
        <v>0</v>
      </c>
      <c r="L12" s="784"/>
      <c r="M12" s="251" t="str">
        <f>'Budget-ADA'!M12</f>
        <v xml:space="preserve"> </v>
      </c>
      <c r="N12" s="249"/>
      <c r="O12" s="784"/>
      <c r="P12" s="250" t="str">
        <f t="shared" ref="P12:P23" si="0">IF(K12&lt;1," ",IF(N12&lt;1," ",(N12-K12)/K12))</f>
        <v xml:space="preserve"> </v>
      </c>
      <c r="Q12" s="249"/>
      <c r="R12" s="784"/>
      <c r="S12" s="250" t="str">
        <f t="shared" ref="S12:S23" si="1">IF(N12&lt;1," ",IF(Q12&lt;1," ",(Q12-N12)/N12))</f>
        <v xml:space="preserve"> </v>
      </c>
      <c r="T12" s="249"/>
      <c r="U12" s="784"/>
      <c r="V12" s="252" t="str">
        <f t="shared" ref="V12:V23" si="2">IF(Q12&lt;1," ",IF(T12&lt;1," ",(T12-Q12)/Q12))</f>
        <v xml:space="preserve"> </v>
      </c>
    </row>
    <row r="13" spans="1:23" ht="15.75">
      <c r="A13" s="238"/>
      <c r="B13" s="246"/>
      <c r="C13" s="140" t="s">
        <v>132</v>
      </c>
      <c r="D13" s="244"/>
      <c r="E13" s="244"/>
      <c r="F13" s="244"/>
      <c r="G13" s="244"/>
      <c r="H13" s="245" t="s">
        <v>133</v>
      </c>
      <c r="I13" s="427">
        <f>'Budget-ADA'!I13</f>
        <v>0</v>
      </c>
      <c r="J13" s="657"/>
      <c r="K13" s="255">
        <f>'Budget-ADA'!K13</f>
        <v>0</v>
      </c>
      <c r="L13" s="657"/>
      <c r="M13" s="251" t="str">
        <f>'Budget-ADA'!M13</f>
        <v xml:space="preserve"> </v>
      </c>
      <c r="N13" s="249"/>
      <c r="O13" s="657"/>
      <c r="P13" s="250" t="str">
        <f t="shared" si="0"/>
        <v xml:space="preserve"> </v>
      </c>
      <c r="Q13" s="249"/>
      <c r="R13" s="657"/>
      <c r="S13" s="250" t="str">
        <f t="shared" si="1"/>
        <v xml:space="preserve"> </v>
      </c>
      <c r="T13" s="249"/>
      <c r="U13" s="657"/>
      <c r="V13" s="252" t="str">
        <f t="shared" si="2"/>
        <v xml:space="preserve"> </v>
      </c>
    </row>
    <row r="14" spans="1:23" ht="15.75">
      <c r="A14" s="67"/>
      <c r="B14" s="246"/>
      <c r="C14" s="247" t="s">
        <v>134</v>
      </c>
      <c r="D14" s="244"/>
      <c r="E14" s="244"/>
      <c r="F14" s="244"/>
      <c r="G14" s="244"/>
      <c r="H14" s="245" t="s">
        <v>135</v>
      </c>
      <c r="I14" s="427">
        <f>'Budget-ADA'!I14</f>
        <v>0</v>
      </c>
      <c r="J14" s="657"/>
      <c r="K14" s="255">
        <f>'Budget-ADA'!K14</f>
        <v>0</v>
      </c>
      <c r="L14" s="657"/>
      <c r="M14" s="251" t="str">
        <f>'Budget-ADA'!M14</f>
        <v xml:space="preserve"> </v>
      </c>
      <c r="N14" s="249"/>
      <c r="O14" s="657"/>
      <c r="P14" s="250" t="str">
        <f t="shared" si="0"/>
        <v xml:space="preserve"> </v>
      </c>
      <c r="Q14" s="249"/>
      <c r="R14" s="657"/>
      <c r="S14" s="250" t="str">
        <f t="shared" si="1"/>
        <v xml:space="preserve"> </v>
      </c>
      <c r="T14" s="249"/>
      <c r="U14" s="657"/>
      <c r="V14" s="252" t="str">
        <f t="shared" si="2"/>
        <v xml:space="preserve"> </v>
      </c>
    </row>
    <row r="15" spans="1:23" ht="15.75">
      <c r="A15" s="67"/>
      <c r="B15" s="246"/>
      <c r="C15" s="140" t="s">
        <v>136</v>
      </c>
      <c r="D15" s="244"/>
      <c r="E15" s="244"/>
      <c r="F15" s="244"/>
      <c r="G15" s="244"/>
      <c r="H15" s="245" t="s">
        <v>137</v>
      </c>
      <c r="I15" s="427">
        <f>'Budget-ADA'!I15</f>
        <v>0</v>
      </c>
      <c r="J15" s="657"/>
      <c r="K15" s="255">
        <f>'Budget-ADA'!K15</f>
        <v>0</v>
      </c>
      <c r="L15" s="657"/>
      <c r="M15" s="251" t="str">
        <f>'Budget-ADA'!M15</f>
        <v xml:space="preserve"> </v>
      </c>
      <c r="N15" s="249"/>
      <c r="O15" s="657"/>
      <c r="P15" s="250" t="str">
        <f t="shared" si="0"/>
        <v xml:space="preserve"> </v>
      </c>
      <c r="Q15" s="249"/>
      <c r="R15" s="657"/>
      <c r="S15" s="250" t="str">
        <f t="shared" si="1"/>
        <v xml:space="preserve"> </v>
      </c>
      <c r="T15" s="249"/>
      <c r="U15" s="657"/>
      <c r="V15" s="252" t="str">
        <f t="shared" si="2"/>
        <v xml:space="preserve"> </v>
      </c>
    </row>
    <row r="16" spans="1:23" ht="15.75">
      <c r="A16" s="67"/>
      <c r="B16" s="246"/>
      <c r="C16" s="247" t="s">
        <v>138</v>
      </c>
      <c r="D16" s="244"/>
      <c r="E16" s="244"/>
      <c r="F16" s="244"/>
      <c r="G16" s="244"/>
      <c r="H16" s="245" t="s">
        <v>139</v>
      </c>
      <c r="I16" s="427">
        <f>'Budget-ADA'!I16</f>
        <v>0</v>
      </c>
      <c r="J16" s="657"/>
      <c r="K16" s="255">
        <f>'Budget-ADA'!K16</f>
        <v>0</v>
      </c>
      <c r="L16" s="657"/>
      <c r="M16" s="251" t="str">
        <f>'Budget-ADA'!M16</f>
        <v xml:space="preserve"> </v>
      </c>
      <c r="N16" s="249"/>
      <c r="O16" s="657"/>
      <c r="P16" s="250" t="str">
        <f t="shared" si="0"/>
        <v xml:space="preserve"> </v>
      </c>
      <c r="Q16" s="249"/>
      <c r="R16" s="657"/>
      <c r="S16" s="250" t="str">
        <f t="shared" si="1"/>
        <v xml:space="preserve"> </v>
      </c>
      <c r="T16" s="249"/>
      <c r="U16" s="657"/>
      <c r="V16" s="434" t="str">
        <f t="shared" si="2"/>
        <v xml:space="preserve"> </v>
      </c>
    </row>
    <row r="17" spans="1:22" ht="15.75">
      <c r="A17" s="67"/>
      <c r="B17" s="246"/>
      <c r="C17" s="140" t="s">
        <v>140</v>
      </c>
      <c r="D17" s="244"/>
      <c r="E17" s="244"/>
      <c r="F17" s="244"/>
      <c r="G17" s="244"/>
      <c r="H17" s="245" t="s">
        <v>141</v>
      </c>
      <c r="I17" s="427">
        <f>'Budget-ADA'!I17</f>
        <v>0</v>
      </c>
      <c r="J17" s="657"/>
      <c r="K17" s="255">
        <f>'Budget-ADA'!K17</f>
        <v>0</v>
      </c>
      <c r="L17" s="657"/>
      <c r="M17" s="251" t="str">
        <f>'Budget-ADA'!M17</f>
        <v xml:space="preserve"> </v>
      </c>
      <c r="N17" s="249"/>
      <c r="O17" s="657"/>
      <c r="P17" s="250" t="str">
        <f t="shared" si="0"/>
        <v xml:space="preserve"> </v>
      </c>
      <c r="Q17" s="249"/>
      <c r="R17" s="657"/>
      <c r="S17" s="250" t="str">
        <f t="shared" si="1"/>
        <v xml:space="preserve"> </v>
      </c>
      <c r="T17" s="249"/>
      <c r="U17" s="657"/>
      <c r="V17" s="434" t="str">
        <f t="shared" si="2"/>
        <v xml:space="preserve"> </v>
      </c>
    </row>
    <row r="18" spans="1:22" ht="15.75">
      <c r="A18" s="67"/>
      <c r="B18" s="246"/>
      <c r="C18" s="247" t="s">
        <v>142</v>
      </c>
      <c r="D18" s="244"/>
      <c r="E18" s="244"/>
      <c r="F18" s="244"/>
      <c r="G18" s="244"/>
      <c r="H18" s="245" t="s">
        <v>143</v>
      </c>
      <c r="I18" s="427">
        <f>'Budget-ADA'!I18</f>
        <v>0</v>
      </c>
      <c r="J18" s="657"/>
      <c r="K18" s="255">
        <f>'Budget-ADA'!K18</f>
        <v>0</v>
      </c>
      <c r="L18" s="657"/>
      <c r="M18" s="251" t="str">
        <f>'Budget-ADA'!M18</f>
        <v xml:space="preserve"> </v>
      </c>
      <c r="N18" s="249"/>
      <c r="O18" s="657"/>
      <c r="P18" s="250" t="str">
        <f t="shared" si="0"/>
        <v xml:space="preserve"> </v>
      </c>
      <c r="Q18" s="249"/>
      <c r="R18" s="657"/>
      <c r="S18" s="250" t="str">
        <f t="shared" si="1"/>
        <v xml:space="preserve"> </v>
      </c>
      <c r="T18" s="249"/>
      <c r="U18" s="657"/>
      <c r="V18" s="434" t="str">
        <f t="shared" si="2"/>
        <v xml:space="preserve"> </v>
      </c>
    </row>
    <row r="19" spans="1:22" ht="15.75">
      <c r="A19" s="67"/>
      <c r="B19" s="246"/>
      <c r="C19" s="140" t="s">
        <v>144</v>
      </c>
      <c r="D19" s="244"/>
      <c r="E19" s="244"/>
      <c r="F19" s="244"/>
      <c r="G19" s="244"/>
      <c r="H19" s="245" t="s">
        <v>145</v>
      </c>
      <c r="I19" s="427">
        <f>'Budget-ADA'!I19</f>
        <v>0</v>
      </c>
      <c r="J19" s="657"/>
      <c r="K19" s="255">
        <f>'Budget-ADA'!K19</f>
        <v>0</v>
      </c>
      <c r="L19" s="657"/>
      <c r="M19" s="251" t="str">
        <f>'Budget-ADA'!M19</f>
        <v xml:space="preserve"> </v>
      </c>
      <c r="N19" s="249"/>
      <c r="O19" s="657"/>
      <c r="P19" s="250" t="str">
        <f t="shared" si="0"/>
        <v xml:space="preserve"> </v>
      </c>
      <c r="Q19" s="249"/>
      <c r="R19" s="657"/>
      <c r="S19" s="250" t="str">
        <f t="shared" si="1"/>
        <v xml:space="preserve"> </v>
      </c>
      <c r="T19" s="249"/>
      <c r="U19" s="657"/>
      <c r="V19" s="434" t="str">
        <f t="shared" si="2"/>
        <v xml:space="preserve"> </v>
      </c>
    </row>
    <row r="20" spans="1:22" ht="18.75" customHeight="1">
      <c r="A20" s="67"/>
      <c r="B20" s="1664" t="s">
        <v>146</v>
      </c>
      <c r="C20" s="1665"/>
      <c r="D20" s="1665"/>
      <c r="E20" s="1665"/>
      <c r="F20" s="1665"/>
      <c r="G20" s="1666"/>
      <c r="H20" s="245" t="s">
        <v>147</v>
      </c>
      <c r="I20" s="427">
        <f>'Budget-ADA'!I20</f>
        <v>0</v>
      </c>
      <c r="J20" s="254">
        <f>IF(('Budget-ADA'!J20="Cell G10 CANNOT be blank"), "Missing Data, BUDGET-ADA Tab, cell G10",'Budget-ADA'!J20)</f>
        <v>0</v>
      </c>
      <c r="K20" s="255">
        <f>'Budget-ADA'!K20</f>
        <v>0</v>
      </c>
      <c r="L20" s="442">
        <f>IF(('Budget-ADA'!L20="Cell G10 CANNOT be blank"), "Missing Data, BUDGET-ADA Tab, cell G10",'Budget-ADA'!L20)</f>
        <v>0</v>
      </c>
      <c r="M20" s="441" t="str">
        <f>'Budget-ADA'!M20</f>
        <v xml:space="preserve"> </v>
      </c>
      <c r="N20" s="253">
        <f>N12+N14+N16+N18</f>
        <v>0</v>
      </c>
      <c r="O20" s="657"/>
      <c r="P20" s="251" t="str">
        <f t="shared" si="0"/>
        <v xml:space="preserve"> </v>
      </c>
      <c r="Q20" s="253">
        <f>Q12+Q14+Q16+Q18</f>
        <v>0</v>
      </c>
      <c r="R20" s="657"/>
      <c r="S20" s="251" t="str">
        <f t="shared" si="1"/>
        <v xml:space="preserve"> </v>
      </c>
      <c r="T20" s="253">
        <f>T12+T14+T16+T18</f>
        <v>0</v>
      </c>
      <c r="U20" s="657"/>
      <c r="V20" s="434" t="str">
        <f t="shared" si="2"/>
        <v xml:space="preserve"> </v>
      </c>
    </row>
    <row r="21" spans="1:22" ht="15.75">
      <c r="A21" s="67"/>
      <c r="B21" s="1664" t="s">
        <v>148</v>
      </c>
      <c r="C21" s="1665"/>
      <c r="D21" s="1665"/>
      <c r="E21" s="1665"/>
      <c r="F21" s="1665"/>
      <c r="G21" s="1666"/>
      <c r="H21" s="245" t="s">
        <v>149</v>
      </c>
      <c r="I21" s="427">
        <f>'Budget-ADA'!I21</f>
        <v>0</v>
      </c>
      <c r="J21" s="254">
        <f>'Budget-ADA'!J21</f>
        <v>0</v>
      </c>
      <c r="K21" s="255">
        <f>'Budget-ADA'!K21</f>
        <v>0</v>
      </c>
      <c r="L21" s="442">
        <f>'Budget-ADA'!L21</f>
        <v>0</v>
      </c>
      <c r="M21" s="441" t="str">
        <f>'Budget-ADA'!M21</f>
        <v xml:space="preserve"> </v>
      </c>
      <c r="N21" s="253">
        <f>N13+N15+N17+N19</f>
        <v>0</v>
      </c>
      <c r="O21" s="442">
        <f>N21</f>
        <v>0</v>
      </c>
      <c r="P21" s="251" t="str">
        <f t="shared" si="0"/>
        <v xml:space="preserve"> </v>
      </c>
      <c r="Q21" s="253">
        <f>Q13+Q15+Q17+Q19</f>
        <v>0</v>
      </c>
      <c r="R21" s="442">
        <f>Q21</f>
        <v>0</v>
      </c>
      <c r="S21" s="251" t="str">
        <f t="shared" si="1"/>
        <v xml:space="preserve"> </v>
      </c>
      <c r="T21" s="253">
        <f>T13+T15+T17+T19</f>
        <v>0</v>
      </c>
      <c r="U21" s="442">
        <f>T21</f>
        <v>0</v>
      </c>
      <c r="V21" s="434" t="str">
        <f t="shared" si="2"/>
        <v xml:space="preserve"> </v>
      </c>
    </row>
    <row r="22" spans="1:22" ht="47.25" customHeight="1">
      <c r="A22" s="67"/>
      <c r="B22" s="1664" t="s">
        <v>150</v>
      </c>
      <c r="C22" s="1665"/>
      <c r="D22" s="1665"/>
      <c r="E22" s="1665"/>
      <c r="F22" s="1665"/>
      <c r="G22" s="1666"/>
      <c r="H22" s="245" t="s">
        <v>151</v>
      </c>
      <c r="I22" s="427">
        <f>'Budget-ADA'!I22</f>
        <v>0</v>
      </c>
      <c r="J22" s="442">
        <f>'Budget-ADA'!J22</f>
        <v>0</v>
      </c>
      <c r="K22" s="255">
        <f>'Budget-ADA'!K22</f>
        <v>0</v>
      </c>
      <c r="L22" s="442">
        <f>'Budget-ADA'!L22</f>
        <v>0</v>
      </c>
      <c r="M22" s="251" t="str">
        <f>'Budget-ADA'!M22</f>
        <v xml:space="preserve"> </v>
      </c>
      <c r="N22" s="253">
        <f>N20-N21</f>
        <v>0</v>
      </c>
      <c r="O22" s="442">
        <f>IF($G$10="","Cell G10 CANNOT be blank",N22*$G$10)</f>
        <v>0</v>
      </c>
      <c r="P22" s="251" t="str">
        <f t="shared" si="0"/>
        <v xml:space="preserve"> </v>
      </c>
      <c r="Q22" s="255">
        <f>Q20-Q21</f>
        <v>0</v>
      </c>
      <c r="R22" s="442">
        <f>IF($G$10="","Cell G10 CANNOT be blank",Q22*$G$10)</f>
        <v>0</v>
      </c>
      <c r="S22" s="251" t="str">
        <f t="shared" si="1"/>
        <v xml:space="preserve"> </v>
      </c>
      <c r="T22" s="255">
        <f>T20-T21</f>
        <v>0</v>
      </c>
      <c r="U22" s="442">
        <f>IF($G$10="","Cell G10 CANNOT be blank",T22*$G$10)</f>
        <v>0</v>
      </c>
      <c r="V22" s="434" t="str">
        <f t="shared" si="2"/>
        <v xml:space="preserve"> </v>
      </c>
    </row>
    <row r="23" spans="1:22" ht="31.5" customHeight="1">
      <c r="A23" s="67"/>
      <c r="B23" s="1657" t="s">
        <v>152</v>
      </c>
      <c r="C23" s="1658"/>
      <c r="D23" s="1658"/>
      <c r="E23" s="1658"/>
      <c r="F23" s="1658"/>
      <c r="G23" s="1659"/>
      <c r="H23" s="245" t="s">
        <v>153</v>
      </c>
      <c r="I23" s="427">
        <f>'Budget-ADA'!I23</f>
        <v>0</v>
      </c>
      <c r="J23" s="657"/>
      <c r="K23" s="255">
        <f>'Budget-ADA'!K23</f>
        <v>0</v>
      </c>
      <c r="L23" s="657"/>
      <c r="M23" s="251" t="str">
        <f>'Budget-ADA'!M23</f>
        <v xml:space="preserve"> </v>
      </c>
      <c r="N23" s="249"/>
      <c r="O23" s="657"/>
      <c r="P23" s="250" t="str">
        <f t="shared" si="0"/>
        <v xml:space="preserve"> </v>
      </c>
      <c r="Q23" s="249"/>
      <c r="R23" s="657"/>
      <c r="S23" s="250" t="str">
        <f t="shared" si="1"/>
        <v xml:space="preserve"> </v>
      </c>
      <c r="T23" s="249"/>
      <c r="U23" s="657"/>
      <c r="V23" s="434" t="str">
        <f t="shared" si="2"/>
        <v xml:space="preserve"> </v>
      </c>
    </row>
    <row r="24" spans="1:22" ht="15.75">
      <c r="A24" s="67"/>
      <c r="B24" s="565"/>
      <c r="C24" s="435"/>
      <c r="D24" s="435"/>
      <c r="E24" s="435"/>
      <c r="F24" s="435"/>
      <c r="G24" s="435"/>
      <c r="H24" s="561"/>
      <c r="I24" s="562"/>
      <c r="J24" s="562"/>
      <c r="K24" s="562"/>
      <c r="L24" s="562"/>
      <c r="M24" s="566"/>
      <c r="N24" s="106"/>
      <c r="O24" s="562"/>
      <c r="P24" s="566"/>
      <c r="Q24" s="106"/>
      <c r="R24" s="562"/>
      <c r="S24" s="566"/>
      <c r="T24" s="573"/>
      <c r="U24" s="562"/>
      <c r="V24" s="567"/>
    </row>
    <row r="25" spans="1:22" ht="15.75">
      <c r="A25" s="41" t="s">
        <v>154</v>
      </c>
      <c r="B25" s="242"/>
      <c r="C25"/>
      <c r="D25" s="33"/>
      <c r="E25" s="33"/>
      <c r="F25" s="33"/>
      <c r="G25" s="33"/>
      <c r="H25" s="568"/>
      <c r="I25" s="91"/>
      <c r="J25" s="37"/>
      <c r="K25" s="37"/>
      <c r="L25" s="37"/>
      <c r="M25" s="37"/>
      <c r="N25" s="37"/>
      <c r="O25" s="37"/>
      <c r="P25" s="37"/>
      <c r="Q25" s="37"/>
      <c r="R25" s="37"/>
      <c r="S25" s="37"/>
      <c r="T25" s="37"/>
      <c r="U25" s="37"/>
      <c r="V25" s="237"/>
    </row>
    <row r="26" spans="1:22" ht="15.75">
      <c r="A26" s="67"/>
      <c r="B26" s="246"/>
      <c r="C26" s="247" t="s">
        <v>130</v>
      </c>
      <c r="D26" s="244"/>
      <c r="E26" s="244"/>
      <c r="F26" s="244"/>
      <c r="G26" s="244"/>
      <c r="H26" s="245" t="s">
        <v>131</v>
      </c>
      <c r="I26" s="427">
        <f>'Budget-ADA'!I26</f>
        <v>0</v>
      </c>
      <c r="J26" s="784"/>
      <c r="K26" s="255">
        <f>'Budget-ADA'!K26</f>
        <v>0</v>
      </c>
      <c r="L26" s="784"/>
      <c r="M26" s="251" t="str">
        <f>'Budget-ADA'!M26</f>
        <v xml:space="preserve"> </v>
      </c>
      <c r="N26" s="249"/>
      <c r="O26" s="784"/>
      <c r="P26" s="250" t="str">
        <f t="shared" ref="P26:P36" si="3">IF(K26&lt;1," ",IF(N26&lt;1," ",(N26-K26)/K26))</f>
        <v xml:space="preserve"> </v>
      </c>
      <c r="Q26" s="249"/>
      <c r="R26" s="784"/>
      <c r="S26" s="250" t="str">
        <f t="shared" ref="S26:S36" si="4">IF(N26&lt;1," ",IF(Q26&lt;1," ",(Q26-N26)/N26))</f>
        <v xml:space="preserve"> </v>
      </c>
      <c r="T26" s="249"/>
      <c r="U26" s="784"/>
      <c r="V26" s="252" t="str">
        <f t="shared" ref="V26:V36" si="5">IF(Q26&lt;1," ",IF(T26&lt;1," ",(T26-Q26)/Q26))</f>
        <v xml:space="preserve"> </v>
      </c>
    </row>
    <row r="27" spans="1:22" ht="15.75">
      <c r="A27" s="67"/>
      <c r="B27" s="246"/>
      <c r="C27" s="140" t="s">
        <v>132</v>
      </c>
      <c r="D27" s="244"/>
      <c r="E27" s="244"/>
      <c r="F27" s="244"/>
      <c r="G27" s="244"/>
      <c r="H27" s="245" t="s">
        <v>133</v>
      </c>
      <c r="I27" s="427">
        <f>'Budget-ADA'!I27</f>
        <v>0</v>
      </c>
      <c r="J27" s="657"/>
      <c r="K27" s="255">
        <f>'Budget-ADA'!K27</f>
        <v>0</v>
      </c>
      <c r="L27" s="657"/>
      <c r="M27" s="251" t="str">
        <f>'Budget-ADA'!M27</f>
        <v xml:space="preserve"> </v>
      </c>
      <c r="N27" s="249"/>
      <c r="O27" s="657"/>
      <c r="P27" s="250" t="str">
        <f t="shared" si="3"/>
        <v xml:space="preserve"> </v>
      </c>
      <c r="Q27" s="249"/>
      <c r="R27" s="657"/>
      <c r="S27" s="250" t="str">
        <f t="shared" si="4"/>
        <v xml:space="preserve"> </v>
      </c>
      <c r="T27" s="249"/>
      <c r="U27" s="657"/>
      <c r="V27" s="252" t="str">
        <f t="shared" si="5"/>
        <v xml:space="preserve"> </v>
      </c>
    </row>
    <row r="28" spans="1:22" ht="15.75">
      <c r="A28" s="67"/>
      <c r="B28" s="246"/>
      <c r="C28" s="247" t="s">
        <v>134</v>
      </c>
      <c r="D28" s="244"/>
      <c r="E28" s="244"/>
      <c r="F28" s="244"/>
      <c r="G28" s="244"/>
      <c r="H28" s="245" t="s">
        <v>135</v>
      </c>
      <c r="I28" s="427">
        <f>'Budget-ADA'!I28</f>
        <v>0</v>
      </c>
      <c r="J28" s="657"/>
      <c r="K28" s="255">
        <f>'Budget-ADA'!K28</f>
        <v>0</v>
      </c>
      <c r="L28" s="657"/>
      <c r="M28" s="251" t="str">
        <f>'Budget-ADA'!M28</f>
        <v xml:space="preserve"> </v>
      </c>
      <c r="N28" s="249"/>
      <c r="O28" s="657"/>
      <c r="P28" s="250" t="str">
        <f t="shared" si="3"/>
        <v xml:space="preserve"> </v>
      </c>
      <c r="Q28" s="249"/>
      <c r="R28" s="657"/>
      <c r="S28" s="250" t="str">
        <f t="shared" si="4"/>
        <v xml:space="preserve"> </v>
      </c>
      <c r="T28" s="249"/>
      <c r="U28" s="657"/>
      <c r="V28" s="252" t="str">
        <f t="shared" si="5"/>
        <v xml:space="preserve"> </v>
      </c>
    </row>
    <row r="29" spans="1:22" ht="15.75">
      <c r="A29" s="67"/>
      <c r="B29" s="246"/>
      <c r="C29" s="140" t="s">
        <v>136</v>
      </c>
      <c r="D29" s="244"/>
      <c r="E29" s="244"/>
      <c r="F29" s="244"/>
      <c r="G29" s="244"/>
      <c r="H29" s="245" t="s">
        <v>137</v>
      </c>
      <c r="I29" s="427">
        <f>'Budget-ADA'!I29</f>
        <v>0</v>
      </c>
      <c r="J29" s="657"/>
      <c r="K29" s="255">
        <f>'Budget-ADA'!K29</f>
        <v>0</v>
      </c>
      <c r="L29" s="657"/>
      <c r="M29" s="251" t="str">
        <f>'Budget-ADA'!M29</f>
        <v xml:space="preserve"> </v>
      </c>
      <c r="N29" s="249"/>
      <c r="O29" s="657"/>
      <c r="P29" s="250" t="str">
        <f t="shared" si="3"/>
        <v xml:space="preserve"> </v>
      </c>
      <c r="Q29" s="249"/>
      <c r="R29" s="657"/>
      <c r="S29" s="250" t="str">
        <f t="shared" si="4"/>
        <v xml:space="preserve"> </v>
      </c>
      <c r="T29" s="249"/>
      <c r="U29" s="657"/>
      <c r="V29" s="252" t="str">
        <f t="shared" si="5"/>
        <v xml:space="preserve"> </v>
      </c>
    </row>
    <row r="30" spans="1:22" ht="15.75">
      <c r="A30" s="67"/>
      <c r="B30" s="246"/>
      <c r="C30" s="247" t="s">
        <v>138</v>
      </c>
      <c r="D30" s="244"/>
      <c r="E30" s="244"/>
      <c r="F30" s="244"/>
      <c r="G30" s="244"/>
      <c r="H30" s="245" t="s">
        <v>139</v>
      </c>
      <c r="I30" s="427">
        <f>'Budget-ADA'!I30</f>
        <v>0</v>
      </c>
      <c r="J30" s="657"/>
      <c r="K30" s="255">
        <f>'Budget-ADA'!K30</f>
        <v>0</v>
      </c>
      <c r="L30" s="657"/>
      <c r="M30" s="251" t="str">
        <f>'Budget-ADA'!M30</f>
        <v xml:space="preserve"> </v>
      </c>
      <c r="N30" s="249"/>
      <c r="O30" s="657"/>
      <c r="P30" s="250" t="str">
        <f t="shared" si="3"/>
        <v xml:space="preserve"> </v>
      </c>
      <c r="Q30" s="249"/>
      <c r="R30" s="657"/>
      <c r="S30" s="250" t="str">
        <f t="shared" si="4"/>
        <v xml:space="preserve"> </v>
      </c>
      <c r="T30" s="249"/>
      <c r="U30" s="657"/>
      <c r="V30" s="252" t="str">
        <f t="shared" si="5"/>
        <v xml:space="preserve"> </v>
      </c>
    </row>
    <row r="31" spans="1:22" ht="15.75">
      <c r="A31" s="67"/>
      <c r="B31" s="246"/>
      <c r="C31" s="140" t="s">
        <v>140</v>
      </c>
      <c r="D31" s="244"/>
      <c r="E31" s="244"/>
      <c r="F31" s="244"/>
      <c r="G31" s="244"/>
      <c r="H31" s="245" t="s">
        <v>141</v>
      </c>
      <c r="I31" s="427">
        <f>'Budget-ADA'!I31</f>
        <v>0</v>
      </c>
      <c r="J31" s="657"/>
      <c r="K31" s="255">
        <f>'Budget-ADA'!K31</f>
        <v>0</v>
      </c>
      <c r="L31" s="657"/>
      <c r="M31" s="251" t="str">
        <f>'Budget-ADA'!M31</f>
        <v xml:space="preserve"> </v>
      </c>
      <c r="N31" s="249"/>
      <c r="O31" s="657"/>
      <c r="P31" s="250" t="str">
        <f t="shared" si="3"/>
        <v xml:space="preserve"> </v>
      </c>
      <c r="Q31" s="249"/>
      <c r="R31" s="657"/>
      <c r="S31" s="250" t="str">
        <f t="shared" si="4"/>
        <v xml:space="preserve"> </v>
      </c>
      <c r="T31" s="249"/>
      <c r="U31" s="657"/>
      <c r="V31" s="252" t="str">
        <f t="shared" si="5"/>
        <v xml:space="preserve"> </v>
      </c>
    </row>
    <row r="32" spans="1:22" ht="15.75">
      <c r="A32" s="67"/>
      <c r="B32" s="246"/>
      <c r="C32" s="247" t="s">
        <v>142</v>
      </c>
      <c r="D32" s="244"/>
      <c r="E32" s="244"/>
      <c r="F32" s="244"/>
      <c r="G32" s="244"/>
      <c r="H32" s="245" t="s">
        <v>143</v>
      </c>
      <c r="I32" s="427">
        <f>'Budget-ADA'!I32</f>
        <v>0</v>
      </c>
      <c r="J32" s="657"/>
      <c r="K32" s="255">
        <f>'Budget-ADA'!K32</f>
        <v>0</v>
      </c>
      <c r="L32" s="657"/>
      <c r="M32" s="251" t="str">
        <f>'Budget-ADA'!M32</f>
        <v xml:space="preserve"> </v>
      </c>
      <c r="N32" s="249"/>
      <c r="O32" s="657"/>
      <c r="P32" s="250" t="str">
        <f t="shared" si="3"/>
        <v xml:space="preserve"> </v>
      </c>
      <c r="Q32" s="249"/>
      <c r="R32" s="657"/>
      <c r="S32" s="250" t="str">
        <f t="shared" si="4"/>
        <v xml:space="preserve"> </v>
      </c>
      <c r="T32" s="249"/>
      <c r="U32" s="657"/>
      <c r="V32" s="252" t="str">
        <f t="shared" si="5"/>
        <v xml:space="preserve"> </v>
      </c>
    </row>
    <row r="33" spans="1:22" ht="15.75">
      <c r="A33" s="67"/>
      <c r="B33" s="246"/>
      <c r="C33" s="650" t="s">
        <v>144</v>
      </c>
      <c r="D33" s="244"/>
      <c r="E33" s="244"/>
      <c r="F33" s="244"/>
      <c r="G33" s="244"/>
      <c r="H33" s="245" t="s">
        <v>145</v>
      </c>
      <c r="I33" s="427">
        <f>'Budget-ADA'!I33</f>
        <v>0</v>
      </c>
      <c r="J33" s="657"/>
      <c r="K33" s="255">
        <f>'Budget-ADA'!K33</f>
        <v>0</v>
      </c>
      <c r="L33" s="657"/>
      <c r="M33" s="251" t="str">
        <f>'Budget-ADA'!M33</f>
        <v xml:space="preserve"> </v>
      </c>
      <c r="N33" s="249"/>
      <c r="O33" s="657"/>
      <c r="P33" s="250" t="str">
        <f t="shared" si="3"/>
        <v xml:space="preserve"> </v>
      </c>
      <c r="Q33" s="249"/>
      <c r="R33" s="657"/>
      <c r="S33" s="250" t="str">
        <f t="shared" si="4"/>
        <v xml:space="preserve"> </v>
      </c>
      <c r="T33" s="249"/>
      <c r="U33" s="657"/>
      <c r="V33" s="252" t="str">
        <f t="shared" si="5"/>
        <v xml:space="preserve"> </v>
      </c>
    </row>
    <row r="34" spans="1:22" ht="18.75" customHeight="1">
      <c r="A34" s="67"/>
      <c r="B34" s="1664" t="s">
        <v>146</v>
      </c>
      <c r="C34" s="1665"/>
      <c r="D34" s="1665"/>
      <c r="E34" s="1665"/>
      <c r="F34" s="1665"/>
      <c r="G34" s="1666"/>
      <c r="H34" s="245" t="s">
        <v>147</v>
      </c>
      <c r="I34" s="427">
        <f>'Budget-ADA'!I34</f>
        <v>0</v>
      </c>
      <c r="J34" s="254">
        <f>IF(('Budget-ADA'!J34="Cell G10 CANNOT be blank"), "Missing Data, BUDGET-ADA Tab, cell G10",'Budget-ADA'!J34)</f>
        <v>0</v>
      </c>
      <c r="K34" s="255">
        <f>'Budget-ADA'!K34</f>
        <v>0</v>
      </c>
      <c r="L34" s="442">
        <f>IF(('Budget-ADA'!L34="Cell G10 CANNOT be blank"), "Missing Data, BUDGET-ADA Tab, cell G10",'Budget-ADA'!L34)</f>
        <v>0</v>
      </c>
      <c r="M34" s="441" t="str">
        <f>'Budget-ADA'!M34</f>
        <v xml:space="preserve"> </v>
      </c>
      <c r="N34" s="253">
        <f>N26+N28+N30+N32</f>
        <v>0</v>
      </c>
      <c r="O34" s="657"/>
      <c r="P34" s="251" t="str">
        <f t="shared" si="3"/>
        <v xml:space="preserve"> </v>
      </c>
      <c r="Q34" s="253">
        <f>Q26+Q28+Q30+Q32</f>
        <v>0</v>
      </c>
      <c r="R34" s="657"/>
      <c r="S34" s="251" t="str">
        <f t="shared" si="4"/>
        <v xml:space="preserve"> </v>
      </c>
      <c r="T34" s="253">
        <f>T26+T28+T30+T32</f>
        <v>0</v>
      </c>
      <c r="U34" s="657"/>
      <c r="V34" s="434" t="str">
        <f t="shared" si="5"/>
        <v xml:space="preserve"> </v>
      </c>
    </row>
    <row r="35" spans="1:22" ht="15.75">
      <c r="A35" s="67"/>
      <c r="B35" s="1664" t="s">
        <v>148</v>
      </c>
      <c r="C35" s="1665"/>
      <c r="D35" s="1665"/>
      <c r="E35" s="1665"/>
      <c r="F35" s="1665"/>
      <c r="G35" s="1666"/>
      <c r="H35" s="245" t="s">
        <v>149</v>
      </c>
      <c r="I35" s="427">
        <f>'Budget-ADA'!I35</f>
        <v>0</v>
      </c>
      <c r="J35" s="254">
        <f>'Budget-ADA'!J35</f>
        <v>0</v>
      </c>
      <c r="K35" s="255">
        <f>'Budget-ADA'!K35</f>
        <v>0</v>
      </c>
      <c r="L35" s="442">
        <f>'Budget-ADA'!L35</f>
        <v>0</v>
      </c>
      <c r="M35" s="441" t="str">
        <f>'Budget-ADA'!M35</f>
        <v xml:space="preserve"> </v>
      </c>
      <c r="N35" s="253">
        <f>N27+N29+N31+N33</f>
        <v>0</v>
      </c>
      <c r="O35" s="442">
        <f>N35</f>
        <v>0</v>
      </c>
      <c r="P35" s="251" t="str">
        <f t="shared" si="3"/>
        <v xml:space="preserve"> </v>
      </c>
      <c r="Q35" s="253">
        <f>Q27+Q29+Q31+Q33</f>
        <v>0</v>
      </c>
      <c r="R35" s="442">
        <f>Q35</f>
        <v>0</v>
      </c>
      <c r="S35" s="251" t="str">
        <f t="shared" si="4"/>
        <v xml:space="preserve"> </v>
      </c>
      <c r="T35" s="253">
        <f>T27+T29+T31+T33</f>
        <v>0</v>
      </c>
      <c r="U35" s="442">
        <f>T35</f>
        <v>0</v>
      </c>
      <c r="V35" s="434" t="str">
        <f t="shared" si="5"/>
        <v xml:space="preserve"> </v>
      </c>
    </row>
    <row r="36" spans="1:22" ht="47.25" customHeight="1">
      <c r="A36" s="67"/>
      <c r="B36" s="1664" t="s">
        <v>150</v>
      </c>
      <c r="C36" s="1665"/>
      <c r="D36" s="1665"/>
      <c r="E36" s="1665"/>
      <c r="F36" s="1665"/>
      <c r="G36" s="1666"/>
      <c r="H36" s="245" t="s">
        <v>151</v>
      </c>
      <c r="I36" s="427">
        <f>'Budget-ADA'!I36</f>
        <v>0</v>
      </c>
      <c r="J36" s="442">
        <f>'Budget-ADA'!J36</f>
        <v>0</v>
      </c>
      <c r="K36" s="255">
        <f>'Budget-ADA'!K36</f>
        <v>0</v>
      </c>
      <c r="L36" s="442">
        <f>'Budget-ADA'!L36</f>
        <v>0</v>
      </c>
      <c r="M36" s="251" t="str">
        <f>'Budget-ADA'!M36</f>
        <v xml:space="preserve"> </v>
      </c>
      <c r="N36" s="253">
        <f>N34-N35</f>
        <v>0</v>
      </c>
      <c r="O36" s="442">
        <f>IF($G$10="","Cell G10 CANNOT be blank",N36*$G$10)</f>
        <v>0</v>
      </c>
      <c r="P36" s="251" t="str">
        <f t="shared" si="3"/>
        <v xml:space="preserve"> </v>
      </c>
      <c r="Q36" s="255">
        <f>Q34-Q35</f>
        <v>0</v>
      </c>
      <c r="R36" s="442">
        <f>IF($G$10="","Cell G10 CANNOT be blank",Q36*$G$10)</f>
        <v>0</v>
      </c>
      <c r="S36" s="251" t="str">
        <f t="shared" si="4"/>
        <v xml:space="preserve"> </v>
      </c>
      <c r="T36" s="255">
        <f>T34-T35</f>
        <v>0</v>
      </c>
      <c r="U36" s="442">
        <f>IF($G$10="","Cell G10 CANNOT be blank",T36*$G$10)</f>
        <v>0</v>
      </c>
      <c r="V36" s="434" t="str">
        <f t="shared" si="5"/>
        <v xml:space="preserve"> </v>
      </c>
    </row>
    <row r="37" spans="1:22" ht="15.75">
      <c r="A37" s="67"/>
      <c r="B37" s="565"/>
      <c r="C37" s="435"/>
      <c r="D37" s="435"/>
      <c r="E37" s="435"/>
      <c r="F37" s="435"/>
      <c r="G37" s="435"/>
      <c r="H37" s="561"/>
      <c r="I37" s="562"/>
      <c r="J37" s="563"/>
      <c r="K37" s="563"/>
      <c r="L37" s="563"/>
      <c r="M37" s="563"/>
      <c r="N37" s="563"/>
      <c r="O37" s="563"/>
      <c r="P37" s="563"/>
      <c r="Q37" s="563"/>
      <c r="R37" s="563"/>
      <c r="S37" s="563"/>
      <c r="T37" s="563"/>
      <c r="U37" s="563"/>
      <c r="V37" s="564"/>
    </row>
    <row r="38" spans="1:22" ht="15.75">
      <c r="A38" s="41" t="s">
        <v>155</v>
      </c>
      <c r="B38" s="436"/>
      <c r="C38" s="151"/>
      <c r="D38" s="243"/>
      <c r="E38" s="243"/>
      <c r="F38" s="243"/>
      <c r="G38" s="243"/>
      <c r="H38" s="560"/>
      <c r="I38" s="438"/>
      <c r="J38" s="242"/>
      <c r="K38" s="438"/>
      <c r="L38" s="242"/>
      <c r="M38" s="569"/>
      <c r="N38" s="438"/>
      <c r="O38" s="242"/>
      <c r="P38" s="242"/>
      <c r="Q38" s="438"/>
      <c r="R38" s="242"/>
      <c r="S38" s="242"/>
      <c r="T38" s="438"/>
      <c r="U38" s="242"/>
      <c r="V38" s="437"/>
    </row>
    <row r="39" spans="1:22" ht="15.75">
      <c r="A39" s="440"/>
      <c r="B39" s="246"/>
      <c r="C39" s="247" t="s">
        <v>130</v>
      </c>
      <c r="D39" s="244"/>
      <c r="E39" s="244"/>
      <c r="F39" s="244"/>
      <c r="G39" s="244"/>
      <c r="H39" s="245" t="s">
        <v>131</v>
      </c>
      <c r="I39" s="427">
        <f>'Budget-ADA'!I39</f>
        <v>342.1</v>
      </c>
      <c r="J39" s="784"/>
      <c r="K39" s="255">
        <f>'Budget-ADA'!K39</f>
        <v>260.39999999999998</v>
      </c>
      <c r="L39" s="784"/>
      <c r="M39" s="251">
        <f>'Budget-ADA'!M39</f>
        <v>-0.23881905875475018</v>
      </c>
      <c r="N39" s="249">
        <v>213.6</v>
      </c>
      <c r="O39" s="784"/>
      <c r="P39" s="250">
        <f t="shared" ref="P39:P49" si="6">IF(K39&lt;1," ",IF(N39&lt;1," ",(N39-K39)/K39))</f>
        <v>-0.17972350230414741</v>
      </c>
      <c r="Q39" s="249">
        <v>260.39999999999998</v>
      </c>
      <c r="R39" s="784"/>
      <c r="S39" s="250">
        <f t="shared" ref="S39:S49" si="7">IF(N39&lt;1," ",IF(Q39&lt;1," ",(Q39-N39)/N39))</f>
        <v>0.21910112359550554</v>
      </c>
      <c r="T39" s="249">
        <v>260.39999999999998</v>
      </c>
      <c r="U39" s="784"/>
      <c r="V39" s="252">
        <f t="shared" ref="V39:V49" si="8">IF(Q39&lt;1," ",IF(T39&lt;1," ",(T39-Q39)/Q39))</f>
        <v>0</v>
      </c>
    </row>
    <row r="40" spans="1:22" ht="15.75">
      <c r="A40" s="40"/>
      <c r="B40" s="246"/>
      <c r="C40" s="140" t="s">
        <v>132</v>
      </c>
      <c r="D40" s="244"/>
      <c r="E40" s="244"/>
      <c r="F40" s="244"/>
      <c r="G40" s="244"/>
      <c r="H40" s="245" t="s">
        <v>133</v>
      </c>
      <c r="I40" s="427">
        <f>'Budget-ADA'!I40</f>
        <v>0</v>
      </c>
      <c r="J40" s="657"/>
      <c r="K40" s="255">
        <f>'Budget-ADA'!K40</f>
        <v>0</v>
      </c>
      <c r="L40" s="657"/>
      <c r="M40" s="251" t="str">
        <f>'Budget-ADA'!M40</f>
        <v xml:space="preserve"> </v>
      </c>
      <c r="N40" s="249"/>
      <c r="O40" s="657"/>
      <c r="P40" s="250" t="str">
        <f t="shared" si="6"/>
        <v xml:space="preserve"> </v>
      </c>
      <c r="Q40" s="249"/>
      <c r="R40" s="657"/>
      <c r="S40" s="250" t="str">
        <f t="shared" si="7"/>
        <v xml:space="preserve"> </v>
      </c>
      <c r="T40" s="249"/>
      <c r="U40" s="657"/>
      <c r="V40" s="252" t="str">
        <f t="shared" si="8"/>
        <v xml:space="preserve"> </v>
      </c>
    </row>
    <row r="41" spans="1:22" ht="15.75">
      <c r="A41" s="40"/>
      <c r="B41" s="246"/>
      <c r="C41" s="247" t="s">
        <v>134</v>
      </c>
      <c r="D41" s="244"/>
      <c r="E41" s="244"/>
      <c r="F41" s="244"/>
      <c r="G41" s="244"/>
      <c r="H41" s="245" t="s">
        <v>135</v>
      </c>
      <c r="I41" s="427">
        <f>'Budget-ADA'!I41</f>
        <v>0</v>
      </c>
      <c r="J41" s="657"/>
      <c r="K41" s="255">
        <f>'Budget-ADA'!K41</f>
        <v>0</v>
      </c>
      <c r="L41" s="657"/>
      <c r="M41" s="251" t="str">
        <f>'Budget-ADA'!M41</f>
        <v xml:space="preserve"> </v>
      </c>
      <c r="N41" s="249"/>
      <c r="O41" s="657"/>
      <c r="P41" s="250" t="str">
        <f t="shared" si="6"/>
        <v xml:space="preserve"> </v>
      </c>
      <c r="Q41" s="249"/>
      <c r="R41" s="657"/>
      <c r="S41" s="250" t="str">
        <f t="shared" si="7"/>
        <v xml:space="preserve"> </v>
      </c>
      <c r="T41" s="249"/>
      <c r="U41" s="657"/>
      <c r="V41" s="252" t="str">
        <f t="shared" si="8"/>
        <v xml:space="preserve"> </v>
      </c>
    </row>
    <row r="42" spans="1:22" ht="15.75">
      <c r="A42" s="40"/>
      <c r="B42" s="246"/>
      <c r="C42" s="140" t="s">
        <v>136</v>
      </c>
      <c r="D42" s="244"/>
      <c r="E42" s="244"/>
      <c r="F42" s="244"/>
      <c r="G42" s="244"/>
      <c r="H42" s="245" t="s">
        <v>137</v>
      </c>
      <c r="I42" s="427">
        <f>'Budget-ADA'!I42</f>
        <v>0</v>
      </c>
      <c r="J42" s="657"/>
      <c r="K42" s="255">
        <f>'Budget-ADA'!K42</f>
        <v>0</v>
      </c>
      <c r="L42" s="657"/>
      <c r="M42" s="251" t="str">
        <f>'Budget-ADA'!M42</f>
        <v xml:space="preserve"> </v>
      </c>
      <c r="N42" s="249"/>
      <c r="O42" s="657"/>
      <c r="P42" s="250" t="str">
        <f t="shared" si="6"/>
        <v xml:space="preserve"> </v>
      </c>
      <c r="Q42" s="249"/>
      <c r="R42" s="657"/>
      <c r="S42" s="250" t="str">
        <f t="shared" si="7"/>
        <v xml:space="preserve"> </v>
      </c>
      <c r="T42" s="249"/>
      <c r="U42" s="657"/>
      <c r="V42" s="252" t="str">
        <f t="shared" si="8"/>
        <v xml:space="preserve"> </v>
      </c>
    </row>
    <row r="43" spans="1:22" ht="15.75">
      <c r="A43" s="40"/>
      <c r="B43" s="246"/>
      <c r="C43" s="247" t="s">
        <v>138</v>
      </c>
      <c r="D43" s="244"/>
      <c r="E43" s="244"/>
      <c r="F43" s="244"/>
      <c r="G43" s="244"/>
      <c r="H43" s="245" t="s">
        <v>139</v>
      </c>
      <c r="I43" s="427">
        <f>'Budget-ADA'!I43</f>
        <v>0</v>
      </c>
      <c r="J43" s="657"/>
      <c r="K43" s="255">
        <f>'Budget-ADA'!K43</f>
        <v>0</v>
      </c>
      <c r="L43" s="657"/>
      <c r="M43" s="251" t="str">
        <f>'Budget-ADA'!M43</f>
        <v xml:space="preserve"> </v>
      </c>
      <c r="N43" s="249"/>
      <c r="O43" s="657"/>
      <c r="P43" s="250" t="str">
        <f t="shared" si="6"/>
        <v xml:space="preserve"> </v>
      </c>
      <c r="Q43" s="249"/>
      <c r="R43" s="657"/>
      <c r="S43" s="250" t="str">
        <f t="shared" si="7"/>
        <v xml:space="preserve"> </v>
      </c>
      <c r="T43" s="249"/>
      <c r="U43" s="657"/>
      <c r="V43" s="252" t="str">
        <f t="shared" si="8"/>
        <v xml:space="preserve"> </v>
      </c>
    </row>
    <row r="44" spans="1:22" ht="15.75">
      <c r="A44" s="40"/>
      <c r="B44" s="246"/>
      <c r="C44" s="140" t="s">
        <v>140</v>
      </c>
      <c r="D44" s="244"/>
      <c r="E44" s="244"/>
      <c r="F44" s="244"/>
      <c r="G44" s="244"/>
      <c r="H44" s="245" t="s">
        <v>141</v>
      </c>
      <c r="I44" s="427">
        <f>'Budget-ADA'!I44</f>
        <v>0</v>
      </c>
      <c r="J44" s="657"/>
      <c r="K44" s="255">
        <f>'Budget-ADA'!K44</f>
        <v>0</v>
      </c>
      <c r="L44" s="657"/>
      <c r="M44" s="251" t="str">
        <f>'Budget-ADA'!M44</f>
        <v xml:space="preserve"> </v>
      </c>
      <c r="N44" s="249"/>
      <c r="O44" s="657"/>
      <c r="P44" s="250" t="str">
        <f t="shared" si="6"/>
        <v xml:space="preserve"> </v>
      </c>
      <c r="Q44" s="249"/>
      <c r="R44" s="657"/>
      <c r="S44" s="250" t="str">
        <f t="shared" si="7"/>
        <v xml:space="preserve"> </v>
      </c>
      <c r="T44" s="249"/>
      <c r="U44" s="657"/>
      <c r="V44" s="252" t="str">
        <f t="shared" si="8"/>
        <v xml:space="preserve"> </v>
      </c>
    </row>
    <row r="45" spans="1:22" ht="15.75">
      <c r="A45" s="40"/>
      <c r="B45" s="246"/>
      <c r="C45" s="247" t="s">
        <v>142</v>
      </c>
      <c r="D45" s="244"/>
      <c r="E45" s="244"/>
      <c r="F45" s="244"/>
      <c r="G45" s="244"/>
      <c r="H45" s="245" t="s">
        <v>143</v>
      </c>
      <c r="I45" s="427">
        <f>'Budget-ADA'!I45</f>
        <v>0</v>
      </c>
      <c r="J45" s="657"/>
      <c r="K45" s="255">
        <f>'Budget-ADA'!K45</f>
        <v>0</v>
      </c>
      <c r="L45" s="657"/>
      <c r="M45" s="251" t="str">
        <f>'Budget-ADA'!M45</f>
        <v xml:space="preserve"> </v>
      </c>
      <c r="N45" s="249"/>
      <c r="O45" s="657"/>
      <c r="P45" s="250" t="str">
        <f t="shared" si="6"/>
        <v xml:space="preserve"> </v>
      </c>
      <c r="Q45" s="249"/>
      <c r="R45" s="657"/>
      <c r="S45" s="250" t="str">
        <f t="shared" si="7"/>
        <v xml:space="preserve"> </v>
      </c>
      <c r="T45" s="249"/>
      <c r="U45" s="657"/>
      <c r="V45" s="252" t="str">
        <f t="shared" si="8"/>
        <v xml:space="preserve"> </v>
      </c>
    </row>
    <row r="46" spans="1:22" ht="15.75">
      <c r="A46" s="40"/>
      <c r="B46" s="246"/>
      <c r="C46" s="140" t="s">
        <v>144</v>
      </c>
      <c r="D46" s="244"/>
      <c r="E46" s="244"/>
      <c r="F46" s="244"/>
      <c r="G46" s="244"/>
      <c r="H46" s="245" t="s">
        <v>145</v>
      </c>
      <c r="I46" s="427">
        <f>'Budget-ADA'!I46</f>
        <v>0</v>
      </c>
      <c r="J46" s="657"/>
      <c r="K46" s="255">
        <f>'Budget-ADA'!K46</f>
        <v>0</v>
      </c>
      <c r="L46" s="657"/>
      <c r="M46" s="251" t="str">
        <f>'Budget-ADA'!M46</f>
        <v xml:space="preserve"> </v>
      </c>
      <c r="N46" s="249"/>
      <c r="O46" s="657"/>
      <c r="P46" s="250" t="str">
        <f t="shared" si="6"/>
        <v xml:space="preserve"> </v>
      </c>
      <c r="Q46" s="249"/>
      <c r="R46" s="657"/>
      <c r="S46" s="250" t="str">
        <f t="shared" si="7"/>
        <v xml:space="preserve"> </v>
      </c>
      <c r="T46" s="249"/>
      <c r="U46" s="657"/>
      <c r="V46" s="252" t="str">
        <f t="shared" si="8"/>
        <v xml:space="preserve"> </v>
      </c>
    </row>
    <row r="47" spans="1:22" ht="18.75" customHeight="1">
      <c r="A47" s="67"/>
      <c r="B47" s="1664" t="s">
        <v>146</v>
      </c>
      <c r="C47" s="1665"/>
      <c r="D47" s="1665"/>
      <c r="E47" s="1665"/>
      <c r="F47" s="1665"/>
      <c r="G47" s="1666"/>
      <c r="H47" s="245" t="s">
        <v>147</v>
      </c>
      <c r="I47" s="427">
        <f>'Budget-ADA'!I47</f>
        <v>342.1</v>
      </c>
      <c r="J47" s="254">
        <f>IF(('Budget-ADA'!J47="Cell G10 CANNOT be blank"), "Missing Data, BUDGET-ADA Tab, cell G10",'Budget-ADA'!J47)</f>
        <v>0</v>
      </c>
      <c r="K47" s="255">
        <f>'Budget-ADA'!K47</f>
        <v>260.39999999999998</v>
      </c>
      <c r="L47" s="442">
        <f>IF(('Budget-ADA'!L47="Cell G10 CANNOT be blank"), "Missing Data, BUDGET-ADA Tab, cell G10",'Budget-ADA'!L47)</f>
        <v>0</v>
      </c>
      <c r="M47" s="441">
        <f>'Budget-ADA'!M47</f>
        <v>-0.23881905875475018</v>
      </c>
      <c r="N47" s="253">
        <f>N39+N41+N43+N45</f>
        <v>213.6</v>
      </c>
      <c r="O47" s="657"/>
      <c r="P47" s="251">
        <f t="shared" si="6"/>
        <v>-0.17972350230414741</v>
      </c>
      <c r="Q47" s="253">
        <f>Q39+Q41+Q43+Q45</f>
        <v>260.39999999999998</v>
      </c>
      <c r="R47" s="657"/>
      <c r="S47" s="251">
        <f t="shared" si="7"/>
        <v>0.21910112359550554</v>
      </c>
      <c r="T47" s="253">
        <f>T39+T41+T43+T45</f>
        <v>260.39999999999998</v>
      </c>
      <c r="U47" s="657"/>
      <c r="V47" s="434">
        <f t="shared" si="8"/>
        <v>0</v>
      </c>
    </row>
    <row r="48" spans="1:22" ht="15.75">
      <c r="A48" s="67"/>
      <c r="B48" s="1664" t="s">
        <v>148</v>
      </c>
      <c r="C48" s="1665"/>
      <c r="D48" s="1665"/>
      <c r="E48" s="1665"/>
      <c r="F48" s="1665"/>
      <c r="G48" s="1666"/>
      <c r="H48" s="245" t="s">
        <v>149</v>
      </c>
      <c r="I48" s="427">
        <f>'Budget-ADA'!I48</f>
        <v>0</v>
      </c>
      <c r="J48" s="254">
        <f>'Budget-ADA'!J48</f>
        <v>0</v>
      </c>
      <c r="K48" s="255">
        <f>'Budget-ADA'!K48</f>
        <v>0</v>
      </c>
      <c r="L48" s="442">
        <f>'Budget-ADA'!L48</f>
        <v>0</v>
      </c>
      <c r="M48" s="441" t="str">
        <f>'Budget-ADA'!M48</f>
        <v xml:space="preserve"> </v>
      </c>
      <c r="N48" s="253">
        <f>N40+N42+N44+N46</f>
        <v>0</v>
      </c>
      <c r="O48" s="442">
        <f>N48</f>
        <v>0</v>
      </c>
      <c r="P48" s="251" t="str">
        <f t="shared" si="6"/>
        <v xml:space="preserve"> </v>
      </c>
      <c r="Q48" s="253">
        <f>Q40+Q42+Q44+Q46</f>
        <v>0</v>
      </c>
      <c r="R48" s="442">
        <f>Q48</f>
        <v>0</v>
      </c>
      <c r="S48" s="251" t="str">
        <f t="shared" si="7"/>
        <v xml:space="preserve"> </v>
      </c>
      <c r="T48" s="253">
        <f>T40+T42+T44+T46</f>
        <v>0</v>
      </c>
      <c r="U48" s="442">
        <f>T48</f>
        <v>0</v>
      </c>
      <c r="V48" s="434" t="str">
        <f t="shared" si="8"/>
        <v xml:space="preserve"> </v>
      </c>
    </row>
    <row r="49" spans="1:22" ht="47.25" customHeight="1">
      <c r="A49" s="67"/>
      <c r="B49" s="1664" t="s">
        <v>150</v>
      </c>
      <c r="C49" s="1665"/>
      <c r="D49" s="1665"/>
      <c r="E49" s="1665"/>
      <c r="F49" s="1665"/>
      <c r="G49" s="1666"/>
      <c r="H49" s="245" t="s">
        <v>151</v>
      </c>
      <c r="I49" s="427">
        <f>'Budget-ADA'!I49</f>
        <v>342.1</v>
      </c>
      <c r="J49" s="442">
        <f>'Budget-ADA'!J49</f>
        <v>342.1</v>
      </c>
      <c r="K49" s="255">
        <f>'Budget-ADA'!K49</f>
        <v>260.39999999999998</v>
      </c>
      <c r="L49" s="442">
        <f>'Budget-ADA'!L49</f>
        <v>260.39999999999998</v>
      </c>
      <c r="M49" s="251">
        <f>'Budget-ADA'!M49</f>
        <v>-0.23881905875475018</v>
      </c>
      <c r="N49" s="253">
        <f>N47-N48</f>
        <v>213.6</v>
      </c>
      <c r="O49" s="442">
        <f>IF($G$10="","Cell G10 CANNOT be blank",N49*$G$10)</f>
        <v>213.6</v>
      </c>
      <c r="P49" s="251">
        <f t="shared" si="6"/>
        <v>-0.17972350230414741</v>
      </c>
      <c r="Q49" s="255">
        <f>Q47-Q48</f>
        <v>260.39999999999998</v>
      </c>
      <c r="R49" s="442">
        <f>IF($G$10="","Cell G10 CANNOT be blank",Q49*$G$10)</f>
        <v>260.39999999999998</v>
      </c>
      <c r="S49" s="251">
        <f t="shared" si="7"/>
        <v>0.21910112359550554</v>
      </c>
      <c r="T49" s="255">
        <f>T47-T48</f>
        <v>260.39999999999998</v>
      </c>
      <c r="U49" s="442">
        <f>IF($G$10="","Cell G10 CANNOT be blank",T49*$G$10)</f>
        <v>260.39999999999998</v>
      </c>
      <c r="V49" s="434">
        <f t="shared" si="8"/>
        <v>0</v>
      </c>
    </row>
    <row r="50" spans="1:22" ht="15.75">
      <c r="A50" s="40"/>
      <c r="B50" s="435"/>
      <c r="C50" s="435"/>
      <c r="D50" s="435"/>
      <c r="E50" s="435"/>
      <c r="F50" s="435"/>
      <c r="G50" s="435"/>
      <c r="H50" s="561"/>
      <c r="I50" s="91"/>
      <c r="J50" s="37"/>
      <c r="K50" s="37"/>
      <c r="L50" s="37"/>
      <c r="M50" s="37"/>
      <c r="N50" s="37"/>
      <c r="O50" s="37"/>
      <c r="P50" s="37"/>
      <c r="Q50" s="37"/>
      <c r="R50" s="37"/>
      <c r="S50" s="37"/>
      <c r="T50" s="37"/>
      <c r="U50" s="37"/>
      <c r="V50" s="237"/>
    </row>
    <row r="51" spans="1:22" ht="15.75">
      <c r="A51" s="41" t="s">
        <v>156</v>
      </c>
      <c r="B51" s="436"/>
      <c r="C51" s="151"/>
      <c r="D51" s="243"/>
      <c r="E51" s="243"/>
      <c r="F51" s="243"/>
      <c r="G51" s="243"/>
      <c r="H51" s="560"/>
      <c r="I51" s="438"/>
      <c r="J51" s="242"/>
      <c r="K51" s="438"/>
      <c r="L51" s="242"/>
      <c r="M51" s="569"/>
      <c r="N51" s="438"/>
      <c r="O51" s="242"/>
      <c r="P51" s="242"/>
      <c r="Q51" s="438"/>
      <c r="R51" s="242"/>
      <c r="S51" s="242"/>
      <c r="T51" s="438"/>
      <c r="U51" s="242"/>
      <c r="V51" s="437"/>
    </row>
    <row r="52" spans="1:22" ht="15.75">
      <c r="A52" s="440"/>
      <c r="B52" s="246"/>
      <c r="C52" s="247" t="s">
        <v>130</v>
      </c>
      <c r="D52" s="244"/>
      <c r="E52" s="244"/>
      <c r="F52" s="244"/>
      <c r="G52" s="244"/>
      <c r="H52" s="245" t="s">
        <v>131</v>
      </c>
      <c r="I52" s="427">
        <f>'Budget-ADA'!I52</f>
        <v>557.16999999999996</v>
      </c>
      <c r="J52" s="784"/>
      <c r="K52" s="255">
        <f>'Budget-ADA'!K52</f>
        <v>535.67999999999995</v>
      </c>
      <c r="L52" s="784"/>
      <c r="M52" s="251">
        <f>'Budget-ADA'!M52</f>
        <v>-3.8569915824613693E-2</v>
      </c>
      <c r="N52" s="249">
        <v>457.56</v>
      </c>
      <c r="O52" s="784"/>
      <c r="P52" s="250">
        <f t="shared" ref="P52:P62" si="9">IF(K52&lt;1," ",IF(N52&lt;1," ",(N52-K52)/K52))</f>
        <v>-0.14583333333333326</v>
      </c>
      <c r="Q52" s="249">
        <v>535.67999999999995</v>
      </c>
      <c r="R52" s="784"/>
      <c r="S52" s="250">
        <f t="shared" ref="S52:S62" si="10">IF(N52&lt;1," ",IF(Q52&lt;1," ",(Q52-N52)/N52))</f>
        <v>0.17073170731707304</v>
      </c>
      <c r="T52" s="249">
        <v>535.67999999999995</v>
      </c>
      <c r="U52" s="784"/>
      <c r="V52" s="252">
        <f t="shared" ref="V52:V62" si="11">IF(Q52&lt;1," ",IF(T52&lt;1," ",(T52-Q52)/Q52))</f>
        <v>0</v>
      </c>
    </row>
    <row r="53" spans="1:22" ht="15.75">
      <c r="A53" s="40"/>
      <c r="B53" s="246"/>
      <c r="C53" s="140" t="s">
        <v>132</v>
      </c>
      <c r="D53" s="244"/>
      <c r="E53" s="244"/>
      <c r="F53" s="244"/>
      <c r="G53" s="244"/>
      <c r="H53" s="245" t="s">
        <v>133</v>
      </c>
      <c r="I53" s="427">
        <f>'Budget-ADA'!I53</f>
        <v>0</v>
      </c>
      <c r="J53" s="657"/>
      <c r="K53" s="255">
        <f>'Budget-ADA'!K53</f>
        <v>0</v>
      </c>
      <c r="L53" s="657"/>
      <c r="M53" s="251" t="str">
        <f>'Budget-ADA'!M53</f>
        <v xml:space="preserve"> </v>
      </c>
      <c r="N53" s="249"/>
      <c r="O53" s="657"/>
      <c r="P53" s="250" t="str">
        <f t="shared" si="9"/>
        <v xml:space="preserve"> </v>
      </c>
      <c r="Q53" s="249"/>
      <c r="R53" s="657"/>
      <c r="S53" s="250" t="str">
        <f t="shared" si="10"/>
        <v xml:space="preserve"> </v>
      </c>
      <c r="T53" s="249"/>
      <c r="U53" s="657"/>
      <c r="V53" s="252" t="str">
        <f t="shared" si="11"/>
        <v xml:space="preserve"> </v>
      </c>
    </row>
    <row r="54" spans="1:22" ht="15.75">
      <c r="A54" s="40"/>
      <c r="B54" s="246"/>
      <c r="C54" s="247" t="s">
        <v>134</v>
      </c>
      <c r="D54" s="244"/>
      <c r="E54" s="244"/>
      <c r="F54" s="244"/>
      <c r="G54" s="244"/>
      <c r="H54" s="245" t="s">
        <v>135</v>
      </c>
      <c r="I54" s="427">
        <f>'Budget-ADA'!I54</f>
        <v>0</v>
      </c>
      <c r="J54" s="657"/>
      <c r="K54" s="255">
        <f>'Budget-ADA'!K54</f>
        <v>0</v>
      </c>
      <c r="L54" s="657"/>
      <c r="M54" s="251" t="str">
        <f>'Budget-ADA'!M54</f>
        <v xml:space="preserve"> </v>
      </c>
      <c r="N54" s="249"/>
      <c r="O54" s="657"/>
      <c r="P54" s="250" t="str">
        <f t="shared" si="9"/>
        <v xml:space="preserve"> </v>
      </c>
      <c r="Q54" s="249"/>
      <c r="R54" s="657"/>
      <c r="S54" s="250" t="str">
        <f t="shared" si="10"/>
        <v xml:space="preserve"> </v>
      </c>
      <c r="T54" s="249"/>
      <c r="U54" s="657"/>
      <c r="V54" s="252" t="str">
        <f t="shared" si="11"/>
        <v xml:space="preserve"> </v>
      </c>
    </row>
    <row r="55" spans="1:22" ht="15.75">
      <c r="A55" s="40"/>
      <c r="B55" s="246"/>
      <c r="C55" s="140" t="s">
        <v>136</v>
      </c>
      <c r="D55" s="244"/>
      <c r="E55" s="244"/>
      <c r="F55" s="244"/>
      <c r="G55" s="244"/>
      <c r="H55" s="245" t="s">
        <v>137</v>
      </c>
      <c r="I55" s="427">
        <f>'Budget-ADA'!I55</f>
        <v>0</v>
      </c>
      <c r="J55" s="657"/>
      <c r="K55" s="255">
        <f>'Budget-ADA'!K55</f>
        <v>0</v>
      </c>
      <c r="L55" s="657"/>
      <c r="M55" s="251" t="str">
        <f>'Budget-ADA'!M55</f>
        <v xml:space="preserve"> </v>
      </c>
      <c r="N55" s="249"/>
      <c r="O55" s="657"/>
      <c r="P55" s="250" t="str">
        <f t="shared" si="9"/>
        <v xml:space="preserve"> </v>
      </c>
      <c r="Q55" s="249"/>
      <c r="R55" s="657"/>
      <c r="S55" s="250" t="str">
        <f t="shared" si="10"/>
        <v xml:space="preserve"> </v>
      </c>
      <c r="T55" s="249"/>
      <c r="U55" s="657"/>
      <c r="V55" s="252" t="str">
        <f t="shared" si="11"/>
        <v xml:space="preserve"> </v>
      </c>
    </row>
    <row r="56" spans="1:22" ht="15.75">
      <c r="A56" s="40"/>
      <c r="B56" s="246"/>
      <c r="C56" s="247" t="s">
        <v>138</v>
      </c>
      <c r="D56" s="244"/>
      <c r="E56" s="244"/>
      <c r="F56" s="244"/>
      <c r="G56" s="244"/>
      <c r="H56" s="245" t="s">
        <v>139</v>
      </c>
      <c r="I56" s="427">
        <f>'Budget-ADA'!I56</f>
        <v>0</v>
      </c>
      <c r="J56" s="657"/>
      <c r="K56" s="255">
        <f>'Budget-ADA'!K56</f>
        <v>0</v>
      </c>
      <c r="L56" s="657"/>
      <c r="M56" s="251" t="str">
        <f>'Budget-ADA'!M56</f>
        <v xml:space="preserve"> </v>
      </c>
      <c r="N56" s="249"/>
      <c r="O56" s="657"/>
      <c r="P56" s="250" t="str">
        <f t="shared" si="9"/>
        <v xml:space="preserve"> </v>
      </c>
      <c r="Q56" s="249"/>
      <c r="R56" s="657"/>
      <c r="S56" s="250" t="str">
        <f t="shared" si="10"/>
        <v xml:space="preserve"> </v>
      </c>
      <c r="T56" s="249"/>
      <c r="U56" s="657"/>
      <c r="V56" s="252" t="str">
        <f t="shared" si="11"/>
        <v xml:space="preserve"> </v>
      </c>
    </row>
    <row r="57" spans="1:22" ht="15.75">
      <c r="A57" s="40"/>
      <c r="B57" s="246"/>
      <c r="C57" s="140" t="s">
        <v>140</v>
      </c>
      <c r="D57" s="244"/>
      <c r="E57" s="244"/>
      <c r="F57" s="244"/>
      <c r="G57" s="244"/>
      <c r="H57" s="245" t="s">
        <v>141</v>
      </c>
      <c r="I57" s="427">
        <f>'Budget-ADA'!I57</f>
        <v>0</v>
      </c>
      <c r="J57" s="657"/>
      <c r="K57" s="255">
        <f>'Budget-ADA'!K57</f>
        <v>0</v>
      </c>
      <c r="L57" s="657"/>
      <c r="M57" s="251" t="str">
        <f>'Budget-ADA'!M57</f>
        <v xml:space="preserve"> </v>
      </c>
      <c r="N57" s="249"/>
      <c r="O57" s="657"/>
      <c r="P57" s="250" t="str">
        <f t="shared" si="9"/>
        <v xml:space="preserve"> </v>
      </c>
      <c r="Q57" s="249"/>
      <c r="R57" s="657"/>
      <c r="S57" s="250" t="str">
        <f t="shared" si="10"/>
        <v xml:space="preserve"> </v>
      </c>
      <c r="T57" s="249"/>
      <c r="U57" s="657"/>
      <c r="V57" s="252" t="str">
        <f t="shared" si="11"/>
        <v xml:space="preserve"> </v>
      </c>
    </row>
    <row r="58" spans="1:22" ht="15.75">
      <c r="A58" s="40"/>
      <c r="B58" s="246"/>
      <c r="C58" s="247" t="s">
        <v>142</v>
      </c>
      <c r="D58" s="244"/>
      <c r="E58" s="244"/>
      <c r="F58" s="244"/>
      <c r="G58" s="244"/>
      <c r="H58" s="245" t="s">
        <v>143</v>
      </c>
      <c r="I58" s="427">
        <f>'Budget-ADA'!I58</f>
        <v>0</v>
      </c>
      <c r="J58" s="657"/>
      <c r="K58" s="255">
        <f>'Budget-ADA'!K58</f>
        <v>0</v>
      </c>
      <c r="L58" s="657"/>
      <c r="M58" s="251" t="str">
        <f>'Budget-ADA'!M58</f>
        <v xml:space="preserve"> </v>
      </c>
      <c r="N58" s="249"/>
      <c r="O58" s="657"/>
      <c r="P58" s="250" t="str">
        <f t="shared" si="9"/>
        <v xml:space="preserve"> </v>
      </c>
      <c r="Q58" s="249"/>
      <c r="R58" s="657"/>
      <c r="S58" s="250" t="str">
        <f t="shared" si="10"/>
        <v xml:space="preserve"> </v>
      </c>
      <c r="T58" s="249"/>
      <c r="U58" s="657"/>
      <c r="V58" s="252" t="str">
        <f t="shared" si="11"/>
        <v xml:space="preserve"> </v>
      </c>
    </row>
    <row r="59" spans="1:22" ht="15.75">
      <c r="A59" s="40"/>
      <c r="B59" s="246"/>
      <c r="C59" s="140" t="s">
        <v>144</v>
      </c>
      <c r="D59" s="244"/>
      <c r="E59" s="244"/>
      <c r="F59" s="244"/>
      <c r="G59" s="244"/>
      <c r="H59" s="245" t="s">
        <v>145</v>
      </c>
      <c r="I59" s="427">
        <f>'Budget-ADA'!I59</f>
        <v>0</v>
      </c>
      <c r="J59" s="657"/>
      <c r="K59" s="255">
        <f>'Budget-ADA'!K59</f>
        <v>0</v>
      </c>
      <c r="L59" s="657"/>
      <c r="M59" s="251" t="str">
        <f>'Budget-ADA'!M59</f>
        <v xml:space="preserve"> </v>
      </c>
      <c r="N59" s="249"/>
      <c r="O59" s="657"/>
      <c r="P59" s="250" t="str">
        <f t="shared" si="9"/>
        <v xml:space="preserve"> </v>
      </c>
      <c r="Q59" s="249"/>
      <c r="R59" s="657"/>
      <c r="S59" s="250" t="str">
        <f t="shared" si="10"/>
        <v xml:space="preserve"> </v>
      </c>
      <c r="T59" s="249"/>
      <c r="U59" s="657"/>
      <c r="V59" s="252" t="str">
        <f t="shared" si="11"/>
        <v xml:space="preserve"> </v>
      </c>
    </row>
    <row r="60" spans="1:22" ht="18.75" customHeight="1">
      <c r="A60" s="67"/>
      <c r="B60" s="1664" t="s">
        <v>146</v>
      </c>
      <c r="C60" s="1665"/>
      <c r="D60" s="1665"/>
      <c r="E60" s="1665"/>
      <c r="F60" s="1665"/>
      <c r="G60" s="1666"/>
      <c r="H60" s="245" t="s">
        <v>147</v>
      </c>
      <c r="I60" s="427">
        <f>'Budget-ADA'!I60</f>
        <v>557.16999999999996</v>
      </c>
      <c r="J60" s="254">
        <f>IF(('Budget-ADA'!J60="Cell G10 CANNOT be blank"), "Missing Data, BUDGET-ADA Tab, cell G10",'Budget-ADA'!J60)</f>
        <v>0</v>
      </c>
      <c r="K60" s="255">
        <f>'Budget-ADA'!K60</f>
        <v>535.67999999999995</v>
      </c>
      <c r="L60" s="442">
        <f>IF(('Budget-ADA'!L60="Cell G10 CANNOT be blank"), "Missing Data, BUDGET-ADA Tab, cell G10",'Budget-ADA'!L60)</f>
        <v>0</v>
      </c>
      <c r="M60" s="441">
        <f>'Budget-ADA'!M60</f>
        <v>-3.8569915824613693E-2</v>
      </c>
      <c r="N60" s="253">
        <f>N52+N54+N56+N58</f>
        <v>457.56</v>
      </c>
      <c r="O60" s="657"/>
      <c r="P60" s="251">
        <f t="shared" si="9"/>
        <v>-0.14583333333333326</v>
      </c>
      <c r="Q60" s="253">
        <f>Q52+Q54+Q56+Q58</f>
        <v>535.67999999999995</v>
      </c>
      <c r="R60" s="657"/>
      <c r="S60" s="251">
        <f t="shared" si="10"/>
        <v>0.17073170731707304</v>
      </c>
      <c r="T60" s="253">
        <f>T52+T54+T56+T58</f>
        <v>535.67999999999995</v>
      </c>
      <c r="U60" s="657"/>
      <c r="V60" s="434">
        <f t="shared" si="11"/>
        <v>0</v>
      </c>
    </row>
    <row r="61" spans="1:22" ht="15.75">
      <c r="A61" s="67"/>
      <c r="B61" s="1664" t="s">
        <v>148</v>
      </c>
      <c r="C61" s="1665"/>
      <c r="D61" s="1665"/>
      <c r="E61" s="1665"/>
      <c r="F61" s="1665"/>
      <c r="G61" s="1666"/>
      <c r="H61" s="245" t="s">
        <v>149</v>
      </c>
      <c r="I61" s="427">
        <f>'Budget-ADA'!I61</f>
        <v>0</v>
      </c>
      <c r="J61" s="254">
        <f>'Budget-ADA'!J61</f>
        <v>0</v>
      </c>
      <c r="K61" s="255">
        <f>'Budget-ADA'!K61</f>
        <v>0</v>
      </c>
      <c r="L61" s="442">
        <f>'Budget-ADA'!L61</f>
        <v>0</v>
      </c>
      <c r="M61" s="441" t="str">
        <f>'Budget-ADA'!M61</f>
        <v xml:space="preserve"> </v>
      </c>
      <c r="N61" s="253">
        <f>N53+N55+N57+N59</f>
        <v>0</v>
      </c>
      <c r="O61" s="442">
        <f>N61</f>
        <v>0</v>
      </c>
      <c r="P61" s="251" t="str">
        <f t="shared" si="9"/>
        <v xml:space="preserve"> </v>
      </c>
      <c r="Q61" s="253">
        <f>Q53+Q55+Q57+Q59</f>
        <v>0</v>
      </c>
      <c r="R61" s="442">
        <f>Q61</f>
        <v>0</v>
      </c>
      <c r="S61" s="251" t="str">
        <f t="shared" si="10"/>
        <v xml:space="preserve"> </v>
      </c>
      <c r="T61" s="253">
        <f>T53+T55+T57+T59</f>
        <v>0</v>
      </c>
      <c r="U61" s="442">
        <f>T61</f>
        <v>0</v>
      </c>
      <c r="V61" s="434" t="str">
        <f t="shared" si="11"/>
        <v xml:space="preserve"> </v>
      </c>
    </row>
    <row r="62" spans="1:22" ht="47.25" customHeight="1">
      <c r="A62" s="67"/>
      <c r="B62" s="1664" t="s">
        <v>150</v>
      </c>
      <c r="C62" s="1665"/>
      <c r="D62" s="1665"/>
      <c r="E62" s="1665"/>
      <c r="F62" s="1665"/>
      <c r="G62" s="1666"/>
      <c r="H62" s="245" t="s">
        <v>151</v>
      </c>
      <c r="I62" s="427">
        <f>'Budget-ADA'!I62</f>
        <v>557.16999999999996</v>
      </c>
      <c r="J62" s="442">
        <f>'Budget-ADA'!J62</f>
        <v>557.16999999999996</v>
      </c>
      <c r="K62" s="255">
        <f>'Budget-ADA'!K62</f>
        <v>535.67999999999995</v>
      </c>
      <c r="L62" s="442">
        <f>'Budget-ADA'!L62</f>
        <v>535.67999999999995</v>
      </c>
      <c r="M62" s="251">
        <f>'Budget-ADA'!M62</f>
        <v>-3.8569915824613693E-2</v>
      </c>
      <c r="N62" s="253">
        <f>N60-N61</f>
        <v>457.56</v>
      </c>
      <c r="O62" s="442">
        <f>IF($G$10="","Cell G10 CANNOT be blank",N62*$G$10)</f>
        <v>457.56</v>
      </c>
      <c r="P62" s="251">
        <f t="shared" si="9"/>
        <v>-0.14583333333333326</v>
      </c>
      <c r="Q62" s="255">
        <f>Q60-Q61</f>
        <v>535.67999999999995</v>
      </c>
      <c r="R62" s="442">
        <f>IF($G$10="","Cell G10 CANNOT be blank",Q62*$G$10)</f>
        <v>535.67999999999995</v>
      </c>
      <c r="S62" s="251">
        <f t="shared" si="10"/>
        <v>0.17073170731707304</v>
      </c>
      <c r="T62" s="255">
        <f>T60-T61</f>
        <v>535.67999999999995</v>
      </c>
      <c r="U62" s="442">
        <f>IF($G$10="","Cell G10 CANNOT be blank",T62*$G$10)</f>
        <v>535.67999999999995</v>
      </c>
      <c r="V62" s="434">
        <f t="shared" si="11"/>
        <v>0</v>
      </c>
    </row>
    <row r="63" spans="1:22" ht="15.75">
      <c r="A63" s="40"/>
      <c r="B63" s="435"/>
      <c r="C63" s="435"/>
      <c r="D63" s="435"/>
      <c r="E63" s="435"/>
      <c r="F63" s="435"/>
      <c r="G63" s="435"/>
      <c r="H63" s="561"/>
      <c r="I63" s="91"/>
      <c r="J63" s="37"/>
      <c r="K63" s="91"/>
      <c r="L63" s="37"/>
      <c r="M63" s="570"/>
      <c r="N63" s="91"/>
      <c r="O63" s="37"/>
      <c r="P63" s="37"/>
      <c r="Q63" s="91"/>
      <c r="R63" s="37"/>
      <c r="S63" s="37"/>
      <c r="T63" s="91"/>
      <c r="U63" s="37"/>
      <c r="V63" s="237"/>
    </row>
    <row r="64" spans="1:22" ht="15.75">
      <c r="A64" s="107" t="s">
        <v>157</v>
      </c>
      <c r="C64" s="242"/>
      <c r="D64" s="243"/>
      <c r="E64" s="243"/>
      <c r="F64" s="243"/>
      <c r="G64" s="243"/>
      <c r="H64" s="560"/>
      <c r="I64" s="438"/>
      <c r="J64" s="242"/>
      <c r="K64" s="438"/>
      <c r="L64" s="242"/>
      <c r="M64" s="569"/>
      <c r="N64" s="438"/>
      <c r="O64" s="242"/>
      <c r="P64" s="242"/>
      <c r="Q64" s="438"/>
      <c r="R64" s="242"/>
      <c r="S64" s="242"/>
      <c r="T64" s="438"/>
      <c r="U64" s="242"/>
      <c r="V64" s="437"/>
    </row>
    <row r="65" spans="1:22" ht="15.75">
      <c r="A65" s="440"/>
      <c r="B65" s="246"/>
      <c r="C65" s="247" t="s">
        <v>130</v>
      </c>
      <c r="D65" s="244"/>
      <c r="E65" s="244"/>
      <c r="F65" s="244"/>
      <c r="G65" s="244"/>
      <c r="H65" s="245" t="s">
        <v>131</v>
      </c>
      <c r="I65" s="427">
        <f>'Budget-ADA'!I65</f>
        <v>899.27</v>
      </c>
      <c r="J65" s="784"/>
      <c r="K65" s="255">
        <f>'Budget-ADA'!K65</f>
        <v>796.07999999999993</v>
      </c>
      <c r="L65" s="784"/>
      <c r="M65" s="251">
        <f>'Budget-ADA'!M65</f>
        <v>-0.11474862944388232</v>
      </c>
      <c r="N65" s="255">
        <f t="shared" ref="N65:N72" si="12">N12+N26+N39+N52</f>
        <v>671.16</v>
      </c>
      <c r="O65" s="784"/>
      <c r="P65" s="250">
        <f t="shared" ref="P65:P75" si="13">IF(K65&lt;1," ",IF(N65&lt;1," ",(N65-K65)/K65))</f>
        <v>-0.15691890262285194</v>
      </c>
      <c r="Q65" s="255">
        <f t="shared" ref="Q65:Q72" si="14">Q12+Q26+Q39+Q52</f>
        <v>796.07999999999993</v>
      </c>
      <c r="R65" s="784"/>
      <c r="S65" s="250">
        <f t="shared" ref="S65:S75" si="15">IF(N65&lt;1," ",IF(Q65&lt;1," ",(Q65-N65)/N65))</f>
        <v>0.18612551403540134</v>
      </c>
      <c r="T65" s="255">
        <f t="shared" ref="T65:T72" si="16">T12+T26+T39+T52</f>
        <v>796.07999999999993</v>
      </c>
      <c r="U65" s="784"/>
      <c r="V65" s="252">
        <f t="shared" ref="V65:V75" si="17">IF(Q65&lt;1," ",IF(T65&lt;1," ",(T65-Q65)/Q65))</f>
        <v>0</v>
      </c>
    </row>
    <row r="66" spans="1:22" ht="15.75">
      <c r="A66" s="40"/>
      <c r="B66" s="246"/>
      <c r="C66" s="140" t="s">
        <v>132</v>
      </c>
      <c r="D66" s="244"/>
      <c r="E66" s="244"/>
      <c r="F66" s="244"/>
      <c r="G66" s="244"/>
      <c r="H66" s="245" t="s">
        <v>133</v>
      </c>
      <c r="I66" s="427">
        <f>'Budget-ADA'!I66</f>
        <v>0</v>
      </c>
      <c r="J66" s="657"/>
      <c r="K66" s="255">
        <f>'Budget-ADA'!K66</f>
        <v>0</v>
      </c>
      <c r="L66" s="657"/>
      <c r="M66" s="251" t="str">
        <f>'Budget-ADA'!M66</f>
        <v xml:space="preserve"> </v>
      </c>
      <c r="N66" s="255">
        <f t="shared" si="12"/>
        <v>0</v>
      </c>
      <c r="O66" s="657"/>
      <c r="P66" s="250" t="str">
        <f t="shared" si="13"/>
        <v xml:space="preserve"> </v>
      </c>
      <c r="Q66" s="255">
        <f t="shared" si="14"/>
        <v>0</v>
      </c>
      <c r="R66" s="657"/>
      <c r="S66" s="250" t="str">
        <f t="shared" si="15"/>
        <v xml:space="preserve"> </v>
      </c>
      <c r="T66" s="255">
        <f t="shared" si="16"/>
        <v>0</v>
      </c>
      <c r="U66" s="657"/>
      <c r="V66" s="252" t="str">
        <f t="shared" si="17"/>
        <v xml:space="preserve"> </v>
      </c>
    </row>
    <row r="67" spans="1:22" ht="15.75">
      <c r="A67" s="40"/>
      <c r="B67" s="246"/>
      <c r="C67" s="247" t="s">
        <v>134</v>
      </c>
      <c r="D67" s="244"/>
      <c r="E67" s="244"/>
      <c r="F67" s="244"/>
      <c r="G67" s="244"/>
      <c r="H67" s="245" t="s">
        <v>135</v>
      </c>
      <c r="I67" s="427">
        <f>'Budget-ADA'!I67</f>
        <v>0</v>
      </c>
      <c r="J67" s="657"/>
      <c r="K67" s="255">
        <f>'Budget-ADA'!K67</f>
        <v>0</v>
      </c>
      <c r="L67" s="657"/>
      <c r="M67" s="251" t="str">
        <f>'Budget-ADA'!M67</f>
        <v xml:space="preserve"> </v>
      </c>
      <c r="N67" s="255">
        <f t="shared" si="12"/>
        <v>0</v>
      </c>
      <c r="O67" s="657"/>
      <c r="P67" s="250" t="str">
        <f t="shared" si="13"/>
        <v xml:space="preserve"> </v>
      </c>
      <c r="Q67" s="255">
        <f t="shared" si="14"/>
        <v>0</v>
      </c>
      <c r="R67" s="657"/>
      <c r="S67" s="250" t="str">
        <f t="shared" si="15"/>
        <v xml:space="preserve"> </v>
      </c>
      <c r="T67" s="255">
        <f t="shared" si="16"/>
        <v>0</v>
      </c>
      <c r="U67" s="657"/>
      <c r="V67" s="252" t="str">
        <f t="shared" si="17"/>
        <v xml:space="preserve"> </v>
      </c>
    </row>
    <row r="68" spans="1:22" ht="15.75">
      <c r="A68" s="40"/>
      <c r="B68" s="246"/>
      <c r="C68" s="140" t="s">
        <v>136</v>
      </c>
      <c r="D68" s="244"/>
      <c r="E68" s="244"/>
      <c r="F68" s="244"/>
      <c r="G68" s="244"/>
      <c r="H68" s="245" t="s">
        <v>137</v>
      </c>
      <c r="I68" s="427">
        <f>'Budget-ADA'!I68</f>
        <v>0</v>
      </c>
      <c r="J68" s="657"/>
      <c r="K68" s="255">
        <f>'Budget-ADA'!K68</f>
        <v>0</v>
      </c>
      <c r="L68" s="657"/>
      <c r="M68" s="251" t="str">
        <f>'Budget-ADA'!M68</f>
        <v xml:space="preserve"> </v>
      </c>
      <c r="N68" s="255">
        <f t="shared" si="12"/>
        <v>0</v>
      </c>
      <c r="O68" s="657"/>
      <c r="P68" s="250" t="str">
        <f t="shared" si="13"/>
        <v xml:space="preserve"> </v>
      </c>
      <c r="Q68" s="255">
        <f t="shared" si="14"/>
        <v>0</v>
      </c>
      <c r="R68" s="657"/>
      <c r="S68" s="250" t="str">
        <f t="shared" si="15"/>
        <v xml:space="preserve"> </v>
      </c>
      <c r="T68" s="255">
        <f t="shared" si="16"/>
        <v>0</v>
      </c>
      <c r="U68" s="657"/>
      <c r="V68" s="252" t="str">
        <f t="shared" si="17"/>
        <v xml:space="preserve"> </v>
      </c>
    </row>
    <row r="69" spans="1:22" ht="15.75">
      <c r="A69" s="40"/>
      <c r="B69" s="246"/>
      <c r="C69" s="247" t="s">
        <v>138</v>
      </c>
      <c r="D69" s="244"/>
      <c r="E69" s="244"/>
      <c r="F69" s="244"/>
      <c r="G69" s="244"/>
      <c r="H69" s="245" t="s">
        <v>139</v>
      </c>
      <c r="I69" s="427">
        <f>'Budget-ADA'!I69</f>
        <v>0</v>
      </c>
      <c r="J69" s="657"/>
      <c r="K69" s="255">
        <f>'Budget-ADA'!K69</f>
        <v>0</v>
      </c>
      <c r="L69" s="657"/>
      <c r="M69" s="251" t="str">
        <f>'Budget-ADA'!M69</f>
        <v xml:space="preserve"> </v>
      </c>
      <c r="N69" s="255">
        <f t="shared" si="12"/>
        <v>0</v>
      </c>
      <c r="O69" s="657"/>
      <c r="P69" s="250" t="str">
        <f t="shared" si="13"/>
        <v xml:space="preserve"> </v>
      </c>
      <c r="Q69" s="255">
        <f t="shared" si="14"/>
        <v>0</v>
      </c>
      <c r="R69" s="657"/>
      <c r="S69" s="250" t="str">
        <f t="shared" si="15"/>
        <v xml:space="preserve"> </v>
      </c>
      <c r="T69" s="255">
        <f t="shared" si="16"/>
        <v>0</v>
      </c>
      <c r="U69" s="657"/>
      <c r="V69" s="252" t="str">
        <f t="shared" si="17"/>
        <v xml:space="preserve"> </v>
      </c>
    </row>
    <row r="70" spans="1:22" ht="15.75">
      <c r="A70" s="107"/>
      <c r="B70" s="246"/>
      <c r="C70" s="140" t="s">
        <v>140</v>
      </c>
      <c r="D70" s="244"/>
      <c r="E70" s="244"/>
      <c r="F70" s="244"/>
      <c r="G70" s="244"/>
      <c r="H70" s="245" t="s">
        <v>141</v>
      </c>
      <c r="I70" s="427">
        <f>'Budget-ADA'!I70</f>
        <v>0</v>
      </c>
      <c r="J70" s="657"/>
      <c r="K70" s="255">
        <f>'Budget-ADA'!K70</f>
        <v>0</v>
      </c>
      <c r="L70" s="657"/>
      <c r="M70" s="251" t="str">
        <f>'Budget-ADA'!M70</f>
        <v xml:space="preserve"> </v>
      </c>
      <c r="N70" s="255">
        <f t="shared" si="12"/>
        <v>0</v>
      </c>
      <c r="O70" s="657"/>
      <c r="P70" s="250" t="str">
        <f t="shared" si="13"/>
        <v xml:space="preserve"> </v>
      </c>
      <c r="Q70" s="255">
        <f t="shared" si="14"/>
        <v>0</v>
      </c>
      <c r="R70" s="657"/>
      <c r="S70" s="250" t="str">
        <f t="shared" si="15"/>
        <v xml:space="preserve"> </v>
      </c>
      <c r="T70" s="255">
        <f t="shared" si="16"/>
        <v>0</v>
      </c>
      <c r="U70" s="657"/>
      <c r="V70" s="252" t="str">
        <f t="shared" si="17"/>
        <v xml:space="preserve"> </v>
      </c>
    </row>
    <row r="71" spans="1:22" ht="15.75">
      <c r="A71" s="107"/>
      <c r="B71" s="246"/>
      <c r="C71" s="247" t="s">
        <v>142</v>
      </c>
      <c r="D71" s="244"/>
      <c r="E71" s="244"/>
      <c r="F71" s="244"/>
      <c r="G71" s="244"/>
      <c r="H71" s="245" t="s">
        <v>143</v>
      </c>
      <c r="I71" s="427">
        <f>'Budget-ADA'!I71</f>
        <v>0</v>
      </c>
      <c r="J71" s="657"/>
      <c r="K71" s="255">
        <f>'Budget-ADA'!K71</f>
        <v>0</v>
      </c>
      <c r="L71" s="657"/>
      <c r="M71" s="251" t="str">
        <f>'Budget-ADA'!M71</f>
        <v xml:space="preserve"> </v>
      </c>
      <c r="N71" s="255">
        <f t="shared" si="12"/>
        <v>0</v>
      </c>
      <c r="O71" s="657"/>
      <c r="P71" s="250" t="str">
        <f t="shared" si="13"/>
        <v xml:space="preserve"> </v>
      </c>
      <c r="Q71" s="255">
        <f t="shared" si="14"/>
        <v>0</v>
      </c>
      <c r="R71" s="657"/>
      <c r="S71" s="250" t="str">
        <f t="shared" si="15"/>
        <v xml:space="preserve"> </v>
      </c>
      <c r="T71" s="255">
        <f t="shared" si="16"/>
        <v>0</v>
      </c>
      <c r="U71" s="657"/>
      <c r="V71" s="252" t="str">
        <f t="shared" si="17"/>
        <v xml:space="preserve"> </v>
      </c>
    </row>
    <row r="72" spans="1:22" ht="15.75">
      <c r="A72" s="107"/>
      <c r="B72" s="246"/>
      <c r="C72" s="140" t="s">
        <v>144</v>
      </c>
      <c r="D72" s="244"/>
      <c r="E72" s="244"/>
      <c r="F72" s="244"/>
      <c r="G72" s="244"/>
      <c r="H72" s="245" t="s">
        <v>145</v>
      </c>
      <c r="I72" s="427">
        <f>'Budget-ADA'!I72</f>
        <v>0</v>
      </c>
      <c r="J72" s="657"/>
      <c r="K72" s="255">
        <f>'Budget-ADA'!K72</f>
        <v>0</v>
      </c>
      <c r="L72" s="657"/>
      <c r="M72" s="441" t="str">
        <f>'Budget-ADA'!M72</f>
        <v xml:space="preserve"> </v>
      </c>
      <c r="N72" s="255">
        <f t="shared" si="12"/>
        <v>0</v>
      </c>
      <c r="O72" s="657"/>
      <c r="P72" s="250" t="str">
        <f t="shared" si="13"/>
        <v xml:space="preserve"> </v>
      </c>
      <c r="Q72" s="255">
        <f t="shared" si="14"/>
        <v>0</v>
      </c>
      <c r="R72" s="657"/>
      <c r="S72" s="250" t="str">
        <f t="shared" si="15"/>
        <v xml:space="preserve"> </v>
      </c>
      <c r="T72" s="255">
        <f t="shared" si="16"/>
        <v>0</v>
      </c>
      <c r="U72" s="657"/>
      <c r="V72" s="252" t="str">
        <f t="shared" si="17"/>
        <v xml:space="preserve"> </v>
      </c>
    </row>
    <row r="73" spans="1:22" ht="18.75" customHeight="1">
      <c r="A73" s="67"/>
      <c r="B73" s="1664" t="s">
        <v>146</v>
      </c>
      <c r="C73" s="1665"/>
      <c r="D73" s="1665"/>
      <c r="E73" s="1665"/>
      <c r="F73" s="1665"/>
      <c r="G73" s="1666"/>
      <c r="H73" s="245" t="s">
        <v>147</v>
      </c>
      <c r="I73" s="427">
        <f>'Budget-ADA'!I73</f>
        <v>899.27</v>
      </c>
      <c r="J73" s="254">
        <f>IF(('Budget-ADA'!J73="Cell G10 CANNOT be blank"), "Missing Data, BUDGET-ADA Tab, cell G10",'Budget-ADA'!J73)</f>
        <v>0</v>
      </c>
      <c r="K73" s="255">
        <f>'Budget-ADA'!K73</f>
        <v>796.07999999999993</v>
      </c>
      <c r="L73" s="442">
        <f>IF(('Budget-ADA'!L73="Cell G10 CANNOT be blank"), "Missing Data, BUDGET-ADA Tab, cell G10",'Budget-ADA'!L73)</f>
        <v>0</v>
      </c>
      <c r="M73" s="441">
        <f>'Budget-ADA'!M73</f>
        <v>-0.11474862944388232</v>
      </c>
      <c r="N73" s="253">
        <f>N65+N67+N69+N71</f>
        <v>671.16</v>
      </c>
      <c r="O73" s="657"/>
      <c r="P73" s="251">
        <f t="shared" si="13"/>
        <v>-0.15691890262285194</v>
      </c>
      <c r="Q73" s="253">
        <f>Q65+Q67+Q69+Q71</f>
        <v>796.07999999999993</v>
      </c>
      <c r="R73" s="657"/>
      <c r="S73" s="251">
        <f t="shared" si="15"/>
        <v>0.18612551403540134</v>
      </c>
      <c r="T73" s="253">
        <f>T65+T67+T69+T71</f>
        <v>796.07999999999993</v>
      </c>
      <c r="U73" s="657"/>
      <c r="V73" s="434">
        <f t="shared" si="17"/>
        <v>0</v>
      </c>
    </row>
    <row r="74" spans="1:22" ht="15.75">
      <c r="A74" s="67"/>
      <c r="B74" s="1664" t="s">
        <v>148</v>
      </c>
      <c r="C74" s="1665"/>
      <c r="D74" s="1665"/>
      <c r="E74" s="1665"/>
      <c r="F74" s="1665"/>
      <c r="G74" s="1666"/>
      <c r="H74" s="245" t="s">
        <v>149</v>
      </c>
      <c r="I74" s="427">
        <f>'Budget-ADA'!I74</f>
        <v>0</v>
      </c>
      <c r="J74" s="254">
        <f>'Budget-ADA'!J74</f>
        <v>0</v>
      </c>
      <c r="K74" s="255">
        <f>'Budget-ADA'!K74</f>
        <v>0</v>
      </c>
      <c r="L74" s="442">
        <f>'Budget-ADA'!L74</f>
        <v>0</v>
      </c>
      <c r="M74" s="441" t="str">
        <f>'Budget-ADA'!M74</f>
        <v xml:space="preserve"> </v>
      </c>
      <c r="N74" s="253">
        <f>N66+N68+N70+N72</f>
        <v>0</v>
      </c>
      <c r="O74" s="442">
        <f>N74</f>
        <v>0</v>
      </c>
      <c r="P74" s="251" t="str">
        <f t="shared" si="13"/>
        <v xml:space="preserve"> </v>
      </c>
      <c r="Q74" s="253">
        <f>Q66+Q68+Q70+Q72</f>
        <v>0</v>
      </c>
      <c r="R74" s="442">
        <f>Q74</f>
        <v>0</v>
      </c>
      <c r="S74" s="251" t="str">
        <f t="shared" si="15"/>
        <v xml:space="preserve"> </v>
      </c>
      <c r="T74" s="253">
        <f>T66+T68+T70+T72</f>
        <v>0</v>
      </c>
      <c r="U74" s="442">
        <f>T74</f>
        <v>0</v>
      </c>
      <c r="V74" s="434" t="str">
        <f t="shared" si="17"/>
        <v xml:space="preserve"> </v>
      </c>
    </row>
    <row r="75" spans="1:22" ht="47.25" customHeight="1">
      <c r="A75" s="67"/>
      <c r="B75" s="1664" t="s">
        <v>150</v>
      </c>
      <c r="C75" s="1665"/>
      <c r="D75" s="1665"/>
      <c r="E75" s="1665"/>
      <c r="F75" s="1665"/>
      <c r="G75" s="1666"/>
      <c r="H75" s="245" t="s">
        <v>151</v>
      </c>
      <c r="I75" s="427">
        <f>'Budget-ADA'!I75</f>
        <v>899.27</v>
      </c>
      <c r="J75" s="442">
        <f>'Budget-ADA'!J75</f>
        <v>899.27</v>
      </c>
      <c r="K75" s="255">
        <f>'Budget-ADA'!K75</f>
        <v>796.07999999999993</v>
      </c>
      <c r="L75" s="442">
        <f>'Budget-ADA'!L75</f>
        <v>796.07999999999993</v>
      </c>
      <c r="M75" s="251">
        <f>'Budget-ADA'!M75</f>
        <v>-0.11474862944388232</v>
      </c>
      <c r="N75" s="253">
        <f>N73-N74</f>
        <v>671.16</v>
      </c>
      <c r="O75" s="442">
        <f>IF($G$10="","Cell G10 CANNOT be blank",N75*$G$10)</f>
        <v>671.16</v>
      </c>
      <c r="P75" s="251">
        <f t="shared" si="13"/>
        <v>-0.15691890262285194</v>
      </c>
      <c r="Q75" s="255">
        <f>Q73-Q74</f>
        <v>796.07999999999993</v>
      </c>
      <c r="R75" s="442">
        <f>IF($G$10="","Cell G10 CANNOT be blank",Q75*$G$10)</f>
        <v>796.07999999999993</v>
      </c>
      <c r="S75" s="251">
        <f t="shared" si="15"/>
        <v>0.18612551403540134</v>
      </c>
      <c r="T75" s="255">
        <f>T73-T74</f>
        <v>796.07999999999993</v>
      </c>
      <c r="U75" s="442">
        <f>IF($G$10="","Cell G10 CANNOT be blank",T75*$G$10)</f>
        <v>796.07999999999993</v>
      </c>
      <c r="V75" s="434">
        <f t="shared" si="17"/>
        <v>0</v>
      </c>
    </row>
    <row r="76" spans="1:22" ht="17.25" customHeight="1" thickBot="1">
      <c r="A76" s="239"/>
      <c r="B76" s="1685" t="s">
        <v>158</v>
      </c>
      <c r="C76" s="1686"/>
      <c r="D76" s="1686"/>
      <c r="E76" s="1686"/>
      <c r="F76" s="1686"/>
      <c r="G76" s="1687"/>
      <c r="H76" s="574"/>
      <c r="I76" s="1015">
        <f>'Budget-ADA'!I76</f>
        <v>0</v>
      </c>
      <c r="J76" s="240">
        <f>'Budget-ADA'!J76</f>
        <v>899.27</v>
      </c>
      <c r="K76" s="1016">
        <f>'Budget-ADA'!K76</f>
        <v>0</v>
      </c>
      <c r="L76" s="572">
        <f>'Budget-ADA'!L76</f>
        <v>796.07999999999993</v>
      </c>
      <c r="M76" s="1013"/>
      <c r="N76" s="1010"/>
      <c r="O76" s="1012">
        <f>O74+O75</f>
        <v>671.16</v>
      </c>
      <c r="P76" s="1013"/>
      <c r="Q76" s="1010"/>
      <c r="R76" s="1012">
        <f>R74+R75</f>
        <v>796.07999999999993</v>
      </c>
      <c r="S76" s="1013"/>
      <c r="T76" s="1010"/>
      <c r="U76" s="1012">
        <f>U74+U75</f>
        <v>796.07999999999993</v>
      </c>
      <c r="V76" s="1014"/>
    </row>
    <row r="77" spans="1:22" ht="15.75">
      <c r="A77" s="37"/>
      <c r="B77" s="106"/>
      <c r="C77" s="33"/>
      <c r="D77" s="33"/>
      <c r="E77" s="33"/>
      <c r="F77" s="33"/>
      <c r="G77" s="33"/>
      <c r="H77" s="37"/>
      <c r="I77" s="227"/>
      <c r="J77" s="227"/>
      <c r="K77" s="227"/>
      <c r="L77" s="227"/>
      <c r="M77" s="227"/>
      <c r="N77" s="227"/>
      <c r="O77" s="227"/>
      <c r="P77" s="227"/>
      <c r="Q77" s="227"/>
      <c r="R77" s="227"/>
      <c r="S77" s="227"/>
      <c r="T77" s="227"/>
      <c r="U77" s="227"/>
    </row>
    <row r="78" spans="1:22" ht="21.75" customHeight="1">
      <c r="A78" s="571" t="s">
        <v>546</v>
      </c>
      <c r="B78" s="571"/>
      <c r="C78" s="227"/>
      <c r="D78" s="227"/>
      <c r="E78" s="227"/>
      <c r="F78" s="227"/>
      <c r="G78" s="227"/>
      <c r="H78" s="227"/>
      <c r="I78" s="6"/>
      <c r="J78" s="6"/>
      <c r="K78" s="6"/>
      <c r="L78" s="6"/>
      <c r="M78" s="6"/>
      <c r="N78" s="6"/>
      <c r="O78" s="6"/>
      <c r="P78" s="6"/>
      <c r="Q78" s="6"/>
      <c r="R78" s="6"/>
      <c r="S78" s="6"/>
      <c r="T78" s="6"/>
    </row>
    <row r="79" spans="1:22">
      <c r="A79" s="6"/>
      <c r="B79" s="6"/>
      <c r="C79" s="6"/>
      <c r="D79" s="6"/>
      <c r="E79" s="6"/>
      <c r="F79" s="6"/>
      <c r="G79" s="6"/>
      <c r="H79" s="6"/>
      <c r="I79" s="6"/>
      <c r="J79" s="6"/>
      <c r="K79" s="6"/>
      <c r="L79" s="6"/>
      <c r="M79" s="6"/>
      <c r="N79" s="6"/>
      <c r="O79" s="6"/>
      <c r="P79" s="6"/>
      <c r="Q79" s="6"/>
      <c r="R79" s="6"/>
      <c r="S79" s="6"/>
      <c r="T79" s="6"/>
    </row>
    <row r="80" spans="1:22">
      <c r="A80" s="6"/>
      <c r="B80" s="6"/>
      <c r="C80" s="6"/>
      <c r="D80" s="6"/>
      <c r="E80" s="6"/>
      <c r="F80" s="6"/>
      <c r="G80" s="6"/>
      <c r="H80" s="6"/>
      <c r="I80" s="6"/>
      <c r="J80" s="6"/>
      <c r="K80" s="6"/>
      <c r="L80" s="6"/>
      <c r="M80" s="6"/>
      <c r="N80" s="6"/>
      <c r="O80" s="6"/>
      <c r="P80" s="6"/>
      <c r="Q80" s="6"/>
      <c r="R80" s="6"/>
      <c r="S80" s="6"/>
      <c r="T80" s="6"/>
    </row>
    <row r="81" spans="1:20">
      <c r="A81" s="6"/>
      <c r="B81" s="6"/>
      <c r="C81" s="6"/>
      <c r="D81" s="6"/>
      <c r="E81" s="6"/>
      <c r="F81" s="6"/>
      <c r="G81" s="6"/>
      <c r="H81" s="6"/>
      <c r="I81" s="6"/>
      <c r="J81" s="6"/>
      <c r="K81" s="6"/>
      <c r="L81" s="6"/>
      <c r="M81" s="6"/>
      <c r="N81" s="6"/>
      <c r="O81" s="6"/>
      <c r="P81" s="6"/>
      <c r="Q81" s="6"/>
      <c r="R81" s="6"/>
      <c r="S81" s="6"/>
      <c r="T81" s="6"/>
    </row>
    <row r="82" spans="1:20">
      <c r="A82" s="6"/>
      <c r="B82" s="6"/>
      <c r="C82" s="6"/>
      <c r="D82" s="6"/>
      <c r="E82" s="6"/>
      <c r="F82" s="6"/>
      <c r="G82" s="6"/>
      <c r="H82" s="6"/>
      <c r="I82" s="6"/>
      <c r="J82" s="6"/>
      <c r="K82" s="6"/>
      <c r="L82" s="6"/>
      <c r="M82" s="6"/>
      <c r="N82" s="6"/>
      <c r="O82" s="6"/>
      <c r="P82" s="6"/>
      <c r="Q82" s="6"/>
      <c r="R82" s="6"/>
      <c r="S82" s="6"/>
      <c r="T82" s="6"/>
    </row>
    <row r="83" spans="1:20">
      <c r="A83" s="6"/>
      <c r="B83" s="6"/>
      <c r="C83" s="6"/>
      <c r="D83" s="6"/>
      <c r="E83" s="6"/>
      <c r="F83" s="6"/>
      <c r="G83" s="6"/>
      <c r="H83" s="6"/>
      <c r="I83" s="6"/>
      <c r="J83" s="6"/>
      <c r="K83" s="6"/>
      <c r="L83" s="6"/>
      <c r="M83" s="6"/>
      <c r="N83" s="6"/>
      <c r="O83" s="6"/>
      <c r="P83" s="6"/>
      <c r="Q83" s="6"/>
      <c r="R83" s="6"/>
      <c r="S83" s="6"/>
      <c r="T83" s="6"/>
    </row>
    <row r="84" spans="1:20">
      <c r="A84" s="6"/>
      <c r="B84" s="6"/>
      <c r="C84" s="6"/>
      <c r="D84" s="6"/>
      <c r="E84" s="6"/>
      <c r="F84" s="6"/>
      <c r="G84" s="6"/>
      <c r="H84" s="6"/>
      <c r="I84" s="6"/>
      <c r="J84" s="6"/>
      <c r="K84" s="6"/>
      <c r="L84" s="6"/>
      <c r="M84" s="6"/>
      <c r="N84" s="6"/>
      <c r="O84" s="6"/>
      <c r="P84" s="6"/>
      <c r="Q84" s="6"/>
      <c r="R84" s="6"/>
      <c r="S84" s="6"/>
      <c r="T84" s="6"/>
    </row>
    <row r="85" spans="1:20">
      <c r="A85" s="6"/>
      <c r="B85" s="6"/>
      <c r="C85" s="6"/>
      <c r="D85" s="6"/>
      <c r="E85" s="6"/>
      <c r="F85" s="6"/>
      <c r="G85" s="6"/>
      <c r="H85" s="6"/>
      <c r="I85" s="6"/>
      <c r="J85" s="6"/>
      <c r="K85" s="6"/>
      <c r="L85" s="6"/>
      <c r="M85" s="6"/>
      <c r="N85" s="6"/>
      <c r="O85" s="6"/>
      <c r="P85" s="6"/>
      <c r="Q85" s="6"/>
      <c r="R85" s="6"/>
      <c r="S85" s="6"/>
      <c r="T85" s="6"/>
    </row>
    <row r="86" spans="1:20">
      <c r="A86" s="6"/>
      <c r="B86" s="6"/>
      <c r="C86" s="6"/>
      <c r="D86" s="6"/>
      <c r="E86" s="6"/>
      <c r="F86" s="6"/>
      <c r="G86" s="6"/>
      <c r="H86" s="6"/>
      <c r="I86" s="6"/>
      <c r="J86" s="6"/>
      <c r="K86" s="6"/>
      <c r="L86" s="6"/>
      <c r="M86" s="6"/>
      <c r="N86" s="6"/>
      <c r="O86" s="6"/>
      <c r="P86" s="6"/>
      <c r="Q86" s="6"/>
      <c r="R86" s="6"/>
      <c r="S86" s="6"/>
      <c r="T86" s="6"/>
    </row>
    <row r="87" spans="1:20">
      <c r="A87" s="6"/>
      <c r="B87" s="6"/>
      <c r="C87" s="6"/>
      <c r="D87" s="6"/>
      <c r="E87" s="6"/>
      <c r="F87" s="6"/>
      <c r="G87" s="6"/>
      <c r="H87" s="6"/>
      <c r="I87" s="6"/>
      <c r="J87" s="6"/>
      <c r="K87" s="6"/>
      <c r="L87" s="6"/>
      <c r="M87" s="6"/>
      <c r="N87" s="6"/>
      <c r="O87" s="6"/>
      <c r="P87" s="6"/>
      <c r="Q87" s="6"/>
      <c r="R87" s="6"/>
      <c r="S87" s="6"/>
      <c r="T87" s="6"/>
    </row>
    <row r="88" spans="1:20">
      <c r="A88" s="6"/>
      <c r="B88" s="6"/>
      <c r="C88" s="6"/>
      <c r="D88" s="6"/>
      <c r="E88" s="6"/>
      <c r="F88" s="6"/>
      <c r="G88" s="6"/>
      <c r="H88" s="6"/>
    </row>
    <row r="89" spans="1:20">
      <c r="A89" s="6"/>
    </row>
    <row r="90" spans="1:20">
      <c r="A90" s="6"/>
    </row>
    <row r="91" spans="1:20">
      <c r="A91" s="6"/>
    </row>
  </sheetData>
  <sheetProtection password="CC5F" sheet="1" objects="1" scenarios="1"/>
  <mergeCells count="26">
    <mergeCell ref="B75:G75"/>
    <mergeCell ref="B76:G76"/>
    <mergeCell ref="B49:G49"/>
    <mergeCell ref="B60:G60"/>
    <mergeCell ref="B61:G61"/>
    <mergeCell ref="B62:G62"/>
    <mergeCell ref="B73:G73"/>
    <mergeCell ref="B74:G74"/>
    <mergeCell ref="B34:G34"/>
    <mergeCell ref="B35:G35"/>
    <mergeCell ref="B36:G36"/>
    <mergeCell ref="B47:G47"/>
    <mergeCell ref="B48:G48"/>
    <mergeCell ref="I1:N1"/>
    <mergeCell ref="I2:N2"/>
    <mergeCell ref="B23:G23"/>
    <mergeCell ref="A7:G8"/>
    <mergeCell ref="V8:V9"/>
    <mergeCell ref="M8:M9"/>
    <mergeCell ref="P8:P9"/>
    <mergeCell ref="S8:S9"/>
    <mergeCell ref="A6:H6"/>
    <mergeCell ref="I7:J7"/>
    <mergeCell ref="B20:G20"/>
    <mergeCell ref="B21:G21"/>
    <mergeCell ref="B22:G22"/>
  </mergeCells>
  <phoneticPr fontId="5" type="noConversion"/>
  <conditionalFormatting sqref="I1:I2">
    <cfRule type="containsText" dxfId="312" priority="316" stopIfTrue="1" operator="containsText" text="Enter">
      <formula>NOT(ISERROR(SEARCH("Enter",I1)))</formula>
    </cfRule>
  </conditionalFormatting>
  <conditionalFormatting sqref="J21">
    <cfRule type="containsText" dxfId="311" priority="312" stopIfTrue="1" operator="containsText" text="Missin">
      <formula>NOT(ISERROR(SEARCH("Missin",J21)))</formula>
    </cfRule>
    <cfRule type="containsText" dxfId="310" priority="313" stopIfTrue="1" operator="containsText" text="Cell G10 CANNOT be blank">
      <formula>NOT(ISERROR(SEARCH("Cell G10 CANNOT be blank",J21)))</formula>
    </cfRule>
  </conditionalFormatting>
  <conditionalFormatting sqref="J20">
    <cfRule type="containsText" dxfId="309" priority="267" stopIfTrue="1" operator="containsText" text="Missin">
      <formula>NOT(ISERROR(SEARCH("Missin",J20)))</formula>
    </cfRule>
    <cfRule type="containsText" dxfId="308" priority="268" stopIfTrue="1" operator="containsText" text="Cell G10 CANNOT be blank">
      <formula>NOT(ISERROR(SEARCH("Cell G10 CANNOT be blank",J20)))</formula>
    </cfRule>
  </conditionalFormatting>
  <conditionalFormatting sqref="L20">
    <cfRule type="containsText" dxfId="307" priority="214" stopIfTrue="1" operator="containsText" text="Missin">
      <formula>NOT(ISERROR(SEARCH("Missin",L20)))</formula>
    </cfRule>
    <cfRule type="containsText" dxfId="306" priority="215" stopIfTrue="1" operator="containsText" text="Cell G10 CANNOT be blank">
      <formula>NOT(ISERROR(SEARCH("Cell G10 CANNOT be blank",L20)))</formula>
    </cfRule>
  </conditionalFormatting>
  <conditionalFormatting sqref="R22">
    <cfRule type="containsText" dxfId="305" priority="89" stopIfTrue="1" operator="containsText" text="Missin">
      <formula>NOT(ISERROR(SEARCH("Missin",R22)))</formula>
    </cfRule>
    <cfRule type="containsText" dxfId="304" priority="90" stopIfTrue="1" operator="containsText" text="Cell G10 CANNOT be blank">
      <formula>NOT(ISERROR(SEARCH("Cell G10 CANNOT be blank",R22)))</formula>
    </cfRule>
  </conditionalFormatting>
  <conditionalFormatting sqref="O22">
    <cfRule type="containsText" dxfId="303" priority="192" stopIfTrue="1" operator="containsText" text="Missin">
      <formula>NOT(ISERROR(SEARCH("Missin",O22)))</formula>
    </cfRule>
    <cfRule type="containsText" dxfId="302" priority="193" stopIfTrue="1" operator="containsText" text="Cell G10 CANNOT be blank">
      <formula>NOT(ISERROR(SEARCH("Cell G10 CANNOT be blank",O22)))</formula>
    </cfRule>
  </conditionalFormatting>
  <conditionalFormatting sqref="L21:L22">
    <cfRule type="containsText" dxfId="301" priority="190" stopIfTrue="1" operator="containsText" text="Missin">
      <formula>NOT(ISERROR(SEARCH("Missin",L21)))</formula>
    </cfRule>
    <cfRule type="containsText" dxfId="300" priority="191" stopIfTrue="1" operator="containsText" text="Cell G10 CANNOT be blank">
      <formula>NOT(ISERROR(SEARCH("Cell G10 CANNOT be blank",L21)))</formula>
    </cfRule>
  </conditionalFormatting>
  <conditionalFormatting sqref="L60">
    <cfRule type="containsText" dxfId="299" priority="45" stopIfTrue="1" operator="containsText" text="Missin">
      <formula>NOT(ISERROR(SEARCH("Missin",L60)))</formula>
    </cfRule>
    <cfRule type="containsText" dxfId="298" priority="46" stopIfTrue="1" operator="containsText" text="Cell G10 CANNOT be blank">
      <formula>NOT(ISERROR(SEARCH("Cell G10 CANNOT be blank",L60)))</formula>
    </cfRule>
  </conditionalFormatting>
  <conditionalFormatting sqref="L61:L62">
    <cfRule type="containsText" dxfId="297" priority="41" stopIfTrue="1" operator="containsText" text="Missin">
      <formula>NOT(ISERROR(SEARCH("Missin",L61)))</formula>
    </cfRule>
    <cfRule type="containsText" dxfId="296" priority="42" stopIfTrue="1" operator="containsText" text="Cell G10 CANNOT be blank">
      <formula>NOT(ISERROR(SEARCH("Cell G10 CANNOT be blank",L61)))</formula>
    </cfRule>
  </conditionalFormatting>
  <conditionalFormatting sqref="U49">
    <cfRule type="containsText" dxfId="295" priority="52" stopIfTrue="1" operator="containsText" text="Missin">
      <formula>NOT(ISERROR(SEARCH("Missin",U49)))</formula>
    </cfRule>
    <cfRule type="containsText" dxfId="294" priority="53" stopIfTrue="1" operator="containsText" text="Cell G10 CANNOT be blank">
      <formula>NOT(ISERROR(SEARCH("Cell G10 CANNOT be blank",U49)))</formula>
    </cfRule>
  </conditionalFormatting>
  <conditionalFormatting sqref="R49">
    <cfRule type="containsText" dxfId="293" priority="55" stopIfTrue="1" operator="containsText" text="Missin">
      <formula>NOT(ISERROR(SEARCH("Missin",R49)))</formula>
    </cfRule>
    <cfRule type="containsText" dxfId="292" priority="56" stopIfTrue="1" operator="containsText" text="Cell G10 CANNOT be blank">
      <formula>NOT(ISERROR(SEARCH("Cell G10 CANNOT be blank",R49)))</formula>
    </cfRule>
  </conditionalFormatting>
  <conditionalFormatting sqref="J48">
    <cfRule type="containsText" dxfId="291" priority="66" stopIfTrue="1" operator="containsText" text="Missin">
      <formula>NOT(ISERROR(SEARCH("Missin",J48)))</formula>
    </cfRule>
    <cfRule type="containsText" dxfId="290" priority="67" stopIfTrue="1" operator="containsText" text="Cell G10 CANNOT be blank">
      <formula>NOT(ISERROR(SEARCH("Cell G10 CANNOT be blank",J48)))</formula>
    </cfRule>
  </conditionalFormatting>
  <conditionalFormatting sqref="J47">
    <cfRule type="containsText" dxfId="289" priority="64" stopIfTrue="1" operator="containsText" text="Missin">
      <formula>NOT(ISERROR(SEARCH("Missin",J47)))</formula>
    </cfRule>
    <cfRule type="containsText" dxfId="288" priority="65" stopIfTrue="1" operator="containsText" text="Cell G10 CANNOT be blank">
      <formula>NOT(ISERROR(SEARCH("Cell G10 CANNOT be blank",J47)))</formula>
    </cfRule>
  </conditionalFormatting>
  <conditionalFormatting sqref="L34">
    <cfRule type="containsText" dxfId="287" priority="79" stopIfTrue="1" operator="containsText" text="Missin">
      <formula>NOT(ISERROR(SEARCH("Missin",L34)))</formula>
    </cfRule>
    <cfRule type="containsText" dxfId="286" priority="80" stopIfTrue="1" operator="containsText" text="Cell G10 CANNOT be blank">
      <formula>NOT(ISERROR(SEARCH("Cell G10 CANNOT be blank",L34)))</formula>
    </cfRule>
  </conditionalFormatting>
  <conditionalFormatting sqref="O36">
    <cfRule type="containsText" dxfId="285" priority="77" stopIfTrue="1" operator="containsText" text="Missin">
      <formula>NOT(ISERROR(SEARCH("Missin",O36)))</formula>
    </cfRule>
    <cfRule type="containsText" dxfId="284" priority="78" stopIfTrue="1" operator="containsText" text="Cell G10 CANNOT be blank">
      <formula>NOT(ISERROR(SEARCH("Cell G10 CANNOT be blank",O36)))</formula>
    </cfRule>
  </conditionalFormatting>
  <conditionalFormatting sqref="L35:L36">
    <cfRule type="containsText" dxfId="283" priority="75" stopIfTrue="1" operator="containsText" text="Missin">
      <formula>NOT(ISERROR(SEARCH("Missin",L35)))</formula>
    </cfRule>
    <cfRule type="containsText" dxfId="282" priority="76" stopIfTrue="1" operator="containsText" text="Cell G10 CANNOT be blank">
      <formula>NOT(ISERROR(SEARCH("Cell G10 CANNOT be blank",L35)))</formula>
    </cfRule>
  </conditionalFormatting>
  <conditionalFormatting sqref="U74">
    <cfRule type="containsText" dxfId="281" priority="17" stopIfTrue="1" operator="containsText" text="Cell G10 CANNOT be blank">
      <formula>NOT(ISERROR(SEARCH("Cell G10 CANNOT be blank",U74)))</formula>
    </cfRule>
  </conditionalFormatting>
  <conditionalFormatting sqref="O21">
    <cfRule type="containsText" dxfId="280" priority="91" stopIfTrue="1" operator="containsText" text="Cell G10 CANNOT be blank">
      <formula>NOT(ISERROR(SEARCH("Cell G10 CANNOT be blank",O21)))</formula>
    </cfRule>
  </conditionalFormatting>
  <conditionalFormatting sqref="R21">
    <cfRule type="containsText" dxfId="279" priority="88" stopIfTrue="1" operator="containsText" text="Cell G10 CANNOT be blank">
      <formula>NOT(ISERROR(SEARCH("Cell G10 CANNOT be blank",R21)))</formula>
    </cfRule>
  </conditionalFormatting>
  <conditionalFormatting sqref="U22">
    <cfRule type="containsText" dxfId="278" priority="86" stopIfTrue="1" operator="containsText" text="Missin">
      <formula>NOT(ISERROR(SEARCH("Missin",U22)))</formula>
    </cfRule>
    <cfRule type="containsText" dxfId="277" priority="87" stopIfTrue="1" operator="containsText" text="Cell G10 CANNOT be blank">
      <formula>NOT(ISERROR(SEARCH("Cell G10 CANNOT be blank",U22)))</formula>
    </cfRule>
  </conditionalFormatting>
  <conditionalFormatting sqref="U21">
    <cfRule type="containsText" dxfId="276" priority="85" stopIfTrue="1" operator="containsText" text="Cell G10 CANNOT be blank">
      <formula>NOT(ISERROR(SEARCH("Cell G10 CANNOT be blank",U21)))</formula>
    </cfRule>
  </conditionalFormatting>
  <conditionalFormatting sqref="J35">
    <cfRule type="containsText" dxfId="275" priority="83" stopIfTrue="1" operator="containsText" text="Missin">
      <formula>NOT(ISERROR(SEARCH("Missin",J35)))</formula>
    </cfRule>
    <cfRule type="containsText" dxfId="274" priority="84" stopIfTrue="1" operator="containsText" text="Cell G10 CANNOT be blank">
      <formula>NOT(ISERROR(SEARCH("Cell G10 CANNOT be blank",J35)))</formula>
    </cfRule>
  </conditionalFormatting>
  <conditionalFormatting sqref="J34">
    <cfRule type="containsText" dxfId="273" priority="81" stopIfTrue="1" operator="containsText" text="Missin">
      <formula>NOT(ISERROR(SEARCH("Missin",J34)))</formula>
    </cfRule>
    <cfRule type="containsText" dxfId="272" priority="82" stopIfTrue="1" operator="containsText" text="Cell G10 CANNOT be blank">
      <formula>NOT(ISERROR(SEARCH("Cell G10 CANNOT be blank",J34)))</formula>
    </cfRule>
  </conditionalFormatting>
  <conditionalFormatting sqref="R36">
    <cfRule type="containsText" dxfId="271" priority="72" stopIfTrue="1" operator="containsText" text="Missin">
      <formula>NOT(ISERROR(SEARCH("Missin",R36)))</formula>
    </cfRule>
    <cfRule type="containsText" dxfId="270" priority="73" stopIfTrue="1" operator="containsText" text="Cell G10 CANNOT be blank">
      <formula>NOT(ISERROR(SEARCH("Cell G10 CANNOT be blank",R36)))</formula>
    </cfRule>
  </conditionalFormatting>
  <conditionalFormatting sqref="O35">
    <cfRule type="containsText" dxfId="269" priority="74" stopIfTrue="1" operator="containsText" text="Cell G10 CANNOT be blank">
      <formula>NOT(ISERROR(SEARCH("Cell G10 CANNOT be blank",O35)))</formula>
    </cfRule>
  </conditionalFormatting>
  <conditionalFormatting sqref="R35">
    <cfRule type="containsText" dxfId="268" priority="71" stopIfTrue="1" operator="containsText" text="Cell G10 CANNOT be blank">
      <formula>NOT(ISERROR(SEARCH("Cell G10 CANNOT be blank",R35)))</formula>
    </cfRule>
  </conditionalFormatting>
  <conditionalFormatting sqref="U36">
    <cfRule type="containsText" dxfId="267" priority="69" stopIfTrue="1" operator="containsText" text="Missin">
      <formula>NOT(ISERROR(SEARCH("Missin",U36)))</formula>
    </cfRule>
    <cfRule type="containsText" dxfId="266" priority="70" stopIfTrue="1" operator="containsText" text="Cell G10 CANNOT be blank">
      <formula>NOT(ISERROR(SEARCH("Cell G10 CANNOT be blank",U36)))</formula>
    </cfRule>
  </conditionalFormatting>
  <conditionalFormatting sqref="U35">
    <cfRule type="containsText" dxfId="265" priority="68" stopIfTrue="1" operator="containsText" text="Cell G10 CANNOT be blank">
      <formula>NOT(ISERROR(SEARCH("Cell G10 CANNOT be blank",U35)))</formula>
    </cfRule>
  </conditionalFormatting>
  <conditionalFormatting sqref="L47">
    <cfRule type="containsText" dxfId="264" priority="62" stopIfTrue="1" operator="containsText" text="Missin">
      <formula>NOT(ISERROR(SEARCH("Missin",L47)))</formula>
    </cfRule>
    <cfRule type="containsText" dxfId="263" priority="63" stopIfTrue="1" operator="containsText" text="Cell G10 CANNOT be blank">
      <formula>NOT(ISERROR(SEARCH("Cell G10 CANNOT be blank",L47)))</formula>
    </cfRule>
  </conditionalFormatting>
  <conditionalFormatting sqref="O49">
    <cfRule type="containsText" dxfId="262" priority="60" stopIfTrue="1" operator="containsText" text="Missin">
      <formula>NOT(ISERROR(SEARCH("Missin",O49)))</formula>
    </cfRule>
    <cfRule type="containsText" dxfId="261" priority="61" stopIfTrue="1" operator="containsText" text="Cell G10 CANNOT be blank">
      <formula>NOT(ISERROR(SEARCH("Cell G10 CANNOT be blank",O49)))</formula>
    </cfRule>
  </conditionalFormatting>
  <conditionalFormatting sqref="L48:L49">
    <cfRule type="containsText" dxfId="260" priority="58" stopIfTrue="1" operator="containsText" text="Missin">
      <formula>NOT(ISERROR(SEARCH("Missin",L48)))</formula>
    </cfRule>
    <cfRule type="containsText" dxfId="259" priority="59" stopIfTrue="1" operator="containsText" text="Cell G10 CANNOT be blank">
      <formula>NOT(ISERROR(SEARCH("Cell G10 CANNOT be blank",L48)))</formula>
    </cfRule>
  </conditionalFormatting>
  <conditionalFormatting sqref="O48">
    <cfRule type="containsText" dxfId="258" priority="57" stopIfTrue="1" operator="containsText" text="Cell G10 CANNOT be blank">
      <formula>NOT(ISERROR(SEARCH("Cell G10 CANNOT be blank",O48)))</formula>
    </cfRule>
  </conditionalFormatting>
  <conditionalFormatting sqref="R48">
    <cfRule type="containsText" dxfId="257" priority="54" stopIfTrue="1" operator="containsText" text="Cell G10 CANNOT be blank">
      <formula>NOT(ISERROR(SEARCH("Cell G10 CANNOT be blank",R48)))</formula>
    </cfRule>
  </conditionalFormatting>
  <conditionalFormatting sqref="U48">
    <cfRule type="containsText" dxfId="256" priority="51" stopIfTrue="1" operator="containsText" text="Cell G10 CANNOT be blank">
      <formula>NOT(ISERROR(SEARCH("Cell G10 CANNOT be blank",U48)))</formula>
    </cfRule>
  </conditionalFormatting>
  <conditionalFormatting sqref="J61">
    <cfRule type="containsText" dxfId="255" priority="49" stopIfTrue="1" operator="containsText" text="Missin">
      <formula>NOT(ISERROR(SEARCH("Missin",J61)))</formula>
    </cfRule>
    <cfRule type="containsText" dxfId="254" priority="50" stopIfTrue="1" operator="containsText" text="Cell G10 CANNOT be blank">
      <formula>NOT(ISERROR(SEARCH("Cell G10 CANNOT be blank",J61)))</formula>
    </cfRule>
  </conditionalFormatting>
  <conditionalFormatting sqref="J60">
    <cfRule type="containsText" dxfId="253" priority="47" stopIfTrue="1" operator="containsText" text="Missin">
      <formula>NOT(ISERROR(SEARCH("Missin",J60)))</formula>
    </cfRule>
    <cfRule type="containsText" dxfId="252" priority="48" stopIfTrue="1" operator="containsText" text="Cell G10 CANNOT be blank">
      <formula>NOT(ISERROR(SEARCH("Cell G10 CANNOT be blank",J60)))</formula>
    </cfRule>
  </conditionalFormatting>
  <conditionalFormatting sqref="O62">
    <cfRule type="containsText" dxfId="251" priority="43" stopIfTrue="1" operator="containsText" text="Missin">
      <formula>NOT(ISERROR(SEARCH("Missin",O62)))</formula>
    </cfRule>
    <cfRule type="containsText" dxfId="250" priority="44" stopIfTrue="1" operator="containsText" text="Cell G10 CANNOT be blank">
      <formula>NOT(ISERROR(SEARCH("Cell G10 CANNOT be blank",O62)))</formula>
    </cfRule>
  </conditionalFormatting>
  <conditionalFormatting sqref="O61">
    <cfRule type="containsText" dxfId="249" priority="40" stopIfTrue="1" operator="containsText" text="Cell G10 CANNOT be blank">
      <formula>NOT(ISERROR(SEARCH("Cell G10 CANNOT be blank",O61)))</formula>
    </cfRule>
  </conditionalFormatting>
  <conditionalFormatting sqref="R62">
    <cfRule type="containsText" dxfId="248" priority="38" stopIfTrue="1" operator="containsText" text="Missin">
      <formula>NOT(ISERROR(SEARCH("Missin",R62)))</formula>
    </cfRule>
    <cfRule type="containsText" dxfId="247" priority="39" stopIfTrue="1" operator="containsText" text="Cell G10 CANNOT be blank">
      <formula>NOT(ISERROR(SEARCH("Cell G10 CANNOT be blank",R62)))</formula>
    </cfRule>
  </conditionalFormatting>
  <conditionalFormatting sqref="R61">
    <cfRule type="containsText" dxfId="246" priority="37" stopIfTrue="1" operator="containsText" text="Cell G10 CANNOT be blank">
      <formula>NOT(ISERROR(SEARCH("Cell G10 CANNOT be blank",R61)))</formula>
    </cfRule>
  </conditionalFormatting>
  <conditionalFormatting sqref="U62">
    <cfRule type="containsText" dxfId="245" priority="35" stopIfTrue="1" operator="containsText" text="Missin">
      <formula>NOT(ISERROR(SEARCH("Missin",U62)))</formula>
    </cfRule>
    <cfRule type="containsText" dxfId="244" priority="36" stopIfTrue="1" operator="containsText" text="Cell G10 CANNOT be blank">
      <formula>NOT(ISERROR(SEARCH("Cell G10 CANNOT be blank",U62)))</formula>
    </cfRule>
  </conditionalFormatting>
  <conditionalFormatting sqref="U61">
    <cfRule type="containsText" dxfId="243" priority="34" stopIfTrue="1" operator="containsText" text="Cell G10 CANNOT be blank">
      <formula>NOT(ISERROR(SEARCH("Cell G10 CANNOT be blank",U61)))</formula>
    </cfRule>
  </conditionalFormatting>
  <conditionalFormatting sqref="J74">
    <cfRule type="containsText" dxfId="242" priority="32" stopIfTrue="1" operator="containsText" text="Missin">
      <formula>NOT(ISERROR(SEARCH("Missin",J74)))</formula>
    </cfRule>
    <cfRule type="containsText" dxfId="241" priority="33" stopIfTrue="1" operator="containsText" text="Cell G10 CANNOT be blank">
      <formula>NOT(ISERROR(SEARCH("Cell G10 CANNOT be blank",J74)))</formula>
    </cfRule>
  </conditionalFormatting>
  <conditionalFormatting sqref="J73">
    <cfRule type="containsText" dxfId="240" priority="30" stopIfTrue="1" operator="containsText" text="Missin">
      <formula>NOT(ISERROR(SEARCH("Missin",J73)))</formula>
    </cfRule>
    <cfRule type="containsText" dxfId="239" priority="31" stopIfTrue="1" operator="containsText" text="Cell G10 CANNOT be blank">
      <formula>NOT(ISERROR(SEARCH("Cell G10 CANNOT be blank",J73)))</formula>
    </cfRule>
  </conditionalFormatting>
  <conditionalFormatting sqref="L73">
    <cfRule type="containsText" dxfId="238" priority="28" stopIfTrue="1" operator="containsText" text="Missin">
      <formula>NOT(ISERROR(SEARCH("Missin",L73)))</formula>
    </cfRule>
    <cfRule type="containsText" dxfId="237" priority="29" stopIfTrue="1" operator="containsText" text="Cell G10 CANNOT be blank">
      <formula>NOT(ISERROR(SEARCH("Cell G10 CANNOT be blank",L73)))</formula>
    </cfRule>
  </conditionalFormatting>
  <conditionalFormatting sqref="O75">
    <cfRule type="containsText" dxfId="236" priority="26" stopIfTrue="1" operator="containsText" text="Missin">
      <formula>NOT(ISERROR(SEARCH("Missin",O75)))</formula>
    </cfRule>
    <cfRule type="containsText" dxfId="235" priority="27" stopIfTrue="1" operator="containsText" text="Cell G10 CANNOT be blank">
      <formula>NOT(ISERROR(SEARCH("Cell G10 CANNOT be blank",O75)))</formula>
    </cfRule>
  </conditionalFormatting>
  <conditionalFormatting sqref="L74:L75">
    <cfRule type="containsText" dxfId="234" priority="24" stopIfTrue="1" operator="containsText" text="Missin">
      <formula>NOT(ISERROR(SEARCH("Missin",L74)))</formula>
    </cfRule>
    <cfRule type="containsText" dxfId="233" priority="25" stopIfTrue="1" operator="containsText" text="Cell G10 CANNOT be blank">
      <formula>NOT(ISERROR(SEARCH("Cell G10 CANNOT be blank",L74)))</formula>
    </cfRule>
  </conditionalFormatting>
  <conditionalFormatting sqref="O74">
    <cfRule type="containsText" dxfId="232" priority="23" stopIfTrue="1" operator="containsText" text="Cell G10 CANNOT be blank">
      <formula>NOT(ISERROR(SEARCH("Cell G10 CANNOT be blank",O74)))</formula>
    </cfRule>
  </conditionalFormatting>
  <conditionalFormatting sqref="R75">
    <cfRule type="containsText" dxfId="231" priority="21" stopIfTrue="1" operator="containsText" text="Missin">
      <formula>NOT(ISERROR(SEARCH("Missin",R75)))</formula>
    </cfRule>
    <cfRule type="containsText" dxfId="230" priority="22" stopIfTrue="1" operator="containsText" text="Cell G10 CANNOT be blank">
      <formula>NOT(ISERROR(SEARCH("Cell G10 CANNOT be blank",R75)))</formula>
    </cfRule>
  </conditionalFormatting>
  <conditionalFormatting sqref="R74">
    <cfRule type="containsText" dxfId="229" priority="20" stopIfTrue="1" operator="containsText" text="Cell G10 CANNOT be blank">
      <formula>NOT(ISERROR(SEARCH("Cell G10 CANNOT be blank",R74)))</formula>
    </cfRule>
  </conditionalFormatting>
  <conditionalFormatting sqref="U75">
    <cfRule type="containsText" dxfId="228" priority="18" stopIfTrue="1" operator="containsText" text="Missin">
      <formula>NOT(ISERROR(SEARCH("Missin",U75)))</formula>
    </cfRule>
    <cfRule type="containsText" dxfId="227" priority="19" stopIfTrue="1" operator="containsText" text="Cell G10 CANNOT be blank">
      <formula>NOT(ISERROR(SEARCH("Cell G10 CANNOT be blank",U75)))</formula>
    </cfRule>
  </conditionalFormatting>
  <conditionalFormatting sqref="O76 R76 U76">
    <cfRule type="containsText" dxfId="226" priority="16" stopIfTrue="1" operator="containsText" text="Cell G10 CANNOT be blank">
      <formula>NOT(ISERROR(SEARCH("Cell G10 CANNOT be blank",O76)))</formula>
    </cfRule>
  </conditionalFormatting>
  <conditionalFormatting sqref="L76">
    <cfRule type="containsText" dxfId="225" priority="12" stopIfTrue="1" operator="containsText" text="Missin">
      <formula>NOT(ISERROR(SEARCH("Missin",L76)))</formula>
    </cfRule>
    <cfRule type="containsText" dxfId="224" priority="13" stopIfTrue="1" operator="containsText" text="Cell G10 CANNOT be blank">
      <formula>NOT(ISERROR(SEARCH("Cell G10 CANNOT be blank",L76)))</formula>
    </cfRule>
  </conditionalFormatting>
  <conditionalFormatting sqref="J22">
    <cfRule type="containsText" dxfId="223" priority="10" stopIfTrue="1" operator="containsText" text="Missin">
      <formula>NOT(ISERROR(SEARCH("Missin",J22)))</formula>
    </cfRule>
    <cfRule type="containsText" dxfId="222" priority="11" stopIfTrue="1" operator="containsText" text="Cell G10 CANNOT be blank">
      <formula>NOT(ISERROR(SEARCH("Cell G10 CANNOT be blank",J22)))</formula>
    </cfRule>
  </conditionalFormatting>
  <conditionalFormatting sqref="J36">
    <cfRule type="containsText" dxfId="221" priority="8" stopIfTrue="1" operator="containsText" text="Missin">
      <formula>NOT(ISERROR(SEARCH("Missin",J36)))</formula>
    </cfRule>
    <cfRule type="containsText" dxfId="220" priority="9" stopIfTrue="1" operator="containsText" text="Cell G10 CANNOT be blank">
      <formula>NOT(ISERROR(SEARCH("Cell G10 CANNOT be blank",J36)))</formula>
    </cfRule>
  </conditionalFormatting>
  <conditionalFormatting sqref="J49">
    <cfRule type="containsText" dxfId="219" priority="6" stopIfTrue="1" operator="containsText" text="Missin">
      <formula>NOT(ISERROR(SEARCH("Missin",J49)))</formula>
    </cfRule>
    <cfRule type="containsText" dxfId="218" priority="7" stopIfTrue="1" operator="containsText" text="Cell G10 CANNOT be blank">
      <formula>NOT(ISERROR(SEARCH("Cell G10 CANNOT be blank",J49)))</formula>
    </cfRule>
  </conditionalFormatting>
  <conditionalFormatting sqref="J62">
    <cfRule type="containsText" dxfId="217" priority="4" stopIfTrue="1" operator="containsText" text="Missin">
      <formula>NOT(ISERROR(SEARCH("Missin",J62)))</formula>
    </cfRule>
    <cfRule type="containsText" dxfId="216" priority="5" stopIfTrue="1" operator="containsText" text="Cell G10 CANNOT be blank">
      <formula>NOT(ISERROR(SEARCH("Cell G10 CANNOT be blank",J62)))</formula>
    </cfRule>
  </conditionalFormatting>
  <conditionalFormatting sqref="J75">
    <cfRule type="containsText" dxfId="215" priority="2" stopIfTrue="1" operator="containsText" text="Missin">
      <formula>NOT(ISERROR(SEARCH("Missin",J75)))</formula>
    </cfRule>
    <cfRule type="containsText" dxfId="214" priority="3" stopIfTrue="1" operator="containsText" text="Cell G10 CANNOT be blank">
      <formula>NOT(ISERROR(SEARCH("Cell G10 CANNOT be blank",J75)))</formula>
    </cfRule>
  </conditionalFormatting>
  <conditionalFormatting sqref="A7">
    <cfRule type="containsText" dxfId="213" priority="1" stopIfTrue="1" operator="containsText" text="Enter">
      <formula>NOT(ISERROR(SEARCH("Enter",A7)))</formula>
    </cfRule>
  </conditionalFormatting>
  <printOptions horizontalCentered="1"/>
  <pageMargins left="0.25" right="0.25" top="0.75" bottom="0.75" header="0.3" footer="0.3"/>
  <pageSetup scale="52" fitToHeight="2" orientation="landscape" r:id="rId1"/>
  <headerFooter alignWithMargins="0">
    <oddHeader>&amp;RPage &amp;P of &amp;N</oddHeader>
  </headerFooter>
  <rowBreaks count="1" manualBreakCount="1">
    <brk id="50"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theme="4"/>
    <pageSetUpPr fitToPage="1"/>
  </sheetPr>
  <dimension ref="A1:AH88"/>
  <sheetViews>
    <sheetView showGridLines="0" zoomScaleNormal="100" workbookViewId="0">
      <pane xSplit="6" ySplit="6" topLeftCell="G47" activePane="bottomRight" state="frozen"/>
      <selection pane="topRight" activeCell="J13" sqref="J13"/>
      <selection pane="bottomLeft" activeCell="J13" sqref="J13"/>
      <selection pane="bottomRight" activeCell="H53" sqref="H53"/>
    </sheetView>
  </sheetViews>
  <sheetFormatPr defaultRowHeight="12.75"/>
  <cols>
    <col min="1" max="1" width="3.85546875" customWidth="1"/>
    <col min="2" max="2" width="11" customWidth="1"/>
    <col min="3" max="3" width="16.42578125" customWidth="1"/>
    <col min="4" max="4" width="29.7109375" customWidth="1"/>
    <col min="6" max="6" width="13.7109375" customWidth="1"/>
    <col min="7" max="8" width="19.42578125" customWidth="1"/>
    <col min="9" max="9" width="11.28515625" customWidth="1"/>
    <col min="10" max="10" width="18.85546875" customWidth="1"/>
    <col min="11" max="11" width="11.28515625" customWidth="1"/>
    <col min="12" max="12" width="83.5703125" style="1212" customWidth="1"/>
    <col min="13" max="32" width="9.140625" customWidth="1"/>
  </cols>
  <sheetData>
    <row r="1" spans="1:34" s="2" customFormat="1" ht="15.75">
      <c r="A1" s="1636" t="str">
        <f>IF('INTERIM-CERTIFICATION'!$M$1="","CHARTER NAME: Enter Charter Name on INTERIM-CERTIFICATION Worksheet",(CONCATENATE("CHARTER NAME: ",'INTERIM-CERTIFICATION'!$M$1)))</f>
        <v>CHARTER NAME: Encore High School -</v>
      </c>
      <c r="B1" s="1636"/>
      <c r="C1" s="1636"/>
      <c r="D1" s="1636"/>
      <c r="E1" s="1636"/>
      <c r="F1" s="1636"/>
      <c r="G1" s="11"/>
      <c r="H1" s="11"/>
      <c r="I1" s="11"/>
      <c r="J1" s="1"/>
      <c r="K1" s="1"/>
      <c r="L1" s="1212"/>
      <c r="M1"/>
      <c r="N1"/>
      <c r="O1"/>
      <c r="P1"/>
      <c r="Q1"/>
      <c r="R1"/>
      <c r="S1"/>
      <c r="T1"/>
      <c r="U1"/>
      <c r="V1"/>
      <c r="W1"/>
      <c r="X1"/>
      <c r="Y1"/>
      <c r="Z1"/>
      <c r="AA1"/>
      <c r="AB1"/>
      <c r="AC1"/>
      <c r="AD1"/>
      <c r="AE1"/>
      <c r="AF1"/>
      <c r="AG1" s="1"/>
      <c r="AH1" s="1"/>
    </row>
    <row r="2" spans="1:34" s="2" customFormat="1" ht="15.75">
      <c r="A2" s="1636" t="str">
        <f>IF('INTERIM-CERTIFICATION'!$M$2="","CDS #: Enter Charter CDS # on INTERIM-CERTIFICATION Worksheet",(_xlfn.CONCAT("CDS #: ",'INTERIM-CERTIFICATION'!$M$2)))</f>
        <v>CDS #: 35-75044-01166707</v>
      </c>
      <c r="B2" s="1636"/>
      <c r="C2" s="1636"/>
      <c r="D2" s="1636"/>
      <c r="E2" s="1636"/>
      <c r="F2" s="1636"/>
      <c r="G2" s="81"/>
      <c r="H2" s="81"/>
      <c r="I2" s="81"/>
      <c r="J2" s="1"/>
      <c r="K2" s="1"/>
      <c r="L2" s="1212"/>
      <c r="M2"/>
      <c r="N2"/>
      <c r="O2"/>
      <c r="P2"/>
      <c r="Q2"/>
      <c r="R2"/>
      <c r="S2"/>
      <c r="T2"/>
      <c r="U2"/>
      <c r="V2"/>
      <c r="W2"/>
      <c r="X2"/>
      <c r="Y2"/>
      <c r="Z2"/>
      <c r="AA2"/>
      <c r="AB2"/>
      <c r="AC2"/>
      <c r="AD2"/>
      <c r="AE2"/>
      <c r="AF2"/>
      <c r="AG2" s="1"/>
      <c r="AH2" s="1"/>
    </row>
    <row r="3" spans="1:34" s="2" customFormat="1" ht="15.75">
      <c r="A3" s="1636" t="str">
        <f>IF('INTERIM-CERTIFICATION'!$M$5="","CHARTER #: Enter Charter # on INTERIM-CERTIFICATION Worksheet",(_xlfn.CONCAT("CHARTER #: ",'INTERIM-CERTIFICATION'!$M$5)))</f>
        <v>CHARTER #: 971</v>
      </c>
      <c r="B3" s="1636"/>
      <c r="C3" s="1636"/>
      <c r="D3" s="1636"/>
      <c r="E3" s="1636"/>
      <c r="F3" s="1636"/>
      <c r="G3" s="11"/>
      <c r="H3" s="11"/>
      <c r="I3" s="11"/>
      <c r="J3" s="1"/>
      <c r="K3" s="1"/>
      <c r="L3" s="1212"/>
      <c r="M3"/>
      <c r="N3"/>
      <c r="O3"/>
      <c r="P3"/>
      <c r="Q3"/>
      <c r="R3"/>
      <c r="S3"/>
      <c r="T3"/>
      <c r="U3"/>
      <c r="V3"/>
      <c r="W3"/>
      <c r="X3"/>
      <c r="Y3"/>
      <c r="Z3"/>
      <c r="AA3"/>
      <c r="AB3"/>
      <c r="AC3"/>
      <c r="AD3"/>
      <c r="AE3"/>
      <c r="AF3"/>
      <c r="AG3" s="1"/>
      <c r="AH3" s="1"/>
    </row>
    <row r="4" spans="1:34" s="2" customFormat="1" ht="15.75">
      <c r="A4" s="1693" t="str">
        <f>'1st Interim-ADA'!J4</f>
        <v>Fiscal Year 2021-22 First Interim Report</v>
      </c>
      <c r="B4" s="1693"/>
      <c r="C4" s="1693"/>
      <c r="D4" s="1693"/>
      <c r="E4" s="1693"/>
      <c r="F4" s="1693"/>
      <c r="G4" s="1693"/>
      <c r="H4" s="1693"/>
      <c r="I4" s="1693"/>
      <c r="J4" s="1693"/>
      <c r="K4" s="1693"/>
      <c r="L4" s="1212"/>
      <c r="M4"/>
      <c r="N4"/>
      <c r="O4"/>
      <c r="P4"/>
      <c r="Q4"/>
      <c r="R4"/>
      <c r="S4"/>
      <c r="T4"/>
      <c r="U4"/>
      <c r="V4"/>
      <c r="W4"/>
      <c r="X4"/>
      <c r="Y4"/>
      <c r="Z4"/>
      <c r="AA4"/>
      <c r="AB4"/>
      <c r="AC4"/>
      <c r="AD4"/>
      <c r="AE4"/>
      <c r="AF4"/>
      <c r="AG4" s="1"/>
      <c r="AH4" s="1"/>
    </row>
    <row r="5" spans="1:34" s="2" customFormat="1" ht="16.5" thickBot="1">
      <c r="A5" s="1088" t="str">
        <f>Instructions!H1</f>
        <v>Rev. 5/28/2021</v>
      </c>
      <c r="B5" s="266"/>
      <c r="C5" s="266"/>
      <c r="D5" s="11"/>
      <c r="E5" s="11"/>
      <c r="F5" s="11"/>
      <c r="G5" s="11"/>
      <c r="H5" s="11"/>
      <c r="I5" s="11"/>
      <c r="J5" s="1"/>
      <c r="K5" s="11"/>
      <c r="L5" s="1212"/>
      <c r="M5"/>
      <c r="N5"/>
      <c r="O5"/>
      <c r="P5"/>
      <c r="Q5"/>
      <c r="R5"/>
      <c r="S5"/>
      <c r="T5"/>
      <c r="U5"/>
      <c r="V5"/>
      <c r="W5"/>
      <c r="X5"/>
      <c r="Y5"/>
      <c r="Z5"/>
      <c r="AA5"/>
      <c r="AB5"/>
      <c r="AC5"/>
      <c r="AD5"/>
      <c r="AE5"/>
      <c r="AF5"/>
      <c r="AG5" s="1"/>
      <c r="AH5" s="1"/>
    </row>
    <row r="6" spans="1:34" ht="16.5" thickBot="1">
      <c r="A6" s="681" t="s">
        <v>160</v>
      </c>
      <c r="B6" s="682"/>
      <c r="C6" s="682"/>
      <c r="D6" s="682"/>
      <c r="E6" s="682"/>
      <c r="F6" s="683"/>
      <c r="G6" s="280" t="str">
        <f>'Budget-Assumptions'!G6</f>
        <v>2021-22</v>
      </c>
      <c r="H6" s="281" t="str">
        <f>'Budget-Assumptions'!H6</f>
        <v>2022-23</v>
      </c>
      <c r="I6" s="281" t="s">
        <v>161</v>
      </c>
      <c r="J6" s="281" t="str">
        <f>'Budget-Assumptions'!J6</f>
        <v>2023-24</v>
      </c>
      <c r="K6" s="282" t="s">
        <v>161</v>
      </c>
    </row>
    <row r="7" spans="1:34" ht="8.25" customHeight="1">
      <c r="A7" s="331"/>
      <c r="B7" s="1"/>
      <c r="C7" s="1"/>
      <c r="D7" s="1"/>
      <c r="E7" s="1"/>
      <c r="F7" s="1232"/>
      <c r="G7" s="1591"/>
      <c r="H7" s="167"/>
      <c r="I7" s="167"/>
      <c r="J7" s="167"/>
      <c r="K7" s="663"/>
    </row>
    <row r="8" spans="1:34" ht="15.75">
      <c r="A8" s="684" t="s">
        <v>162</v>
      </c>
      <c r="C8" s="154"/>
      <c r="D8" s="154"/>
      <c r="E8" s="154"/>
      <c r="F8" s="662"/>
      <c r="G8" s="664"/>
      <c r="H8" s="664"/>
      <c r="I8" s="652"/>
      <c r="J8" s="664"/>
      <c r="K8" s="653"/>
    </row>
    <row r="9" spans="1:34" ht="15.75">
      <c r="A9" s="67"/>
      <c r="B9" s="141" t="s">
        <v>163</v>
      </c>
      <c r="C9" s="140"/>
      <c r="D9" s="142"/>
      <c r="E9" s="140"/>
      <c r="F9" s="1541"/>
      <c r="G9" s="1542">
        <v>5.0723699999999997E-2</v>
      </c>
      <c r="H9" s="1542">
        <v>2.4799999999999999E-2</v>
      </c>
      <c r="I9" s="487">
        <f>SUM(H9-G9)</f>
        <v>-2.5923699999999997E-2</v>
      </c>
      <c r="J9" s="1543">
        <v>3.1099999999999999E-2</v>
      </c>
      <c r="K9" s="486">
        <f>SUM(J9-H9)</f>
        <v>6.3E-3</v>
      </c>
    </row>
    <row r="10" spans="1:34" ht="15.75" hidden="1" customHeight="1">
      <c r="A10" s="283"/>
      <c r="B10" s="143" t="s">
        <v>164</v>
      </c>
      <c r="C10" s="144"/>
      <c r="D10" s="142"/>
      <c r="E10" s="144"/>
      <c r="F10" s="1541"/>
      <c r="G10" s="1544">
        <v>1</v>
      </c>
      <c r="H10" s="1544">
        <v>1</v>
      </c>
      <c r="I10" s="487">
        <f>SUM(H10-G10)</f>
        <v>0</v>
      </c>
      <c r="J10" s="1543">
        <v>1</v>
      </c>
      <c r="K10" s="486">
        <f>SUM(J10-H10)</f>
        <v>0</v>
      </c>
    </row>
    <row r="11" spans="1:34" ht="15.75">
      <c r="A11" s="283"/>
      <c r="B11" s="143" t="s">
        <v>547</v>
      </c>
      <c r="C11" s="144"/>
      <c r="D11" s="144"/>
      <c r="E11" s="144"/>
      <c r="F11" s="1541"/>
      <c r="G11" s="1545">
        <v>7115528</v>
      </c>
      <c r="H11" s="1546">
        <v>8634091</v>
      </c>
      <c r="I11" s="487">
        <f>SUM(H11-G11)/G11</f>
        <v>0.21341536425687596</v>
      </c>
      <c r="J11" s="1545">
        <v>9025809</v>
      </c>
      <c r="K11" s="486">
        <f>SUM(J11-H11)/H11</f>
        <v>4.5368759722361048E-2</v>
      </c>
    </row>
    <row r="12" spans="1:34" ht="15.75" hidden="1" customHeight="1">
      <c r="A12" s="283"/>
      <c r="B12" s="372" t="s">
        <v>166</v>
      </c>
      <c r="C12" s="144" t="s">
        <v>167</v>
      </c>
      <c r="D12" s="144"/>
      <c r="E12" s="144"/>
      <c r="F12" s="155"/>
      <c r="G12" s="688"/>
      <c r="H12" s="689"/>
      <c r="I12" s="202"/>
      <c r="J12" s="688"/>
      <c r="K12" s="285"/>
    </row>
    <row r="13" spans="1:34" ht="15.75" hidden="1" customHeight="1">
      <c r="A13" s="283"/>
      <c r="B13" s="143"/>
      <c r="C13" s="144" t="s">
        <v>168</v>
      </c>
      <c r="D13" s="144"/>
      <c r="E13" s="144"/>
      <c r="F13" s="155"/>
      <c r="G13" s="688"/>
      <c r="H13" s="689"/>
      <c r="I13" s="202"/>
      <c r="J13" s="688"/>
      <c r="K13" s="285"/>
    </row>
    <row r="14" spans="1:34" ht="15.75">
      <c r="A14" s="283"/>
      <c r="B14" s="332"/>
      <c r="C14" s="332"/>
      <c r="D14" s="332"/>
      <c r="E14" s="332"/>
      <c r="F14" s="665"/>
      <c r="G14" s="666"/>
      <c r="H14" s="667"/>
      <c r="I14" s="493"/>
      <c r="J14" s="668"/>
      <c r="K14" s="669"/>
    </row>
    <row r="15" spans="1:34" ht="15.75">
      <c r="A15" s="684" t="s">
        <v>169</v>
      </c>
      <c r="B15" s="133"/>
      <c r="C15" s="670"/>
      <c r="D15" s="670"/>
      <c r="E15" s="670"/>
      <c r="F15" s="671"/>
      <c r="G15" s="672"/>
      <c r="H15" s="672"/>
      <c r="I15" s="673"/>
      <c r="J15" s="672"/>
      <c r="K15" s="674"/>
    </row>
    <row r="16" spans="1:34" ht="15.75">
      <c r="A16" s="283"/>
      <c r="B16" s="143" t="s">
        <v>170</v>
      </c>
      <c r="C16" s="144"/>
      <c r="D16" s="144"/>
      <c r="E16" s="144"/>
      <c r="F16" s="1541"/>
      <c r="G16" s="1545">
        <v>163</v>
      </c>
      <c r="H16" s="1545">
        <v>163</v>
      </c>
      <c r="I16" s="1552">
        <f>SUM(H16-G16)</f>
        <v>0</v>
      </c>
      <c r="J16" s="1545">
        <v>163</v>
      </c>
      <c r="K16" s="1553">
        <f>SUM(J16-H16)</f>
        <v>0</v>
      </c>
    </row>
    <row r="17" spans="1:11" ht="15.75">
      <c r="A17" s="283"/>
      <c r="B17" s="143" t="s">
        <v>171</v>
      </c>
      <c r="C17" s="144"/>
      <c r="D17" s="144"/>
      <c r="E17" s="144"/>
      <c r="F17" s="1541"/>
      <c r="G17" s="1545">
        <v>65</v>
      </c>
      <c r="H17" s="1545">
        <v>65</v>
      </c>
      <c r="I17" s="1552">
        <f>SUM(H17-G17)</f>
        <v>0</v>
      </c>
      <c r="J17" s="1545">
        <v>65</v>
      </c>
      <c r="K17" s="1553">
        <f>SUM(J17-H17)</f>
        <v>0</v>
      </c>
    </row>
    <row r="18" spans="1:11" ht="15.75">
      <c r="A18" s="283"/>
      <c r="B18" s="332"/>
      <c r="C18" s="332"/>
      <c r="D18" s="332"/>
      <c r="E18" s="332"/>
      <c r="F18" s="665"/>
      <c r="G18" s="666"/>
      <c r="H18" s="667"/>
      <c r="I18" s="493"/>
      <c r="J18" s="668"/>
      <c r="K18" s="669"/>
    </row>
    <row r="19" spans="1:11" ht="15.75">
      <c r="A19" s="685" t="s">
        <v>172</v>
      </c>
      <c r="C19" s="165"/>
      <c r="D19" s="165"/>
      <c r="E19" s="165"/>
      <c r="F19" s="662"/>
      <c r="G19" s="675"/>
      <c r="H19" s="675"/>
      <c r="I19" s="550"/>
      <c r="J19" s="676"/>
      <c r="K19" s="551"/>
    </row>
    <row r="20" spans="1:11" ht="15.75">
      <c r="A20" s="283"/>
      <c r="B20" s="143" t="s">
        <v>173</v>
      </c>
      <c r="C20" s="144"/>
      <c r="D20" s="144"/>
      <c r="E20" s="144"/>
      <c r="F20" s="1554"/>
      <c r="G20" s="1555">
        <f>'1st Interim-ADA'!N75</f>
        <v>671.16</v>
      </c>
      <c r="H20" s="1556">
        <f>'1st Interim-ADA'!Q75</f>
        <v>796.07999999999993</v>
      </c>
      <c r="I20" s="1557">
        <f>H20-G20</f>
        <v>124.91999999999996</v>
      </c>
      <c r="J20" s="1556">
        <f>'1st Interim-ADA'!T75</f>
        <v>796.07999999999993</v>
      </c>
      <c r="K20" s="1568">
        <f>J20-H20</f>
        <v>0</v>
      </c>
    </row>
    <row r="21" spans="1:11" ht="51" customHeight="1">
      <c r="A21" s="283"/>
      <c r="B21" s="651" t="s">
        <v>174</v>
      </c>
      <c r="C21" s="144"/>
      <c r="D21" s="144"/>
      <c r="E21" s="144"/>
      <c r="F21" s="1554"/>
      <c r="G21" s="1558">
        <f>IF(('1st Interim-ADA'!O75="Cell G10 CANNOT be blank"), "Missing Data 1st Interim-ADA Tab, cell G10",'1st Interim-ADA'!O75)</f>
        <v>671.16</v>
      </c>
      <c r="H21" s="1558">
        <f>IF(('1st Interim-ADA'!R75="Cell G10 CANNOT be blank"), "Missing Data 1st Interim-ADA Tab, cell G10",'1st Interim-ADA'!R75)</f>
        <v>796.07999999999993</v>
      </c>
      <c r="I21" s="1557">
        <f>H21-G21</f>
        <v>124.91999999999996</v>
      </c>
      <c r="J21" s="1558">
        <f>IF(('1st Interim-ADA'!U75="Cell G10 CANNOT be blank"), "Missing Data 1st Interim-ADA Tab, cell G10",'1st Interim-ADA'!U75)</f>
        <v>796.07999999999993</v>
      </c>
      <c r="K21" s="1568">
        <f>J21-H21</f>
        <v>0</v>
      </c>
    </row>
    <row r="22" spans="1:11" ht="15.75">
      <c r="A22" s="283"/>
      <c r="B22" s="143" t="s">
        <v>175</v>
      </c>
      <c r="C22" s="144"/>
      <c r="D22" s="144"/>
      <c r="E22" s="144"/>
      <c r="F22" s="1554"/>
      <c r="G22" s="1559">
        <f>'1st Interim-ADA'!O74</f>
        <v>0</v>
      </c>
      <c r="H22" s="1556">
        <f>'1st Interim-ADA'!R74</f>
        <v>0</v>
      </c>
      <c r="I22" s="1557">
        <f>H22-G22</f>
        <v>0</v>
      </c>
      <c r="J22" s="1556">
        <f>'1st Interim-ADA'!U74</f>
        <v>0</v>
      </c>
      <c r="K22" s="1568">
        <f>J22-H22</f>
        <v>0</v>
      </c>
    </row>
    <row r="23" spans="1:11" ht="15.75">
      <c r="A23" s="67"/>
      <c r="B23" s="146" t="s">
        <v>176</v>
      </c>
      <c r="C23" s="140"/>
      <c r="D23" s="140"/>
      <c r="E23" s="140"/>
      <c r="F23" s="1554"/>
      <c r="G23" s="1560">
        <f>SUM(G21:G22)</f>
        <v>671.16</v>
      </c>
      <c r="H23" s="1560">
        <f>SUM(H21:H22)</f>
        <v>796.07999999999993</v>
      </c>
      <c r="I23" s="1557">
        <f>H23-G23</f>
        <v>124.91999999999996</v>
      </c>
      <c r="J23" s="1560">
        <f>SUM(J21:J22)</f>
        <v>796.07999999999993</v>
      </c>
      <c r="K23" s="1568">
        <f>J23-H23</f>
        <v>0</v>
      </c>
    </row>
    <row r="24" spans="1:11" ht="15.75">
      <c r="A24" s="284"/>
      <c r="B24" s="147" t="s">
        <v>177</v>
      </c>
      <c r="C24" s="148"/>
      <c r="D24" s="148"/>
      <c r="E24" s="149" t="s">
        <v>178</v>
      </c>
      <c r="F24" s="1561">
        <v>858</v>
      </c>
      <c r="G24" s="1562">
        <v>722</v>
      </c>
      <c r="H24" s="1562">
        <v>856</v>
      </c>
      <c r="I24" s="1557">
        <f>H24-G24</f>
        <v>134</v>
      </c>
      <c r="J24" s="1562">
        <v>856</v>
      </c>
      <c r="K24" s="1568">
        <f>J24-H24</f>
        <v>0</v>
      </c>
    </row>
    <row r="25" spans="1:11" ht="15.75">
      <c r="A25" s="284"/>
      <c r="B25" s="147" t="s">
        <v>179</v>
      </c>
      <c r="C25" s="148"/>
      <c r="D25" s="148"/>
      <c r="E25" s="151"/>
      <c r="F25" s="1563"/>
      <c r="G25" s="487">
        <f>(G24-F24)/F24</f>
        <v>-0.1585081585081585</v>
      </c>
      <c r="H25" s="487">
        <f>(H24-G24)/G24</f>
        <v>0.18559556786703602</v>
      </c>
      <c r="I25" s="1550" t="s">
        <v>103</v>
      </c>
      <c r="J25" s="487">
        <f>(J24-H24)/H24</f>
        <v>0</v>
      </c>
      <c r="K25" s="1551" t="s">
        <v>103</v>
      </c>
    </row>
    <row r="26" spans="1:11" ht="15.75">
      <c r="A26" s="284"/>
      <c r="B26" s="147" t="s">
        <v>180</v>
      </c>
      <c r="C26" s="148"/>
      <c r="D26" s="148"/>
      <c r="E26" s="218" t="str">
        <f>'1st Interim-ADA'!$I$7</f>
        <v>2020-21</v>
      </c>
      <c r="F26" s="1564">
        <f>'1st Interim-ADA'!$J$76/F24</f>
        <v>1.0481002331002331</v>
      </c>
      <c r="G26" s="487">
        <f>G23/G24</f>
        <v>0.92958448753462597</v>
      </c>
      <c r="H26" s="487">
        <f>H23/H24</f>
        <v>0.92999999999999994</v>
      </c>
      <c r="I26" s="1550" t="s">
        <v>103</v>
      </c>
      <c r="J26" s="487">
        <f>J23/J24</f>
        <v>0.92999999999999994</v>
      </c>
      <c r="K26" s="1551" t="s">
        <v>103</v>
      </c>
    </row>
    <row r="27" spans="1:11" ht="15.75">
      <c r="A27" s="284"/>
      <c r="B27" s="147" t="s">
        <v>181</v>
      </c>
      <c r="C27" s="148"/>
      <c r="D27" s="148"/>
      <c r="E27" s="149" t="s">
        <v>182</v>
      </c>
      <c r="F27" s="1561">
        <v>466</v>
      </c>
      <c r="G27" s="1562">
        <v>365</v>
      </c>
      <c r="H27" s="1562">
        <v>509</v>
      </c>
      <c r="I27" s="1557">
        <f>H27-G27</f>
        <v>144</v>
      </c>
      <c r="J27" s="1562">
        <v>509</v>
      </c>
      <c r="K27" s="1568">
        <f>J27-H27</f>
        <v>0</v>
      </c>
    </row>
    <row r="28" spans="1:11" ht="16.5">
      <c r="A28" s="284"/>
      <c r="B28" s="147" t="s">
        <v>183</v>
      </c>
      <c r="C28" s="148"/>
      <c r="D28" s="148"/>
      <c r="E28" s="218" t="str">
        <f>E26</f>
        <v>2020-21</v>
      </c>
      <c r="F28" s="1442">
        <v>0.57840000000000003</v>
      </c>
      <c r="G28" s="1565">
        <v>0.54959999999999998</v>
      </c>
      <c r="H28" s="1565">
        <v>0.55010000000000003</v>
      </c>
      <c r="I28" s="1550"/>
      <c r="J28" s="1565">
        <v>0.55010000000000003</v>
      </c>
      <c r="K28" s="1551" t="s">
        <v>103</v>
      </c>
    </row>
    <row r="29" spans="1:11" ht="15.75">
      <c r="A29" s="283"/>
      <c r="B29" s="332"/>
      <c r="C29" s="332"/>
      <c r="D29" s="332"/>
      <c r="E29" s="332"/>
      <c r="F29" s="1232"/>
      <c r="G29" s="666"/>
      <c r="H29" s="667"/>
      <c r="I29" s="493"/>
      <c r="J29" s="668"/>
      <c r="K29" s="669"/>
    </row>
    <row r="30" spans="1:11" ht="15.75">
      <c r="A30" s="686" t="s">
        <v>184</v>
      </c>
      <c r="C30" s="154"/>
      <c r="D30" s="154"/>
      <c r="E30" s="154"/>
      <c r="F30" s="151"/>
      <c r="G30" s="1349"/>
      <c r="H30" s="1349"/>
      <c r="I30" s="550"/>
      <c r="J30" s="677"/>
      <c r="K30" s="551"/>
    </row>
    <row r="31" spans="1:11" ht="15.75">
      <c r="A31" s="67"/>
      <c r="B31" s="146" t="s">
        <v>185</v>
      </c>
      <c r="C31" s="140"/>
      <c r="D31" s="140"/>
      <c r="E31" s="140"/>
      <c r="F31" s="1554"/>
      <c r="G31" s="1566">
        <v>30.2</v>
      </c>
      <c r="H31" s="1566">
        <v>31</v>
      </c>
      <c r="I31" s="1557">
        <f>H31-G31</f>
        <v>0.80000000000000071</v>
      </c>
      <c r="J31" s="1567">
        <v>31</v>
      </c>
      <c r="K31" s="1568">
        <f>J31-H31</f>
        <v>0</v>
      </c>
    </row>
    <row r="32" spans="1:11" ht="15.75">
      <c r="A32" s="67"/>
      <c r="B32" s="146" t="s">
        <v>186</v>
      </c>
      <c r="C32" s="140"/>
      <c r="D32" s="140"/>
      <c r="E32" s="140"/>
      <c r="F32" s="1569"/>
      <c r="G32" s="1566">
        <v>2</v>
      </c>
      <c r="H32" s="1566">
        <v>3</v>
      </c>
      <c r="I32" s="1557">
        <f>SUM(H32-G32)</f>
        <v>1</v>
      </c>
      <c r="J32" s="1567">
        <v>3</v>
      </c>
      <c r="K32" s="1568">
        <f>SUM(J32-H32)</f>
        <v>0</v>
      </c>
    </row>
    <row r="33" spans="1:11" ht="15.75">
      <c r="A33" s="67"/>
      <c r="B33" s="146" t="s">
        <v>187</v>
      </c>
      <c r="C33" s="140"/>
      <c r="D33" s="140"/>
      <c r="E33" s="140"/>
      <c r="F33" s="1569"/>
      <c r="G33" s="1570">
        <v>4</v>
      </c>
      <c r="H33" s="1570">
        <v>3</v>
      </c>
      <c r="I33" s="1557">
        <f>SUM(H33-G33)</f>
        <v>-1</v>
      </c>
      <c r="J33" s="1567">
        <v>3</v>
      </c>
      <c r="K33" s="1568">
        <f>SUM(J33-H33)</f>
        <v>0</v>
      </c>
    </row>
    <row r="34" spans="1:11" ht="15.75">
      <c r="A34" s="284"/>
      <c r="B34" s="150" t="s">
        <v>188</v>
      </c>
      <c r="C34" s="140"/>
      <c r="D34" s="148"/>
      <c r="E34" s="148"/>
      <c r="F34" s="1569"/>
      <c r="G34" s="1557">
        <f>G24/G31</f>
        <v>23.90728476821192</v>
      </c>
      <c r="H34" s="1557">
        <f>H24/H31</f>
        <v>27.612903225806452</v>
      </c>
      <c r="I34" s="1557">
        <f>H34-G34</f>
        <v>3.7056184575945323</v>
      </c>
      <c r="J34" s="1557">
        <f>J24/J31</f>
        <v>27.612903225806452</v>
      </c>
      <c r="K34" s="1568">
        <f>J34-H34</f>
        <v>0</v>
      </c>
    </row>
    <row r="35" spans="1:11" ht="15.75">
      <c r="A35" s="67"/>
      <c r="B35" s="146" t="s">
        <v>189</v>
      </c>
      <c r="C35" s="140"/>
      <c r="D35" s="140"/>
      <c r="E35" s="140"/>
      <c r="F35" s="1554"/>
      <c r="G35" s="1571"/>
      <c r="H35" s="1571"/>
      <c r="I35" s="1557">
        <f>H35-G35</f>
        <v>0</v>
      </c>
      <c r="J35" s="1571"/>
      <c r="K35" s="1568">
        <f>J35-H35</f>
        <v>0</v>
      </c>
    </row>
    <row r="36" spans="1:11" ht="15.75">
      <c r="A36" s="67"/>
      <c r="B36" s="141" t="s">
        <v>190</v>
      </c>
      <c r="C36" s="140"/>
      <c r="D36" s="140"/>
      <c r="E36" s="140"/>
      <c r="F36" s="1554"/>
      <c r="G36" s="1572">
        <v>69970.336887417245</v>
      </c>
      <c r="H36" s="1572">
        <v>72069.446994039768</v>
      </c>
      <c r="I36" s="631">
        <f>IF(G36&lt;1," ",IF(H36&lt;1," ",(H36-G36)/G36))</f>
        <v>3.0000000000000093E-2</v>
      </c>
      <c r="J36" s="1572">
        <v>74231.530403860961</v>
      </c>
      <c r="K36" s="486">
        <f>IF(H36&lt;1," ",IF(J36&lt;1," ",(J36-H36)/H36))</f>
        <v>2.9999999999999995E-2</v>
      </c>
    </row>
    <row r="37" spans="1:11" ht="15.75">
      <c r="A37" s="67"/>
      <c r="B37" s="141" t="s">
        <v>191</v>
      </c>
      <c r="C37" s="140"/>
      <c r="D37" s="140"/>
      <c r="E37" s="140"/>
      <c r="F37" s="1554"/>
      <c r="G37" s="1572">
        <v>123200</v>
      </c>
      <c r="H37" s="1572">
        <v>126896</v>
      </c>
      <c r="I37" s="631">
        <f>IF(G37&lt;1," ",IF(H37&lt;1," ",(H37-G37)/G37))</f>
        <v>0.03</v>
      </c>
      <c r="J37" s="1572">
        <v>130702.88</v>
      </c>
      <c r="K37" s="486">
        <f>IF(H37&lt;1," ",IF(J37&lt;1," ",(J37-H37)/H37))</f>
        <v>3.0000000000000037E-2</v>
      </c>
    </row>
    <row r="38" spans="1:11" ht="15.75">
      <c r="A38" s="67"/>
      <c r="B38" s="141" t="s">
        <v>192</v>
      </c>
      <c r="C38" s="140"/>
      <c r="D38" s="140"/>
      <c r="E38" s="140"/>
      <c r="F38" s="1554"/>
      <c r="G38" s="1572">
        <v>96733.666666666672</v>
      </c>
      <c r="H38" s="1572">
        <v>99635.676666666681</v>
      </c>
      <c r="I38" s="631">
        <f>IF(G38&lt;1," ",IF(H38&lt;1," ",(H38-G38)/G38))</f>
        <v>3.0000000000000096E-2</v>
      </c>
      <c r="J38" s="1572">
        <v>102624.74696666669</v>
      </c>
      <c r="K38" s="486">
        <f>IF(H38&lt;1," ",IF(J38&lt;1," ",(J38-H38)/H38))</f>
        <v>3.0000000000000061E-2</v>
      </c>
    </row>
    <row r="39" spans="1:11" ht="15.75">
      <c r="A39" s="67"/>
      <c r="B39" s="146" t="s">
        <v>193</v>
      </c>
      <c r="C39" s="140"/>
      <c r="D39" s="140"/>
      <c r="E39" s="140"/>
      <c r="F39" s="1554"/>
      <c r="G39" s="1572"/>
      <c r="H39" s="1572"/>
      <c r="I39" s="487" t="str">
        <f>IF(H39&lt;1," ",IF(G39&lt;1," ",(H39-G39)/G39))</f>
        <v xml:space="preserve"> </v>
      </c>
      <c r="J39" s="1572"/>
      <c r="K39" s="486" t="str">
        <f>IF(J39&lt;1," ",IF(H39&lt;1," ",(J39-H39)/H39))</f>
        <v xml:space="preserve"> </v>
      </c>
    </row>
    <row r="40" spans="1:11" ht="15.75">
      <c r="A40" s="67"/>
      <c r="B40" s="146" t="s">
        <v>194</v>
      </c>
      <c r="C40" s="140"/>
      <c r="D40" s="140"/>
      <c r="E40" s="140"/>
      <c r="F40" s="1554"/>
      <c r="G40" s="1572">
        <v>10023.948066298342</v>
      </c>
      <c r="H40" s="1572">
        <v>10324.666508287293</v>
      </c>
      <c r="I40" s="487">
        <f>IF(H40&lt;1," ",IF(G40&lt;1," ",(H40-G40)/G40))</f>
        <v>3.0000000000000061E-2</v>
      </c>
      <c r="J40" s="1572">
        <v>10634.406503535913</v>
      </c>
      <c r="K40" s="486">
        <f>IF(J40&lt;1," ",IF(H40&lt;1," ",(J40-H40)/H40))</f>
        <v>3.0000000000000058E-2</v>
      </c>
    </row>
    <row r="41" spans="1:11" ht="15.75">
      <c r="A41" s="67"/>
      <c r="B41" s="141" t="s">
        <v>195</v>
      </c>
      <c r="C41" s="140"/>
      <c r="D41" s="140"/>
      <c r="E41" s="140"/>
      <c r="F41" s="1554"/>
      <c r="G41" s="1572">
        <v>13210.878432729278</v>
      </c>
      <c r="H41" s="1572">
        <v>13607.204785711156</v>
      </c>
      <c r="I41" s="487">
        <f>IF(H41&lt;1," ",IF(G41&lt;1," ",(H41-G41)/G41))</f>
        <v>2.9999999999999957E-2</v>
      </c>
      <c r="J41" s="1572">
        <v>14015.420929282491</v>
      </c>
      <c r="K41" s="486">
        <f>IF(J41&lt;1," ",IF(H41&lt;1," ",(J41-H41)/H41))</f>
        <v>3.0000000000000034E-2</v>
      </c>
    </row>
    <row r="42" spans="1:11" ht="15.75">
      <c r="A42" s="67"/>
      <c r="B42" s="141" t="s">
        <v>196</v>
      </c>
      <c r="C42" s="140"/>
      <c r="D42" s="140"/>
      <c r="E42" s="140"/>
      <c r="F42" s="1554"/>
      <c r="G42" s="1362">
        <v>0.16919999999999999</v>
      </c>
      <c r="H42" s="1362">
        <v>0.191</v>
      </c>
      <c r="I42" s="487">
        <f>H42-G42</f>
        <v>2.1800000000000014E-2</v>
      </c>
      <c r="J42" s="1362">
        <v>0.191</v>
      </c>
      <c r="K42" s="486">
        <f>J42-H42</f>
        <v>0</v>
      </c>
    </row>
    <row r="43" spans="1:11" ht="9" customHeight="1">
      <c r="A43" s="67"/>
      <c r="B43" s="1310"/>
      <c r="C43" s="152"/>
      <c r="D43" s="152"/>
      <c r="E43" s="152"/>
      <c r="F43" s="1311"/>
      <c r="G43" s="1312"/>
      <c r="H43" s="1312"/>
      <c r="I43" s="1313"/>
      <c r="J43" s="1312"/>
      <c r="K43" s="1582"/>
    </row>
    <row r="44" spans="1:11" ht="15.75">
      <c r="A44" s="67"/>
      <c r="B44" s="1688" t="s">
        <v>197</v>
      </c>
      <c r="C44" s="1688"/>
      <c r="D44" s="1688"/>
      <c r="E44" s="1688"/>
      <c r="F44" s="1688"/>
      <c r="G44" s="1688"/>
      <c r="H44" s="1688"/>
      <c r="I44" s="1688"/>
      <c r="J44" s="1688"/>
      <c r="K44" s="1689"/>
    </row>
    <row r="45" spans="1:11" ht="87.75" customHeight="1">
      <c r="A45" s="67"/>
      <c r="B45" s="1690"/>
      <c r="C45" s="1691"/>
      <c r="D45" s="1691"/>
      <c r="E45" s="1691"/>
      <c r="F45" s="1691"/>
      <c r="G45" s="1691"/>
      <c r="H45" s="1691"/>
      <c r="I45" s="1691"/>
      <c r="J45" s="1691"/>
      <c r="K45" s="1692"/>
    </row>
    <row r="46" spans="1:11" ht="15.75">
      <c r="A46" s="283"/>
      <c r="B46" s="1231"/>
      <c r="C46" s="1231"/>
      <c r="D46" s="1231"/>
      <c r="E46" s="1231"/>
      <c r="F46" s="1232"/>
      <c r="G46" s="1233"/>
      <c r="H46" s="1234"/>
      <c r="I46" s="1052"/>
      <c r="J46" s="1235"/>
      <c r="K46" s="312"/>
    </row>
    <row r="47" spans="1:11" ht="15.75">
      <c r="A47" s="686" t="s">
        <v>198</v>
      </c>
      <c r="C47" s="154"/>
      <c r="D47" s="154"/>
      <c r="E47" s="154"/>
      <c r="F47" s="151"/>
      <c r="G47" s="1349"/>
      <c r="H47" s="1349"/>
      <c r="I47" s="550"/>
      <c r="J47" s="677"/>
      <c r="K47" s="551"/>
    </row>
    <row r="48" spans="1:11" ht="15.75">
      <c r="A48" s="67"/>
      <c r="B48" s="146" t="s">
        <v>199</v>
      </c>
      <c r="C48" s="140"/>
      <c r="D48" s="140"/>
      <c r="E48" s="140"/>
      <c r="F48" s="1554"/>
      <c r="G48" s="1566">
        <v>6</v>
      </c>
      <c r="H48" s="1566">
        <v>7</v>
      </c>
      <c r="I48" s="1557">
        <f>SUM(H48-G48)</f>
        <v>1</v>
      </c>
      <c r="J48" s="1567">
        <v>8</v>
      </c>
      <c r="K48" s="1568">
        <f>SUM(J48-H48)</f>
        <v>1</v>
      </c>
    </row>
    <row r="49" spans="1:13" ht="15.75">
      <c r="A49" s="67"/>
      <c r="B49" s="146" t="s">
        <v>200</v>
      </c>
      <c r="C49" s="140"/>
      <c r="D49" s="140"/>
      <c r="E49" s="140"/>
      <c r="F49" s="1554"/>
      <c r="G49" s="1566">
        <v>38.200000000000003</v>
      </c>
      <c r="H49" s="1566">
        <v>39</v>
      </c>
      <c r="I49" s="1557">
        <f>SUM(H49-G49)</f>
        <v>0.79999999999999716</v>
      </c>
      <c r="J49" s="1567">
        <v>40</v>
      </c>
      <c r="K49" s="1568">
        <f>SUM(J49-H49)</f>
        <v>1</v>
      </c>
    </row>
    <row r="50" spans="1:13" ht="15.75">
      <c r="A50" s="67"/>
      <c r="B50" s="141" t="s">
        <v>201</v>
      </c>
      <c r="C50" s="140"/>
      <c r="D50" s="140"/>
      <c r="E50" s="140"/>
      <c r="F50" s="1554"/>
      <c r="G50" s="1572">
        <v>93668.977499999994</v>
      </c>
      <c r="H50" s="1572">
        <v>96479.046824999998</v>
      </c>
      <c r="I50" s="631">
        <f>IF(G50&lt;1," ",IF(H50&lt;1," ",(H50-G50)/G50))</f>
        <v>3.0000000000000044E-2</v>
      </c>
      <c r="J50" s="1572">
        <v>99373.418229749994</v>
      </c>
      <c r="K50" s="486">
        <f>IF(H50&lt;1," ",IF(J50&lt;1," ",(J50-H50)/H50))</f>
        <v>2.9999999999999961E-2</v>
      </c>
    </row>
    <row r="51" spans="1:13" ht="15.75">
      <c r="A51" s="67"/>
      <c r="B51" s="141" t="s">
        <v>202</v>
      </c>
      <c r="C51" s="140"/>
      <c r="D51" s="140"/>
      <c r="E51" s="140"/>
      <c r="F51" s="1554"/>
      <c r="G51" s="1572">
        <v>46735.251308900515</v>
      </c>
      <c r="H51" s="1572">
        <v>48137.30884816753</v>
      </c>
      <c r="I51" s="631">
        <f>IF(G51&lt;1," ",IF(H51&lt;1," ",(H51-G51)/G51))</f>
        <v>2.9999999999999978E-2</v>
      </c>
      <c r="J51" s="1572">
        <v>49581.428113612557</v>
      </c>
      <c r="K51" s="486">
        <f>IF(H51&lt;1," ",IF(J51&lt;1," ",(J51-H51)/H51))</f>
        <v>3.0000000000000041E-2</v>
      </c>
    </row>
    <row r="52" spans="1:13" ht="15.75">
      <c r="A52" s="67"/>
      <c r="B52" s="146" t="s">
        <v>203</v>
      </c>
      <c r="C52" s="140"/>
      <c r="D52" s="140"/>
      <c r="E52" s="140"/>
      <c r="F52" s="1554"/>
      <c r="G52" s="1572"/>
      <c r="H52" s="1572"/>
      <c r="I52" s="487" t="str">
        <f>IF(G52&lt;1," ",IF(H52&lt;1," ",(H52-G52)/G52))</f>
        <v xml:space="preserve"> </v>
      </c>
      <c r="J52" s="1572"/>
      <c r="K52" s="486" t="str">
        <f>IF(H52&lt;1," ",IF(J52&lt;1," ",(J52-H52)/H52))</f>
        <v xml:space="preserve"> </v>
      </c>
    </row>
    <row r="53" spans="1:13" ht="15.75">
      <c r="A53" s="67"/>
      <c r="B53" s="146" t="s">
        <v>204</v>
      </c>
      <c r="C53" s="140"/>
      <c r="D53" s="140"/>
      <c r="E53" s="140"/>
      <c r="F53" s="1554"/>
      <c r="G53" s="1572">
        <v>7640.0524886877811</v>
      </c>
      <c r="H53" s="1572">
        <v>7869.254063348415</v>
      </c>
      <c r="I53" s="487">
        <f>IF(G53&lt;1," ",IF(H53&lt;1," ",(H53-G53)/G53))</f>
        <v>3.0000000000000065E-2</v>
      </c>
      <c r="J53" s="1572">
        <v>8105.3316852488679</v>
      </c>
      <c r="K53" s="486">
        <f>IF(H53&lt;1," ",IF(J53&lt;1," ",(J53-H53)/H53))</f>
        <v>3.0000000000000054E-2</v>
      </c>
    </row>
    <row r="54" spans="1:13" ht="15.75">
      <c r="A54" s="67"/>
      <c r="B54" s="141" t="s">
        <v>205</v>
      </c>
      <c r="C54" s="140"/>
      <c r="D54" s="140"/>
      <c r="E54" s="140"/>
      <c r="F54" s="1554"/>
      <c r="G54" s="1572">
        <v>12166.663722432128</v>
      </c>
      <c r="H54" s="1572">
        <v>12531.663634105093</v>
      </c>
      <c r="I54" s="487">
        <f>IF(G54&lt;1," ",IF(H54&lt;1," ",(H54-G54)/G54))</f>
        <v>3.00000000000001E-2</v>
      </c>
      <c r="J54" s="1572">
        <v>12907.613543128246</v>
      </c>
      <c r="K54" s="486">
        <f>IF(H54&lt;1," ",IF(J54&lt;1," ",(J54-H54)/H54))</f>
        <v>3.0000000000000013E-2</v>
      </c>
    </row>
    <row r="55" spans="1:13" ht="15.75">
      <c r="A55" s="67"/>
      <c r="B55" s="141" t="s">
        <v>206</v>
      </c>
      <c r="C55" s="140"/>
      <c r="D55" s="140"/>
      <c r="E55" s="140"/>
      <c r="F55" s="1554"/>
      <c r="G55" s="1362">
        <v>0.2291</v>
      </c>
      <c r="H55" s="1362">
        <v>0.26100000000000001</v>
      </c>
      <c r="I55" s="487">
        <f>H55-G55</f>
        <v>3.1900000000000012E-2</v>
      </c>
      <c r="J55" s="1362">
        <v>0.27100000000000002</v>
      </c>
      <c r="K55" s="486">
        <f>J55-H55</f>
        <v>1.0000000000000009E-2</v>
      </c>
    </row>
    <row r="56" spans="1:13" ht="5.25" customHeight="1">
      <c r="A56" s="67"/>
      <c r="B56" s="1310"/>
      <c r="C56" s="152"/>
      <c r="D56" s="152"/>
      <c r="E56" s="152"/>
      <c r="F56" s="1311"/>
      <c r="G56" s="1312"/>
      <c r="H56" s="1312"/>
      <c r="I56" s="1313"/>
      <c r="J56" s="1312"/>
      <c r="K56" s="1582"/>
    </row>
    <row r="57" spans="1:13" ht="12.75" customHeight="1">
      <c r="A57" s="67"/>
      <c r="B57" s="1688" t="s">
        <v>197</v>
      </c>
      <c r="C57" s="1688"/>
      <c r="D57" s="1688"/>
      <c r="E57" s="1688"/>
      <c r="F57" s="1688"/>
      <c r="G57" s="1688"/>
      <c r="H57" s="1688"/>
      <c r="I57" s="1688"/>
      <c r="J57" s="1688"/>
      <c r="K57" s="1689"/>
    </row>
    <row r="58" spans="1:13" ht="89.25" customHeight="1">
      <c r="A58" s="67"/>
      <c r="B58" s="1690"/>
      <c r="C58" s="1691"/>
      <c r="D58" s="1691"/>
      <c r="E58" s="1691"/>
      <c r="F58" s="1691"/>
      <c r="G58" s="1691"/>
      <c r="H58" s="1691"/>
      <c r="I58" s="1691"/>
      <c r="J58" s="1691"/>
      <c r="K58" s="1692"/>
    </row>
    <row r="59" spans="1:13">
      <c r="A59" s="238"/>
      <c r="H59" s="1583"/>
      <c r="J59" s="1583"/>
      <c r="K59" s="470"/>
    </row>
    <row r="60" spans="1:13" ht="15.75">
      <c r="A60" s="686" t="s">
        <v>207</v>
      </c>
      <c r="K60" s="470"/>
      <c r="M60" s="1309"/>
    </row>
    <row r="61" spans="1:13" ht="15.75">
      <c r="A61" s="238"/>
      <c r="B61" s="1272" t="s">
        <v>208</v>
      </c>
      <c r="C61" s="1273"/>
      <c r="D61" s="145"/>
      <c r="E61" s="145"/>
      <c r="F61" s="1554"/>
      <c r="G61" s="1573">
        <v>6.2E-2</v>
      </c>
      <c r="H61" s="1362">
        <v>6.2E-2</v>
      </c>
      <c r="I61" s="487">
        <f>H61-G61</f>
        <v>0</v>
      </c>
      <c r="J61" s="1362">
        <v>6.2E-2</v>
      </c>
      <c r="K61" s="486">
        <f>J61-H61</f>
        <v>0</v>
      </c>
      <c r="M61" s="1309"/>
    </row>
    <row r="62" spans="1:13" ht="15.75">
      <c r="A62" s="238"/>
      <c r="B62" s="1272" t="s">
        <v>209</v>
      </c>
      <c r="C62" s="145"/>
      <c r="D62" s="145"/>
      <c r="E62" s="145"/>
      <c r="F62" s="1554"/>
      <c r="G62" s="1573">
        <v>1.4500000000000001E-2</v>
      </c>
      <c r="H62" s="1362">
        <v>1.4500000000000001E-2</v>
      </c>
      <c r="I62" s="487">
        <f>H62-G62</f>
        <v>0</v>
      </c>
      <c r="J62" s="1362">
        <v>1.4500000000000001E-2</v>
      </c>
      <c r="K62" s="486">
        <f>J62-H62</f>
        <v>0</v>
      </c>
      <c r="M62" s="1309"/>
    </row>
    <row r="63" spans="1:13" ht="15.75">
      <c r="A63" s="238"/>
      <c r="B63" s="1272" t="s">
        <v>210</v>
      </c>
      <c r="C63" s="145"/>
      <c r="D63" s="145"/>
      <c r="E63" s="145"/>
      <c r="F63" s="1554"/>
      <c r="G63" s="1433">
        <v>5.0000000000000001E-3</v>
      </c>
      <c r="H63" s="1362">
        <v>5.0000000000000001E-3</v>
      </c>
      <c r="I63" s="487">
        <f>H63-G63</f>
        <v>0</v>
      </c>
      <c r="J63" s="1362">
        <v>5.0000000000000001E-3</v>
      </c>
      <c r="K63" s="486">
        <f>J63-H63</f>
        <v>0</v>
      </c>
      <c r="M63" s="1309"/>
    </row>
    <row r="64" spans="1:13" ht="15.75">
      <c r="A64" s="238"/>
      <c r="B64" s="1272" t="s">
        <v>211</v>
      </c>
      <c r="C64" s="145"/>
      <c r="D64" s="145"/>
      <c r="E64" s="145"/>
      <c r="F64" s="1554"/>
      <c r="G64" s="1599">
        <v>2.3E-2</v>
      </c>
      <c r="H64" s="1599">
        <v>2.3E-2</v>
      </c>
      <c r="I64" s="1574">
        <f>H64-G64</f>
        <v>0</v>
      </c>
      <c r="J64" s="1599">
        <v>2.3E-2</v>
      </c>
      <c r="K64" s="486">
        <f>J64-H64</f>
        <v>0</v>
      </c>
    </row>
    <row r="65" spans="1:11" ht="15.75">
      <c r="A65" s="283"/>
      <c r="B65" s="332"/>
      <c r="C65" s="332"/>
      <c r="D65" s="332"/>
      <c r="E65" s="332"/>
      <c r="F65" s="665"/>
      <c r="G65" s="1233"/>
      <c r="H65" s="1234"/>
      <c r="I65" s="1052"/>
      <c r="J65" s="1235"/>
      <c r="K65" s="669"/>
    </row>
    <row r="66" spans="1:11" ht="15.75">
      <c r="A66" s="684" t="s">
        <v>212</v>
      </c>
      <c r="B66" s="165"/>
      <c r="C66" s="165"/>
      <c r="D66" s="165"/>
      <c r="E66" s="165"/>
      <c r="F66" s="662"/>
      <c r="G66" s="1233"/>
      <c r="H66" s="1234"/>
      <c r="I66" s="550"/>
      <c r="J66" s="1592"/>
      <c r="K66" s="551"/>
    </row>
    <row r="67" spans="1:11" ht="15.75">
      <c r="A67" s="67"/>
      <c r="B67" s="1593" t="s">
        <v>213</v>
      </c>
      <c r="C67" s="140"/>
      <c r="D67" s="140"/>
      <c r="E67" s="140"/>
      <c r="F67" s="1554"/>
      <c r="G67" s="1572">
        <v>1152802.93</v>
      </c>
      <c r="H67" s="1572">
        <v>1187387.0178999999</v>
      </c>
      <c r="I67" s="487">
        <f>IF(G67&lt;1," ",IF(H67&lt;1," ",(H67-G67)/G67))</f>
        <v>2.9999999999999936E-2</v>
      </c>
      <c r="J67" s="1572">
        <v>1223008.6284369999</v>
      </c>
      <c r="K67" s="486">
        <f>IF(H67&lt;1," ",IF(J67&lt;1," ",(J67-H67)/H67))</f>
        <v>3.0000000000000002E-2</v>
      </c>
    </row>
    <row r="68" spans="1:11" ht="15.75">
      <c r="A68" s="67"/>
      <c r="B68" s="146" t="s">
        <v>214</v>
      </c>
      <c r="C68" s="140"/>
      <c r="D68" s="140"/>
      <c r="E68" s="140"/>
      <c r="F68" s="1554"/>
      <c r="G68" s="1572">
        <v>156406.39999999999</v>
      </c>
      <c r="H68" s="1572">
        <v>161098.592</v>
      </c>
      <c r="I68" s="487">
        <f>IF(G68&lt;1," ",IF(H68&lt;1," ",(H68-G68)/G68))</f>
        <v>3.0000000000000065E-2</v>
      </c>
      <c r="J68" s="1572">
        <v>165931.54975999999</v>
      </c>
      <c r="K68" s="486">
        <f>IF(H68&lt;1," ",IF(J68&lt;1," ",(J68-H68)/H68))</f>
        <v>2.999999999999994E-2</v>
      </c>
    </row>
    <row r="69" spans="1:11" ht="15.75">
      <c r="A69" s="67"/>
      <c r="B69" s="146" t="s">
        <v>215</v>
      </c>
      <c r="C69" s="140"/>
      <c r="D69" s="140"/>
      <c r="E69" s="140"/>
      <c r="F69" s="1554"/>
      <c r="G69" s="1572" t="s">
        <v>216</v>
      </c>
      <c r="H69" s="1572" t="s">
        <v>216</v>
      </c>
      <c r="I69" s="487" t="e">
        <f>IF(G69&lt;1," ",IF(H69&lt;1," ",(H69-G69)/G69))</f>
        <v>#VALUE!</v>
      </c>
      <c r="J69" s="1572" t="s">
        <v>216</v>
      </c>
      <c r="K69" s="486" t="e">
        <f>IF(H69&lt;1," ",IF(J69&lt;1," ",(J69-H69)/H69))</f>
        <v>#VALUE!</v>
      </c>
    </row>
    <row r="70" spans="1:11" ht="15.75">
      <c r="A70" s="67"/>
      <c r="B70" s="146" t="s">
        <v>217</v>
      </c>
      <c r="C70" s="140"/>
      <c r="D70" s="140"/>
      <c r="E70" s="140"/>
      <c r="F70" s="1554"/>
      <c r="G70" s="1572"/>
      <c r="H70" s="1572"/>
      <c r="I70" s="487" t="str">
        <f>IF(G70&lt;1," ",IF(H70&lt;1," ",(H70-G70)/G70))</f>
        <v xml:space="preserve"> </v>
      </c>
      <c r="J70" s="1572"/>
      <c r="K70" s="486" t="str">
        <f>IF(H70&lt;1," ",IF(J70&lt;1," ",(J70-H70)/H70))</f>
        <v xml:space="preserve"> </v>
      </c>
    </row>
    <row r="71" spans="1:11" ht="9.75" customHeight="1">
      <c r="A71" s="67"/>
      <c r="B71" s="1310"/>
      <c r="C71" s="152"/>
      <c r="D71" s="152"/>
      <c r="E71" s="152"/>
      <c r="F71" s="1311"/>
      <c r="G71" s="1312"/>
      <c r="H71" s="1312"/>
      <c r="I71" s="1313"/>
      <c r="J71" s="1312"/>
      <c r="K71" s="1582"/>
    </row>
    <row r="72" spans="1:11" ht="15.75">
      <c r="A72" s="67"/>
      <c r="B72" s="1688" t="s">
        <v>218</v>
      </c>
      <c r="C72" s="1688"/>
      <c r="D72" s="1688"/>
      <c r="E72" s="1688"/>
      <c r="F72" s="1688"/>
      <c r="G72" s="1688"/>
      <c r="H72" s="1688"/>
      <c r="I72" s="1688"/>
      <c r="J72" s="1688"/>
      <c r="K72" s="1689"/>
    </row>
    <row r="73" spans="1:11" ht="42" customHeight="1">
      <c r="A73" s="67"/>
      <c r="B73" s="1690"/>
      <c r="C73" s="1691"/>
      <c r="D73" s="1691"/>
      <c r="E73" s="1691"/>
      <c r="F73" s="1691"/>
      <c r="G73" s="1691"/>
      <c r="H73" s="1691"/>
      <c r="I73" s="1691"/>
      <c r="J73" s="1691"/>
      <c r="K73" s="1692"/>
    </row>
    <row r="74" spans="1:11" ht="15.75">
      <c r="A74" s="1314"/>
      <c r="B74" s="1315"/>
      <c r="C74" s="1315"/>
      <c r="D74" s="1315"/>
      <c r="E74" s="1315"/>
      <c r="F74" s="665"/>
      <c r="G74" s="1316"/>
      <c r="H74" s="1317"/>
      <c r="I74" s="1318"/>
      <c r="J74" s="1319"/>
      <c r="K74" s="1320"/>
    </row>
    <row r="75" spans="1:11" ht="15.75">
      <c r="A75" s="305" t="s">
        <v>219</v>
      </c>
      <c r="C75" s="1"/>
      <c r="D75" s="1"/>
      <c r="E75" s="1"/>
      <c r="F75" s="151"/>
      <c r="G75" s="1594"/>
      <c r="H75" s="1594"/>
      <c r="I75" s="158"/>
      <c r="J75" s="1594"/>
      <c r="K75" s="1322"/>
    </row>
    <row r="76" spans="1:11" ht="15.75">
      <c r="A76" s="67"/>
      <c r="B76" s="690">
        <v>0.01</v>
      </c>
      <c r="C76" s="140" t="s">
        <v>220</v>
      </c>
      <c r="D76" s="140"/>
      <c r="E76" s="140"/>
      <c r="F76" s="1554"/>
      <c r="G76" s="1584">
        <f>B76*('1st Interim-Summary MYP'!G13+'1st Interim-Summary MYP'!G14+'1st Interim-Summary MYP'!G15+'1st Interim-Summary MYP'!G16)</f>
        <v>71155.28</v>
      </c>
      <c r="H76" s="1584">
        <f>B76*('1st Interim-Summary MYP'!I13+'1st Interim-Summary MYP'!I14+'1st Interim-Summary MYP'!I15+'1st Interim-Summary MYP'!I16)</f>
        <v>86340.91</v>
      </c>
      <c r="I76" s="297">
        <f>IF(G76&lt;1," ",IF(H76&lt;1," ",(H76-G76)/G76))</f>
        <v>0.21341536425687602</v>
      </c>
      <c r="J76" s="1584">
        <f>B76*('1st Interim-Summary MYP'!K13+'1st Interim-Summary MYP'!K14+'1st Interim-Summary MYP'!K15+'1st Interim-Summary MYP'!K16)</f>
        <v>90258.09</v>
      </c>
      <c r="K76" s="923">
        <f>IF(H76&lt;1," ",IF(J76&lt;1," ",(J76-H76)/H76))</f>
        <v>4.5368759722360964E-2</v>
      </c>
    </row>
    <row r="77" spans="1:11" ht="15.75">
      <c r="A77" s="67"/>
      <c r="B77" s="153"/>
      <c r="C77" s="140" t="s">
        <v>221</v>
      </c>
      <c r="D77" s="140"/>
      <c r="E77" s="140"/>
      <c r="F77" s="1554"/>
      <c r="G77" s="1576">
        <v>226592</v>
      </c>
      <c r="H77" s="1576">
        <v>233389.76</v>
      </c>
      <c r="I77" s="487">
        <f>IF(G77&lt;1," ",IF(H77&lt;1," ",(H77-G77)/G77))</f>
        <v>3.0000000000000041E-2</v>
      </c>
      <c r="J77" s="1576">
        <v>240391</v>
      </c>
      <c r="K77" s="486">
        <f>IF(H77&lt;1," ",IF(J77&lt;1," ",(J77-H77)/H77))</f>
        <v>2.9998059897743543E-2</v>
      </c>
    </row>
    <row r="78" spans="1:11" ht="15.75">
      <c r="A78" s="67"/>
      <c r="B78" s="146"/>
      <c r="C78" s="140" t="s">
        <v>222</v>
      </c>
      <c r="D78" s="140"/>
      <c r="E78" s="140"/>
      <c r="F78" s="1554"/>
      <c r="G78" s="1576"/>
      <c r="H78" s="1576"/>
      <c r="I78" s="487" t="str">
        <f>IF(G78&lt;1," ",IF(H78&lt;1," ",(H78-G78)/G78))</f>
        <v xml:space="preserve"> </v>
      </c>
      <c r="J78" s="1576"/>
      <c r="K78" s="486" t="str">
        <f>IF(H78&lt;1," ",IF(J78&lt;1," ",(J78-H78)/H78))</f>
        <v xml:space="preserve"> </v>
      </c>
    </row>
    <row r="79" spans="1:11" ht="15.75">
      <c r="A79" s="283"/>
      <c r="B79" s="332"/>
      <c r="C79" s="332"/>
      <c r="D79" s="332"/>
      <c r="E79" s="332"/>
      <c r="F79" s="665"/>
      <c r="G79" s="666"/>
      <c r="H79" s="667"/>
      <c r="I79" s="493"/>
      <c r="J79" s="668"/>
      <c r="K79" s="669"/>
    </row>
    <row r="80" spans="1:11" ht="15.75">
      <c r="A80" s="684" t="s">
        <v>548</v>
      </c>
      <c r="C80" s="154"/>
      <c r="D80" s="154"/>
      <c r="E80" s="154"/>
      <c r="F80" s="151"/>
      <c r="G80" s="678"/>
      <c r="H80" s="678"/>
      <c r="I80" s="679"/>
      <c r="J80" s="678"/>
      <c r="K80" s="680"/>
    </row>
    <row r="81" spans="1:11" ht="15.75">
      <c r="A81" s="286"/>
      <c r="B81" s="1694"/>
      <c r="C81" s="1694"/>
      <c r="D81" s="1694"/>
      <c r="E81" s="1694"/>
      <c r="F81" s="1694"/>
      <c r="G81" s="1576"/>
      <c r="H81" s="1576"/>
      <c r="I81" s="487" t="str">
        <f t="shared" ref="I81:I88" si="0">IF(G81&lt;1," ",IF(H81&lt;1," ",(H81-G81)/G81))</f>
        <v xml:space="preserve"> </v>
      </c>
      <c r="J81" s="1576"/>
      <c r="K81" s="486" t="str">
        <f t="shared" ref="K81:K88" si="1">IF(H81&lt;1," ",IF(J81&lt;1," ",(J81-H81)/H81))</f>
        <v xml:space="preserve"> </v>
      </c>
    </row>
    <row r="82" spans="1:11" ht="15.75">
      <c r="A82" s="286"/>
      <c r="B82" s="1694"/>
      <c r="C82" s="1694"/>
      <c r="D82" s="1694"/>
      <c r="E82" s="1694"/>
      <c r="F82" s="1694"/>
      <c r="G82" s="1576"/>
      <c r="H82" s="1576"/>
      <c r="I82" s="487" t="str">
        <f t="shared" si="0"/>
        <v xml:space="preserve"> </v>
      </c>
      <c r="J82" s="1576"/>
      <c r="K82" s="486" t="str">
        <f t="shared" si="1"/>
        <v xml:space="preserve"> </v>
      </c>
    </row>
    <row r="83" spans="1:11" ht="15.75">
      <c r="A83" s="286"/>
      <c r="B83" s="1694"/>
      <c r="C83" s="1694"/>
      <c r="D83" s="1694"/>
      <c r="E83" s="1694"/>
      <c r="F83" s="1694"/>
      <c r="G83" s="1576"/>
      <c r="H83" s="1576"/>
      <c r="I83" s="487" t="str">
        <f t="shared" si="0"/>
        <v xml:space="preserve"> </v>
      </c>
      <c r="J83" s="1576"/>
      <c r="K83" s="486" t="str">
        <f t="shared" si="1"/>
        <v xml:space="preserve"> </v>
      </c>
    </row>
    <row r="84" spans="1:11" ht="15.75">
      <c r="A84" s="286"/>
      <c r="B84" s="1694"/>
      <c r="C84" s="1694"/>
      <c r="D84" s="1694"/>
      <c r="E84" s="1694"/>
      <c r="F84" s="1694"/>
      <c r="G84" s="1576"/>
      <c r="H84" s="1576"/>
      <c r="I84" s="487" t="str">
        <f t="shared" si="0"/>
        <v xml:space="preserve"> </v>
      </c>
      <c r="J84" s="1576"/>
      <c r="K84" s="486" t="str">
        <f t="shared" si="1"/>
        <v xml:space="preserve"> </v>
      </c>
    </row>
    <row r="85" spans="1:11" ht="15.75">
      <c r="A85" s="286"/>
      <c r="B85" s="1694"/>
      <c r="C85" s="1694"/>
      <c r="D85" s="1694"/>
      <c r="E85" s="1694"/>
      <c r="F85" s="1694"/>
      <c r="G85" s="1576"/>
      <c r="H85" s="1576"/>
      <c r="I85" s="487" t="str">
        <f t="shared" si="0"/>
        <v xml:space="preserve"> </v>
      </c>
      <c r="J85" s="1576"/>
      <c r="K85" s="486" t="str">
        <f t="shared" si="1"/>
        <v xml:space="preserve"> </v>
      </c>
    </row>
    <row r="86" spans="1:11" ht="15.75">
      <c r="A86" s="286"/>
      <c r="B86" s="1694"/>
      <c r="C86" s="1694"/>
      <c r="D86" s="1694"/>
      <c r="E86" s="1694"/>
      <c r="F86" s="1694"/>
      <c r="G86" s="1576"/>
      <c r="H86" s="1576"/>
      <c r="I86" s="487" t="str">
        <f t="shared" si="0"/>
        <v xml:space="preserve"> </v>
      </c>
      <c r="J86" s="1576"/>
      <c r="K86" s="486" t="str">
        <f t="shared" si="1"/>
        <v xml:space="preserve"> </v>
      </c>
    </row>
    <row r="87" spans="1:11" ht="15.75">
      <c r="A87" s="286"/>
      <c r="B87" s="1694"/>
      <c r="C87" s="1694"/>
      <c r="D87" s="1694"/>
      <c r="E87" s="1694"/>
      <c r="F87" s="1694"/>
      <c r="G87" s="1578"/>
      <c r="H87" s="1578"/>
      <c r="I87" s="487" t="str">
        <f t="shared" si="0"/>
        <v xml:space="preserve"> </v>
      </c>
      <c r="J87" s="1578"/>
      <c r="K87" s="486" t="str">
        <f t="shared" si="1"/>
        <v xml:space="preserve"> </v>
      </c>
    </row>
    <row r="88" spans="1:11" ht="16.5" thickBot="1">
      <c r="A88" s="287"/>
      <c r="B88" s="1695"/>
      <c r="C88" s="1695"/>
      <c r="D88" s="1695"/>
      <c r="E88" s="1695"/>
      <c r="F88" s="1695"/>
      <c r="G88" s="1579"/>
      <c r="H88" s="1579"/>
      <c r="I88" s="1580" t="str">
        <f t="shared" si="0"/>
        <v xml:space="preserve"> </v>
      </c>
      <c r="J88" s="1579"/>
      <c r="K88" s="1581" t="str">
        <f t="shared" si="1"/>
        <v xml:space="preserve"> </v>
      </c>
    </row>
  </sheetData>
  <sheetProtection password="CC5F" sheet="1" objects="1" scenarios="1"/>
  <mergeCells count="18">
    <mergeCell ref="B72:K72"/>
    <mergeCell ref="B73:K73"/>
    <mergeCell ref="B88:F88"/>
    <mergeCell ref="B84:F84"/>
    <mergeCell ref="B85:F85"/>
    <mergeCell ref="B81:F81"/>
    <mergeCell ref="B82:F82"/>
    <mergeCell ref="B83:F83"/>
    <mergeCell ref="B86:F86"/>
    <mergeCell ref="B87:F87"/>
    <mergeCell ref="B57:K57"/>
    <mergeCell ref="B58:K58"/>
    <mergeCell ref="A1:F1"/>
    <mergeCell ref="A2:F2"/>
    <mergeCell ref="A3:F3"/>
    <mergeCell ref="A4:K4"/>
    <mergeCell ref="B44:K44"/>
    <mergeCell ref="B45:K45"/>
  </mergeCells>
  <phoneticPr fontId="5" type="noConversion"/>
  <conditionalFormatting sqref="H21">
    <cfRule type="containsText" dxfId="212" priority="13" stopIfTrue="1" operator="containsText" text="Missing Data ADA Tab, cell G10">
      <formula>NOT(ISERROR(SEARCH("Missing Data ADA Tab, cell G10",H21)))</formula>
    </cfRule>
    <cfRule type="containsText" dxfId="211" priority="14" stopIfTrue="1" operator="containsText" text="Missing Data ADA Tab cell G10">
      <formula>NOT(ISERROR(SEARCH("Missing Data ADA Tab cell G10",H21)))</formula>
    </cfRule>
  </conditionalFormatting>
  <conditionalFormatting sqref="A1:A3">
    <cfRule type="containsText" dxfId="210" priority="10" stopIfTrue="1" operator="containsText" text="Enter">
      <formula>NOT(ISERROR(SEARCH("Enter",A1)))</formula>
    </cfRule>
  </conditionalFormatting>
  <conditionalFormatting sqref="G21:H21 J21">
    <cfRule type="cellIs" dxfId="209" priority="17" stopIfTrue="1" operator="equal">
      <formula>"Cell G11 can NOT be blank"</formula>
    </cfRule>
  </conditionalFormatting>
  <conditionalFormatting sqref="G21">
    <cfRule type="containsText" dxfId="208" priority="9" stopIfTrue="1" operator="containsText" text="Missing">
      <formula>NOT(ISERROR(SEARCH("Missing",G21)))</formula>
    </cfRule>
    <cfRule type="containsText" dxfId="207" priority="15" stopIfTrue="1" operator="containsText" text="Missing Data ADA Tab, cell G10">
      <formula>NOT(ISERROR(SEARCH("Missing Data ADA Tab, cell G10",G21)))</formula>
    </cfRule>
    <cfRule type="containsText" dxfId="206" priority="16" stopIfTrue="1" operator="containsText" text="Missing Data ADA Tab cell G10">
      <formula>NOT(ISERROR(SEARCH("Missing Data ADA Tab cell G10",G21)))</formula>
    </cfRule>
  </conditionalFormatting>
  <conditionalFormatting sqref="J21">
    <cfRule type="containsText" dxfId="205" priority="11" stopIfTrue="1" operator="containsText" text="Missing Data ADA Tab, cell G10">
      <formula>NOT(ISERROR(SEARCH("Missing Data ADA Tab, cell G10",J21)))</formula>
    </cfRule>
    <cfRule type="containsText" dxfId="204" priority="12" stopIfTrue="1" operator="containsText" text="Missing Data ADA Tab cell G10">
      <formula>NOT(ISERROR(SEARCH("Missing Data ADA Tab cell G10",J21)))</formula>
    </cfRule>
  </conditionalFormatting>
  <conditionalFormatting sqref="H21">
    <cfRule type="containsText" dxfId="203" priority="6" stopIfTrue="1" operator="containsText" text="Missing">
      <formula>NOT(ISERROR(SEARCH("Missing",H21)))</formula>
    </cfRule>
    <cfRule type="containsText" dxfId="202" priority="7" stopIfTrue="1" operator="containsText" text="Missing Data ADA Tab, cell G10">
      <formula>NOT(ISERROR(SEARCH("Missing Data ADA Tab, cell G10",H21)))</formula>
    </cfRule>
    <cfRule type="containsText" dxfId="201" priority="8" stopIfTrue="1" operator="containsText" text="Missing Data ADA Tab cell G10">
      <formula>NOT(ISERROR(SEARCH("Missing Data ADA Tab cell G10",H21)))</formula>
    </cfRule>
  </conditionalFormatting>
  <conditionalFormatting sqref="J21">
    <cfRule type="containsText" dxfId="200" priority="4" stopIfTrue="1" operator="containsText" text="Missing Data ADA Tab, cell G10">
      <formula>NOT(ISERROR(SEARCH("Missing Data ADA Tab, cell G10",J21)))</formula>
    </cfRule>
    <cfRule type="containsText" dxfId="199" priority="5" stopIfTrue="1" operator="containsText" text="Missing Data ADA Tab cell G10">
      <formula>NOT(ISERROR(SEARCH("Missing Data ADA Tab cell G10",J21)))</formula>
    </cfRule>
  </conditionalFormatting>
  <conditionalFormatting sqref="J21">
    <cfRule type="containsText" dxfId="198" priority="1" stopIfTrue="1" operator="containsText" text="Missing">
      <formula>NOT(ISERROR(SEARCH("Missing",J21)))</formula>
    </cfRule>
    <cfRule type="containsText" dxfId="197" priority="2" stopIfTrue="1" operator="containsText" text="Missing Data ADA Tab, cell G10">
      <formula>NOT(ISERROR(SEARCH("Missing Data ADA Tab, cell G10",J21)))</formula>
    </cfRule>
    <cfRule type="containsText" dxfId="196" priority="3" stopIfTrue="1" operator="containsText" text="Missing Data ADA Tab cell G10">
      <formula>NOT(ISERROR(SEARCH("Missing Data ADA Tab cell G10",J21)))</formula>
    </cfRule>
  </conditionalFormatting>
  <printOptions horizontalCentered="1"/>
  <pageMargins left="0.75" right="0.75" top="1" bottom="1" header="0.5" footer="0.5"/>
  <pageSetup scale="55" fitToHeight="0" orientation="portrait" r:id="rId1"/>
  <headerFooter alignWithMargins="0">
    <oddFooter>Page &amp;P of &amp;N</oddFooter>
  </headerFooter>
  <rowBreaks count="1" manualBreakCount="1">
    <brk id="64" max="16383" man="1"/>
  </rowBreaks>
  <customProperties>
    <customPr name="DrillPoint.FROID" r:id="rId2"/>
    <customPr name="DrillPoint.Mode" r:id="rId3"/>
    <customPr name="DrillPoint.Subsheet" r:id="rId4"/>
  </customPropertie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theme="4"/>
    <pageSetUpPr fitToPage="1"/>
  </sheetPr>
  <dimension ref="A1:O239"/>
  <sheetViews>
    <sheetView showGridLines="0" zoomScaleNormal="100" zoomScaleSheetLayoutView="100" workbookViewId="0">
      <pane xSplit="4" ySplit="10" topLeftCell="E41" activePane="bottomRight" state="frozen"/>
      <selection pane="topRight" activeCell="J13" sqref="J13"/>
      <selection pane="bottomLeft" activeCell="J13" sqref="J13"/>
      <selection pane="bottomRight" activeCell="G51" sqref="G51"/>
    </sheetView>
  </sheetViews>
  <sheetFormatPr defaultColWidth="72.5703125" defaultRowHeight="12.75"/>
  <cols>
    <col min="1" max="1" width="5.42578125" customWidth="1"/>
    <col min="2" max="2" width="3" customWidth="1"/>
    <col min="3" max="3" width="85.140625" customWidth="1"/>
    <col min="4" max="4" width="11" customWidth="1"/>
    <col min="5" max="7" width="14.5703125" customWidth="1"/>
    <col min="8" max="8" width="10.5703125" customWidth="1"/>
    <col min="9" max="9" width="14.5703125" customWidth="1"/>
    <col min="10" max="10" width="10.5703125" customWidth="1"/>
    <col min="11" max="11" width="14.5703125" customWidth="1"/>
    <col min="12" max="12" width="10.5703125" customWidth="1"/>
    <col min="13" max="13" width="72.5703125" style="1212" customWidth="1"/>
  </cols>
  <sheetData>
    <row r="1" spans="1:15" ht="15.75">
      <c r="A1" s="1636" t="str">
        <f>IF('INTERIM-CERTIFICATION'!$M$1="","CHARTER NAME: Enter Charter Name on INTERIM-CERTIFICATION Worksheet",(CONCATENATE("CHARTER NAME: ",'INTERIM-CERTIFICATION'!$M$1)))</f>
        <v>CHARTER NAME: Encore High School -</v>
      </c>
      <c r="B1" s="1636"/>
      <c r="C1" s="1636"/>
      <c r="D1" s="208"/>
      <c r="E1" s="11"/>
      <c r="F1" s="157"/>
      <c r="G1" s="156"/>
      <c r="H1" s="1"/>
      <c r="I1" s="158"/>
      <c r="J1" s="1"/>
      <c r="K1" s="158"/>
      <c r="L1" s="1"/>
    </row>
    <row r="2" spans="1:15" ht="15.75">
      <c r="A2" s="1636" t="str">
        <f>IF('INTERIM-CERTIFICATION'!$M$2="","CDS #: Enter Charter CDS # on INTERIM-CERTIFICATION Worksheet",(_xlfn.CONCAT("CDS #: ",'INTERIM-CERTIFICATION'!$M$2)))</f>
        <v>CDS #: 35-75044-01166707</v>
      </c>
      <c r="B2" s="1636"/>
      <c r="C2" s="1636"/>
      <c r="D2" s="208"/>
      <c r="E2" s="11"/>
      <c r="F2" s="157"/>
      <c r="G2" s="157"/>
      <c r="H2" s="1"/>
      <c r="I2" s="158"/>
      <c r="J2" s="1"/>
      <c r="K2" s="158"/>
      <c r="L2" s="1"/>
    </row>
    <row r="3" spans="1:15" ht="15.75">
      <c r="A3" s="1636" t="str">
        <f>IF('INTERIM-CERTIFICATION'!$M$5="","CHARTER #: Enter Charter # on INTERIM-CERTIFICATION Worksheet",(_xlfn.CONCAT("CHARTER #: ",'INTERIM-CERTIFICATION'!$M$5)))</f>
        <v>CHARTER #: 971</v>
      </c>
      <c r="B3" s="1636"/>
      <c r="C3" s="1636"/>
      <c r="D3" s="208"/>
      <c r="E3" s="11"/>
      <c r="F3" s="156"/>
      <c r="G3" s="156"/>
      <c r="H3" s="1"/>
      <c r="I3" s="158"/>
      <c r="J3" s="1"/>
      <c r="K3" s="158"/>
      <c r="L3" s="1"/>
    </row>
    <row r="4" spans="1:15" ht="15.75">
      <c r="A4" s="2"/>
      <c r="B4" s="52"/>
      <c r="C4" s="52"/>
      <c r="D4" s="159" t="str">
        <f>'1st Interim-ADA'!J4</f>
        <v>Fiscal Year 2021-22 First Interim Report</v>
      </c>
      <c r="E4" s="52"/>
      <c r="F4" s="52"/>
      <c r="G4" s="52"/>
      <c r="H4" s="52"/>
      <c r="I4" s="52"/>
      <c r="J4" s="52"/>
      <c r="K4" s="52"/>
      <c r="L4" s="52"/>
    </row>
    <row r="5" spans="1:15" ht="15.75">
      <c r="A5" s="11"/>
      <c r="B5" s="11"/>
      <c r="C5" s="52"/>
      <c r="D5" s="159" t="s">
        <v>227</v>
      </c>
      <c r="E5" s="52"/>
      <c r="F5" s="160"/>
      <c r="G5" s="160"/>
      <c r="H5" s="1"/>
      <c r="I5" s="161"/>
      <c r="J5" s="1"/>
      <c r="K5" s="161"/>
      <c r="L5" s="1"/>
    </row>
    <row r="6" spans="1:15" ht="16.5" thickBot="1">
      <c r="A6" s="1089" t="str">
        <f>Instructions!H1</f>
        <v>Rev. 5/28/2021</v>
      </c>
      <c r="B6" s="11"/>
      <c r="C6" s="11"/>
      <c r="D6" s="11"/>
      <c r="E6" s="11"/>
      <c r="F6" s="156"/>
      <c r="G6" s="156"/>
      <c r="H6" s="1"/>
      <c r="I6" s="158"/>
      <c r="J6" s="1"/>
      <c r="K6" s="158"/>
      <c r="L6" s="1"/>
    </row>
    <row r="7" spans="1:15" ht="15.75">
      <c r="A7" s="241"/>
      <c r="B7" s="236"/>
      <c r="C7" s="236"/>
      <c r="D7" s="298"/>
      <c r="E7" s="299"/>
      <c r="F7" s="300" t="s">
        <v>549</v>
      </c>
      <c r="G7" s="300" t="str">
        <f>$F$7</f>
        <v>First Interim</v>
      </c>
      <c r="H7" s="299"/>
      <c r="I7" s="301" t="str">
        <f>$F$7</f>
        <v>First Interim</v>
      </c>
      <c r="J7" s="299"/>
      <c r="K7" s="301" t="str">
        <f>$F$7</f>
        <v>First Interim</v>
      </c>
      <c r="L7" s="460"/>
    </row>
    <row r="8" spans="1:15" ht="15.75">
      <c r="A8" s="1696" t="s">
        <v>228</v>
      </c>
      <c r="B8" s="1697"/>
      <c r="C8" s="1697"/>
      <c r="D8" s="53"/>
      <c r="E8" s="13" t="s">
        <v>230</v>
      </c>
      <c r="F8" s="453" t="s">
        <v>550</v>
      </c>
      <c r="G8" s="162" t="s">
        <v>232</v>
      </c>
      <c r="H8" s="13" t="s">
        <v>231</v>
      </c>
      <c r="I8" s="302" t="s">
        <v>232</v>
      </c>
      <c r="J8" s="13" t="s">
        <v>231</v>
      </c>
      <c r="K8" s="302" t="s">
        <v>232</v>
      </c>
      <c r="L8" s="461" t="s">
        <v>231</v>
      </c>
    </row>
    <row r="9" spans="1:15" ht="15.75">
      <c r="A9" s="67"/>
      <c r="B9" s="1"/>
      <c r="C9" s="1"/>
      <c r="D9" s="53"/>
      <c r="E9" s="13" t="s">
        <v>234</v>
      </c>
      <c r="F9" s="162" t="s">
        <v>551</v>
      </c>
      <c r="G9" s="162" t="s">
        <v>234</v>
      </c>
      <c r="H9" s="13" t="s">
        <v>161</v>
      </c>
      <c r="I9" s="302" t="s">
        <v>234</v>
      </c>
      <c r="J9" s="13" t="s">
        <v>161</v>
      </c>
      <c r="K9" s="302" t="s">
        <v>234</v>
      </c>
      <c r="L9" s="461" t="s">
        <v>161</v>
      </c>
    </row>
    <row r="10" spans="1:15" ht="16.5" thickBot="1">
      <c r="A10" s="303"/>
      <c r="B10" s="163"/>
      <c r="C10" s="163"/>
      <c r="D10" s="54"/>
      <c r="E10" s="14" t="str">
        <f>'Budget-Unrestricted MYP'!F10</f>
        <v>2021-22</v>
      </c>
      <c r="F10" s="164" t="str">
        <f>'Budget-DEBT'!D13</f>
        <v>2021</v>
      </c>
      <c r="G10" s="207" t="str">
        <f>E10</f>
        <v>2021-22</v>
      </c>
      <c r="H10" s="14"/>
      <c r="I10" s="304" t="str">
        <f>'Budget-Unrestricted MYP'!H10</f>
        <v>2022-23</v>
      </c>
      <c r="J10" s="14"/>
      <c r="K10" s="304" t="str">
        <f>'Budget-Unrestricted MYP'!J10</f>
        <v>2023-24</v>
      </c>
      <c r="L10" s="462"/>
    </row>
    <row r="11" spans="1:15" ht="16.5" thickTop="1">
      <c r="A11" s="305" t="s">
        <v>235</v>
      </c>
      <c r="B11" s="1"/>
      <c r="C11" s="1"/>
      <c r="D11" s="336"/>
      <c r="E11" s="12"/>
      <c r="F11" s="1829"/>
      <c r="G11" s="1829"/>
      <c r="H11" s="1829"/>
      <c r="I11" s="1829"/>
      <c r="J11" s="454"/>
      <c r="K11" s="454"/>
      <c r="L11" s="463"/>
    </row>
    <row r="12" spans="1:15" ht="15.75">
      <c r="A12" s="305"/>
      <c r="B12" s="277" t="s">
        <v>236</v>
      </c>
      <c r="C12" s="146"/>
      <c r="D12" s="140"/>
      <c r="E12" s="337"/>
      <c r="F12" s="1827"/>
      <c r="G12" s="1827"/>
      <c r="H12" s="1827"/>
      <c r="I12" s="1827"/>
      <c r="J12" s="151"/>
      <c r="K12" s="151"/>
      <c r="L12" s="464"/>
    </row>
    <row r="13" spans="1:15" ht="15.75">
      <c r="A13" s="305"/>
      <c r="B13" s="146"/>
      <c r="C13" s="279" t="s">
        <v>237</v>
      </c>
      <c r="D13" s="345">
        <v>8011</v>
      </c>
      <c r="E13" s="693">
        <f>'Budget-Unrestricted MYP'!F13</f>
        <v>6570869</v>
      </c>
      <c r="F13" s="785">
        <v>1304810</v>
      </c>
      <c r="G13" s="693">
        <f>'1st Interim-Assumptions'!G11-G14-G16</f>
        <v>7115528</v>
      </c>
      <c r="H13" s="269">
        <f>IF(E13&lt;1," ",IF(G13&lt;1," ",(G13-E13)/E13))</f>
        <v>8.2889949563748719E-2</v>
      </c>
      <c r="I13" s="787">
        <f>'1st Interim-Assumptions'!H11-I14-I16</f>
        <v>8634091</v>
      </c>
      <c r="J13" s="269">
        <f>IF(G13&lt;1," ",IF(I13&lt;1," ",(I13-G13)/G13))</f>
        <v>0.21341536425687596</v>
      </c>
      <c r="K13" s="693">
        <f>'1st Interim-Assumptions'!J11-K14-K16</f>
        <v>9025809</v>
      </c>
      <c r="L13" s="306">
        <f>IF(I13&lt;1," ",IF(K13&lt;1," ",(K13-I13)/I13))</f>
        <v>4.5368759722361048E-2</v>
      </c>
      <c r="O13" t="s">
        <v>521</v>
      </c>
    </row>
    <row r="14" spans="1:15" ht="15.75">
      <c r="A14" s="305"/>
      <c r="B14" s="146"/>
      <c r="C14" s="279" t="s">
        <v>239</v>
      </c>
      <c r="D14" s="345">
        <v>8012</v>
      </c>
      <c r="E14" s="693">
        <f>'Budget-Unrestricted MYP'!F14</f>
        <v>1743325</v>
      </c>
      <c r="F14" s="785">
        <v>609490</v>
      </c>
      <c r="G14" s="785"/>
      <c r="H14" s="581" t="str">
        <f>IF(E14&lt;1," ",IF(G14&lt;1," ",(G14-E14)/E14))</f>
        <v xml:space="preserve"> </v>
      </c>
      <c r="I14" s="788"/>
      <c r="J14" s="269" t="str">
        <f>IF(G14&lt;1," ",IF(I14&lt;1," ",(I14-G14)/G14))</f>
        <v xml:space="preserve"> </v>
      </c>
      <c r="K14" s="785"/>
      <c r="L14" s="306" t="str">
        <f>IF(I14&lt;1," ",IF(K14&lt;1," ",(K14-I14)/I14))</f>
        <v xml:space="preserve"> </v>
      </c>
    </row>
    <row r="15" spans="1:15" ht="15.75">
      <c r="A15" s="67"/>
      <c r="B15" s="146"/>
      <c r="C15" s="279" t="s">
        <v>240</v>
      </c>
      <c r="D15" s="345">
        <v>8019</v>
      </c>
      <c r="E15" s="693">
        <f>'Budget-Unrestricted MYP'!F15</f>
        <v>0</v>
      </c>
      <c r="F15" s="785"/>
      <c r="G15" s="785"/>
      <c r="H15" s="581" t="str">
        <f>IF(E15&lt;1," ",IF(G15&lt;1," ",(G15-E15)/E15))</f>
        <v xml:space="preserve"> </v>
      </c>
      <c r="I15" s="789"/>
      <c r="J15" s="269" t="str">
        <f>IF(G15&lt;1," ",IF(I15&lt;1," ",(I15-G15)/G15))</f>
        <v xml:space="preserve"> </v>
      </c>
      <c r="K15" s="791"/>
      <c r="L15" s="306" t="str">
        <f>IF(I15&lt;1," ",IF(K15&lt;1," ",(K15-I15)/I15))</f>
        <v xml:space="preserve"> </v>
      </c>
    </row>
    <row r="16" spans="1:15" ht="15.75">
      <c r="A16" s="67"/>
      <c r="B16" s="146"/>
      <c r="C16" s="279" t="s">
        <v>241</v>
      </c>
      <c r="D16" s="345">
        <v>8096</v>
      </c>
      <c r="E16" s="693">
        <f>'Budget-Unrestricted MYP'!F16</f>
        <v>295369</v>
      </c>
      <c r="F16" s="785"/>
      <c r="G16" s="786"/>
      <c r="H16" s="640" t="str">
        <f>IF(E16&lt;1," ",IF(G16&lt;1," ",(G16-E16)/E16))</f>
        <v xml:space="preserve"> </v>
      </c>
      <c r="I16" s="790"/>
      <c r="J16" s="269" t="str">
        <f>IF(G16&lt;1," ",IF(I16&lt;1," ",(I16-G16)/G16))</f>
        <v xml:space="preserve"> </v>
      </c>
      <c r="K16" s="786"/>
      <c r="L16" s="306" t="str">
        <f>IF(I16&lt;1," ",IF(K16&lt;1," ",(K16-I16)/I16))</f>
        <v xml:space="preserve"> </v>
      </c>
    </row>
    <row r="17" spans="1:12" ht="15.75">
      <c r="A17" s="67"/>
      <c r="B17" s="277" t="s">
        <v>242</v>
      </c>
      <c r="C17" s="277"/>
      <c r="D17" s="345" t="s">
        <v>243</v>
      </c>
      <c r="E17" s="693">
        <f>'Budget-Unrestricted MYP'!F17</f>
        <v>0</v>
      </c>
      <c r="F17" s="753">
        <f>F84</f>
        <v>0</v>
      </c>
      <c r="G17" s="753">
        <f>G84</f>
        <v>0</v>
      </c>
      <c r="H17" s="269" t="str">
        <f>IF(E17&lt;1," ",IF(G17&lt;1," ",(G17-E17)/E17))</f>
        <v xml:space="preserve"> </v>
      </c>
      <c r="I17" s="290">
        <f>I84</f>
        <v>0</v>
      </c>
      <c r="J17" s="269" t="str">
        <f>IF(G17&lt;1," ",IF(I17&lt;1," ",(I17-G17)/G17))</f>
        <v xml:space="preserve"> </v>
      </c>
      <c r="K17" s="753">
        <f>K84</f>
        <v>0</v>
      </c>
      <c r="L17" s="306" t="str">
        <f>IF(I17&lt;1," ",IF(K17&lt;1," ",(K17-I17)/I17))</f>
        <v xml:space="preserve"> </v>
      </c>
    </row>
    <row r="18" spans="1:12" ht="15.75">
      <c r="A18" s="67"/>
      <c r="B18" s="146" t="s">
        <v>244</v>
      </c>
      <c r="C18" s="140"/>
      <c r="D18" s="140"/>
      <c r="E18" s="576"/>
      <c r="F18" s="578"/>
      <c r="G18" s="578"/>
      <c r="H18" s="582"/>
      <c r="I18" s="578"/>
      <c r="J18" s="582"/>
      <c r="K18" s="578"/>
      <c r="L18" s="586"/>
    </row>
    <row r="19" spans="1:12" ht="15.75">
      <c r="A19" s="67"/>
      <c r="B19" s="146"/>
      <c r="C19" s="279" t="s">
        <v>245</v>
      </c>
      <c r="D19" s="345">
        <v>8560</v>
      </c>
      <c r="E19" s="693">
        <f>'Budget-Unrestricted MYP'!F19</f>
        <v>124721.05751999999</v>
      </c>
      <c r="F19" s="785"/>
      <c r="G19" s="753">
        <f>G87</f>
        <v>114262.96309679998</v>
      </c>
      <c r="H19" s="269">
        <f>IF(E19&lt;1," ",IF(G19&lt;1," ",(G19-E19)/E19))</f>
        <v>-8.3851874183499181E-2</v>
      </c>
      <c r="I19" s="290">
        <f>I87</f>
        <v>135530.21583839998</v>
      </c>
      <c r="J19" s="269">
        <f>IF(G19&lt;1," ",IF(I19&lt;1," ",(I19-G19)/G19))</f>
        <v>0.18612551403540137</v>
      </c>
      <c r="K19" s="753">
        <f>K87</f>
        <v>135530.21583839998</v>
      </c>
      <c r="L19" s="306">
        <f>IF(I19&lt;1," ",IF(K19&lt;1," ",(K19-I19)/I19))</f>
        <v>0</v>
      </c>
    </row>
    <row r="20" spans="1:12" ht="15.75">
      <c r="A20" s="67"/>
      <c r="B20" s="465"/>
      <c r="C20" s="466" t="s">
        <v>246</v>
      </c>
      <c r="D20" s="467">
        <v>8560</v>
      </c>
      <c r="E20" s="792"/>
      <c r="F20" s="792"/>
      <c r="G20" s="792"/>
      <c r="H20" s="484"/>
      <c r="I20" s="793"/>
      <c r="J20" s="484"/>
      <c r="K20" s="792"/>
      <c r="L20" s="351"/>
    </row>
    <row r="21" spans="1:12" ht="15.75">
      <c r="A21" s="67"/>
      <c r="B21" s="146"/>
      <c r="C21" s="279" t="s">
        <v>247</v>
      </c>
      <c r="D21" s="345" t="s">
        <v>248</v>
      </c>
      <c r="E21" s="693">
        <f>'Budget-Unrestricted MYP'!F21</f>
        <v>32543</v>
      </c>
      <c r="F21" s="753">
        <f>F108</f>
        <v>0</v>
      </c>
      <c r="G21" s="753">
        <f>G108</f>
        <v>32543</v>
      </c>
      <c r="H21" s="269">
        <f>IF(E21&lt;1," ",IF(G21&lt;1," ",(G21-E21)/E21))</f>
        <v>0</v>
      </c>
      <c r="I21" s="290">
        <f>I108</f>
        <v>33350</v>
      </c>
      <c r="J21" s="269">
        <f>IF(G21&lt;1," ",IF(I21&lt;1," ",(I21-G21)/G21))</f>
        <v>2.4797959622653104E-2</v>
      </c>
      <c r="K21" s="753">
        <f>K108</f>
        <v>34387</v>
      </c>
      <c r="L21" s="306">
        <f>IF(I21&lt;1," ",IF(K21&lt;1," ",(K21-I21)/I21))</f>
        <v>3.1094452773613192E-2</v>
      </c>
    </row>
    <row r="22" spans="1:12" ht="15.75">
      <c r="A22" s="67"/>
      <c r="B22" s="146" t="s">
        <v>249</v>
      </c>
      <c r="C22" s="140"/>
      <c r="D22" s="140"/>
      <c r="E22" s="576"/>
      <c r="F22" s="578"/>
      <c r="G22" s="578"/>
      <c r="H22" s="582"/>
      <c r="I22" s="578"/>
      <c r="J22" s="269"/>
      <c r="K22" s="575"/>
      <c r="L22" s="306"/>
    </row>
    <row r="23" spans="1:12" ht="15.75">
      <c r="A23" s="67"/>
      <c r="B23" s="146"/>
      <c r="C23" s="279" t="s">
        <v>250</v>
      </c>
      <c r="D23" s="345">
        <v>8660</v>
      </c>
      <c r="E23" s="693">
        <f>'Budget-Unrestricted MYP'!F23</f>
        <v>0</v>
      </c>
      <c r="F23" s="785"/>
      <c r="G23" s="785"/>
      <c r="H23" s="269" t="str">
        <f>IF(E23&lt;1," ",IF(G23&lt;1," ",(G23-E23)/E23))</f>
        <v xml:space="preserve"> </v>
      </c>
      <c r="I23" s="788"/>
      <c r="J23" s="269" t="str">
        <f>IF(G23&lt;1," ",IF(I23&lt;1," ",(I23-G23)/G23))</f>
        <v xml:space="preserve"> </v>
      </c>
      <c r="K23" s="785"/>
      <c r="L23" s="306" t="str">
        <f>IF(I23&lt;1," ",IF(K23&lt;1," ",(K23-I23)/I23))</f>
        <v xml:space="preserve"> </v>
      </c>
    </row>
    <row r="24" spans="1:12" ht="15.75">
      <c r="A24" s="67"/>
      <c r="B24" s="465"/>
      <c r="C24" s="466" t="s">
        <v>251</v>
      </c>
      <c r="D24" s="467">
        <v>8792</v>
      </c>
      <c r="E24" s="794"/>
      <c r="F24" s="792"/>
      <c r="G24" s="792"/>
      <c r="H24" s="484"/>
      <c r="I24" s="793"/>
      <c r="J24" s="484"/>
      <c r="K24" s="792"/>
      <c r="L24" s="351"/>
    </row>
    <row r="25" spans="1:12" ht="16.5" thickBot="1">
      <c r="A25" s="67"/>
      <c r="B25" s="896"/>
      <c r="C25" s="929" t="s">
        <v>252</v>
      </c>
      <c r="D25" s="930" t="s">
        <v>253</v>
      </c>
      <c r="E25" s="700">
        <f>'Budget-Unrestricted MYP'!F25</f>
        <v>2000000</v>
      </c>
      <c r="F25" s="799">
        <f>F117</f>
        <v>12119</v>
      </c>
      <c r="G25" s="799">
        <f>G117</f>
        <v>2012869</v>
      </c>
      <c r="H25" s="296">
        <f>IF(E25&lt;1," ",IF(G25&lt;1," ",(G25-E25)/E25))</f>
        <v>6.4345000000000001E-3</v>
      </c>
      <c r="I25" s="948">
        <f>I117</f>
        <v>62789</v>
      </c>
      <c r="J25" s="296">
        <f>IF(G25&lt;1," ",IF(I25&lt;1," ",(I25-G25)/G25))</f>
        <v>-0.96880621640057052</v>
      </c>
      <c r="K25" s="799">
        <f>K117</f>
        <v>64742</v>
      </c>
      <c r="L25" s="587">
        <f>IF(I25&lt;1," ",IF(K25&lt;1," ",(K25-I25)/I25))</f>
        <v>3.1104174298045836E-2</v>
      </c>
    </row>
    <row r="26" spans="1:12" ht="17.25" thickTop="1" thickBot="1">
      <c r="A26" s="67"/>
      <c r="B26" s="926" t="s">
        <v>254</v>
      </c>
      <c r="C26" s="927"/>
      <c r="D26" s="928"/>
      <c r="E26" s="897">
        <f>'Budget-Unrestricted MYP'!F26</f>
        <v>10766827.05752</v>
      </c>
      <c r="F26" s="807">
        <f>SUM(F13:F25)</f>
        <v>1926419</v>
      </c>
      <c r="G26" s="807">
        <f>SUM(G13:G25)</f>
        <v>9275202.9630968012</v>
      </c>
      <c r="H26" s="585">
        <f>IF(E26&lt;1," ",IF(G26&lt;1," ",(G26-E26)/E26))</f>
        <v>-0.13853887375124008</v>
      </c>
      <c r="I26" s="897">
        <f>SUM(I13:I25)</f>
        <v>8865760.2158384006</v>
      </c>
      <c r="J26" s="585">
        <f>IF(G26&lt;1," ",IF(I26&lt;1," ",(I26-G26)/G26))</f>
        <v>-4.414380460324676E-2</v>
      </c>
      <c r="K26" s="897">
        <f>SUM(K13:K25)</f>
        <v>9260468.2158384006</v>
      </c>
      <c r="L26" s="588">
        <f>IF(I26&lt;1," ",IF(K26&lt;1," ",(K26-I26)/I26))</f>
        <v>4.4520491237160537E-2</v>
      </c>
    </row>
    <row r="27" spans="1:12" ht="10.5" customHeight="1" thickTop="1">
      <c r="A27" s="67"/>
      <c r="B27" s="1"/>
      <c r="C27" s="1"/>
      <c r="D27" s="1"/>
      <c r="E27" s="268"/>
      <c r="F27" s="1723"/>
      <c r="G27" s="1723"/>
      <c r="H27" s="1723"/>
      <c r="I27" s="1723"/>
      <c r="L27" s="470"/>
    </row>
    <row r="28" spans="1:12" ht="15.75">
      <c r="A28" s="1739" t="s">
        <v>255</v>
      </c>
      <c r="B28" s="1740"/>
      <c r="C28" s="1740"/>
      <c r="D28" s="154"/>
      <c r="E28" s="268"/>
      <c r="F28" s="1827"/>
      <c r="G28" s="1827"/>
      <c r="H28" s="1827"/>
      <c r="I28" s="1827"/>
      <c r="J28" s="151"/>
      <c r="K28" s="151"/>
      <c r="L28" s="464"/>
    </row>
    <row r="29" spans="1:12" ht="15.75">
      <c r="A29" s="67"/>
      <c r="B29" s="277" t="s">
        <v>256</v>
      </c>
      <c r="C29" s="277"/>
      <c r="D29" s="278" t="s">
        <v>257</v>
      </c>
      <c r="E29" s="693">
        <f>'Budget-Unrestricted MYP'!F29</f>
        <v>2141205.7039999999</v>
      </c>
      <c r="F29" s="786">
        <v>328685.77999999991</v>
      </c>
      <c r="G29" s="786">
        <f>1709734+98800</f>
        <v>1808534</v>
      </c>
      <c r="H29" s="269">
        <f t="shared" ref="H29:H37" si="0">IF(E29&lt;1," ",IF(G29&lt;1," ",(G29-E29)/E29))</f>
        <v>-0.15536653175289689</v>
      </c>
      <c r="I29" s="790">
        <v>1588827.7607206451</v>
      </c>
      <c r="J29" s="269">
        <f t="shared" ref="J29:J37" si="1">IF(G29&lt;1," ",IF(I29&lt;1," ",(I29-G29)/G29))</f>
        <v>-0.12148305714979919</v>
      </c>
      <c r="K29" s="786">
        <v>1626324.0958736523</v>
      </c>
      <c r="L29" s="306">
        <f t="shared" ref="L29:L37" si="2">IF(I29&lt;1," ",IF(K29&lt;1," ",(K29-I29)/I29))</f>
        <v>2.3599999999999972E-2</v>
      </c>
    </row>
    <row r="30" spans="1:12" ht="15.75">
      <c r="A30" s="67"/>
      <c r="B30" s="277" t="s">
        <v>258</v>
      </c>
      <c r="C30" s="277"/>
      <c r="D30" s="278" t="s">
        <v>259</v>
      </c>
      <c r="E30" s="693">
        <f>'Budget-Unrestricted MYP'!F30</f>
        <v>1361635.92</v>
      </c>
      <c r="F30" s="786">
        <v>350665.37</v>
      </c>
      <c r="G30" s="786">
        <v>1511083.1570000001</v>
      </c>
      <c r="H30" s="269">
        <f t="shared" si="0"/>
        <v>0.1097556511288276</v>
      </c>
      <c r="I30" s="790">
        <v>1036123.9696266929</v>
      </c>
      <c r="J30" s="269">
        <f t="shared" si="1"/>
        <v>-0.31431704150303563</v>
      </c>
      <c r="K30" s="786">
        <v>1060576.495309883</v>
      </c>
      <c r="L30" s="306">
        <f t="shared" si="2"/>
        <v>2.3600000000000135E-2</v>
      </c>
    </row>
    <row r="31" spans="1:12" ht="15.75">
      <c r="A31" s="67"/>
      <c r="B31" s="277" t="s">
        <v>260</v>
      </c>
      <c r="C31" s="277"/>
      <c r="D31" s="278" t="s">
        <v>261</v>
      </c>
      <c r="E31" s="693">
        <f>'Budget-Unrestricted MYP'!F31</f>
        <v>1389040.6</v>
      </c>
      <c r="F31" s="786">
        <v>290233.78999999928</v>
      </c>
      <c r="G31" s="786">
        <f>1349655.6332536+20916</f>
        <v>1370571.6332536</v>
      </c>
      <c r="H31" s="269">
        <f t="shared" si="0"/>
        <v>-1.3296203686486997E-2</v>
      </c>
      <c r="I31" s="790">
        <v>1217688.6503423871</v>
      </c>
      <c r="J31" s="269">
        <f t="shared" si="1"/>
        <v>-0.11154687518833578</v>
      </c>
      <c r="K31" s="786">
        <v>1257084.4625999103</v>
      </c>
      <c r="L31" s="306">
        <f t="shared" si="2"/>
        <v>3.2352943625158982E-2</v>
      </c>
    </row>
    <row r="32" spans="1:12" ht="15.75">
      <c r="A32" s="67"/>
      <c r="B32" s="277" t="s">
        <v>262</v>
      </c>
      <c r="C32" s="277"/>
      <c r="D32" s="278" t="s">
        <v>263</v>
      </c>
      <c r="E32" s="693">
        <f>'Budget-Unrestricted MYP'!F32</f>
        <v>545283.35</v>
      </c>
      <c r="F32" s="786">
        <v>116465.40000000001</v>
      </c>
      <c r="G32" s="786">
        <v>741149.85</v>
      </c>
      <c r="H32" s="269">
        <f t="shared" si="0"/>
        <v>0.35920132166148117</v>
      </c>
      <c r="I32" s="790">
        <v>507532.84700000001</v>
      </c>
      <c r="J32" s="269">
        <f t="shared" si="1"/>
        <v>-0.31520886498189266</v>
      </c>
      <c r="K32" s="786">
        <v>517683.50393999997</v>
      </c>
      <c r="L32" s="306">
        <f t="shared" si="2"/>
        <v>1.9999999999999914E-2</v>
      </c>
    </row>
    <row r="33" spans="1:12" ht="15.75">
      <c r="A33" s="67"/>
      <c r="B33" s="277" t="s">
        <v>264</v>
      </c>
      <c r="C33" s="277"/>
      <c r="D33" s="278" t="s">
        <v>265</v>
      </c>
      <c r="E33" s="693">
        <f>'Budget-Unrestricted MYP'!F33</f>
        <v>3437167.79</v>
      </c>
      <c r="F33" s="786">
        <v>1202821.7199999993</v>
      </c>
      <c r="G33" s="786">
        <v>4271314.0199999996</v>
      </c>
      <c r="H33" s="269">
        <f t="shared" si="0"/>
        <v>0.24268417515922303</v>
      </c>
      <c r="I33" s="790">
        <v>4036740.3003999996</v>
      </c>
      <c r="J33" s="269">
        <f t="shared" si="1"/>
        <v>-5.491839712595048E-2</v>
      </c>
      <c r="K33" s="786">
        <v>4092475.1064079995</v>
      </c>
      <c r="L33" s="306">
        <f t="shared" si="2"/>
        <v>1.3806884233419024E-2</v>
      </c>
    </row>
    <row r="34" spans="1:12" ht="15.75">
      <c r="A34" s="67"/>
      <c r="B34" s="277" t="s">
        <v>266</v>
      </c>
      <c r="C34" s="277"/>
      <c r="D34" s="278" t="s">
        <v>267</v>
      </c>
      <c r="E34" s="693">
        <f>'Budget-Unrestricted MYP'!F34</f>
        <v>204240.28571428571</v>
      </c>
      <c r="F34" s="786"/>
      <c r="G34" s="786">
        <v>204240.28571428571</v>
      </c>
      <c r="H34" s="269">
        <f t="shared" si="0"/>
        <v>0</v>
      </c>
      <c r="I34" s="790">
        <v>208325.09142857144</v>
      </c>
      <c r="J34" s="269">
        <f t="shared" si="1"/>
        <v>2.000000000000007E-2</v>
      </c>
      <c r="K34" s="786">
        <v>212491.59325714287</v>
      </c>
      <c r="L34" s="306">
        <f t="shared" si="2"/>
        <v>2.0000000000000018E-2</v>
      </c>
    </row>
    <row r="35" spans="1:12" ht="15.75">
      <c r="A35" s="67"/>
      <c r="B35" s="277" t="s">
        <v>268</v>
      </c>
      <c r="C35" s="277"/>
      <c r="D35" s="278" t="s">
        <v>269</v>
      </c>
      <c r="E35" s="693">
        <f>'Budget-Unrestricted MYP'!F35</f>
        <v>0</v>
      </c>
      <c r="F35" s="786"/>
      <c r="G35" s="786"/>
      <c r="H35" s="269" t="str">
        <f>IF(E35&lt;1," ",IF(G35&lt;1," ",(G35-E35)/E35))</f>
        <v xml:space="preserve"> </v>
      </c>
      <c r="I35" s="790"/>
      <c r="J35" s="269" t="str">
        <f>IF(G35&lt;1," ",IF(I35&lt;1," ",(I35-G35)/G35))</f>
        <v xml:space="preserve"> </v>
      </c>
      <c r="K35" s="786"/>
      <c r="L35" s="306" t="str">
        <f t="shared" si="2"/>
        <v xml:space="preserve"> </v>
      </c>
    </row>
    <row r="36" spans="1:12" ht="16.5" thickBot="1">
      <c r="A36" s="67"/>
      <c r="B36" s="919" t="s">
        <v>270</v>
      </c>
      <c r="C36" s="919"/>
      <c r="D36" s="626" t="s">
        <v>271</v>
      </c>
      <c r="E36" s="700">
        <f>'Budget-Unrestricted MYP'!F36</f>
        <v>52147</v>
      </c>
      <c r="F36" s="949"/>
      <c r="G36" s="949">
        <v>52147.24</v>
      </c>
      <c r="H36" s="296">
        <f>IF(E36&lt;1," ",IF(G36&lt;1," ",(G36-E36)/E36))</f>
        <v>4.6023740579124921E-6</v>
      </c>
      <c r="I36" s="950">
        <v>53190</v>
      </c>
      <c r="J36" s="296">
        <f>IF(G36&lt;1," ",IF(I36&lt;1," ",(I36-G36)/G36))</f>
        <v>1.9996456188285366E-2</v>
      </c>
      <c r="K36" s="949">
        <v>54254</v>
      </c>
      <c r="L36" s="587">
        <f t="shared" si="2"/>
        <v>2.0003760105282948E-2</v>
      </c>
    </row>
    <row r="37" spans="1:12" ht="17.25" thickTop="1" thickBot="1">
      <c r="A37" s="67"/>
      <c r="B37" s="926" t="s">
        <v>272</v>
      </c>
      <c r="C37" s="927"/>
      <c r="D37" s="928"/>
      <c r="E37" s="897">
        <f>'Budget-Unrestricted MYP'!F37</f>
        <v>9130720.6497142855</v>
      </c>
      <c r="F37" s="897">
        <f>SUM(F29:F36)</f>
        <v>2288872.0599999987</v>
      </c>
      <c r="G37" s="897">
        <f>SUM(G29:G36)</f>
        <v>9959040.185967885</v>
      </c>
      <c r="H37" s="585">
        <f t="shared" si="0"/>
        <v>9.0717870804591844E-2</v>
      </c>
      <c r="I37" s="897">
        <f>SUM(I29:I36)</f>
        <v>8648428.6195182968</v>
      </c>
      <c r="J37" s="585">
        <f t="shared" si="1"/>
        <v>-0.13160018857000066</v>
      </c>
      <c r="K37" s="897">
        <f>SUM(K29:K36)</f>
        <v>8820889.257388588</v>
      </c>
      <c r="L37" s="588">
        <f t="shared" si="2"/>
        <v>1.9941268576937971E-2</v>
      </c>
    </row>
    <row r="38" spans="1:12" ht="17.25" thickTop="1" thickBot="1">
      <c r="A38" s="67"/>
      <c r="B38" s="1"/>
      <c r="C38" s="1"/>
      <c r="D38" s="167"/>
      <c r="E38" s="19"/>
      <c r="F38" s="1833"/>
      <c r="G38" s="1833"/>
      <c r="H38" s="1833"/>
      <c r="I38" s="1833"/>
      <c r="L38" s="470"/>
    </row>
    <row r="39" spans="1:12" ht="17.25" thickTop="1" thickBot="1">
      <c r="A39" s="1834" t="s">
        <v>273</v>
      </c>
      <c r="B39" s="1835"/>
      <c r="C39" s="1835"/>
      <c r="D39" s="1835"/>
      <c r="E39" s="951">
        <f>'Budget-Unrestricted MYP'!F39</f>
        <v>1636106.4078057148</v>
      </c>
      <c r="F39" s="951">
        <f>SUM(F26-F37)</f>
        <v>-362453.05999999866</v>
      </c>
      <c r="G39" s="951">
        <f>SUM(G26-G37)</f>
        <v>-683837.22287108377</v>
      </c>
      <c r="H39" s="943" t="str">
        <f>IF(E39&lt;1," ",IF(G39&lt;1," ",(G39-E39)/E39))</f>
        <v xml:space="preserve"> </v>
      </c>
      <c r="I39" s="951">
        <f>SUM(I26-I37)</f>
        <v>217331.59632010385</v>
      </c>
      <c r="J39" s="943" t="str">
        <f>IF(G39&lt;1," ",IF(I39&lt;1," ",(I39-G39)/G39))</f>
        <v xml:space="preserve"> </v>
      </c>
      <c r="K39" s="951">
        <f>SUM(K26-K37)</f>
        <v>439578.95844981261</v>
      </c>
      <c r="L39" s="944">
        <f>IF(I39&lt;1," ",IF(K39&lt;1," ",(K39-I39)/I39))</f>
        <v>1.0226187351164742</v>
      </c>
    </row>
    <row r="40" spans="1:12" ht="9" customHeight="1" thickTop="1">
      <c r="A40" s="67"/>
      <c r="B40" s="1"/>
      <c r="C40" s="342"/>
      <c r="D40" s="343"/>
      <c r="E40" s="83"/>
      <c r="F40" s="1719"/>
      <c r="G40" s="1719"/>
      <c r="H40" s="1719"/>
      <c r="I40" s="1719"/>
      <c r="J40" s="490"/>
      <c r="K40" s="490"/>
      <c r="L40" s="491"/>
    </row>
    <row r="41" spans="1:12" ht="15.75">
      <c r="A41" s="305" t="s">
        <v>274</v>
      </c>
      <c r="B41" s="1"/>
      <c r="C41" s="154"/>
      <c r="D41" s="344"/>
      <c r="E41" s="82"/>
      <c r="F41" s="1721"/>
      <c r="G41" s="1721"/>
      <c r="H41" s="1721"/>
      <c r="I41" s="1721"/>
      <c r="J41" s="456"/>
      <c r="K41" s="456"/>
      <c r="L41" s="474"/>
    </row>
    <row r="42" spans="1:12" ht="15.75">
      <c r="A42" s="67"/>
      <c r="B42" s="146" t="s">
        <v>275</v>
      </c>
      <c r="C42" s="140"/>
      <c r="D42" s="309">
        <v>8900</v>
      </c>
      <c r="E42" s="762">
        <f>'Budget-Unrestricted MYP'!F42</f>
        <v>0</v>
      </c>
      <c r="F42" s="786"/>
      <c r="G42" s="786"/>
      <c r="H42" s="49" t="str">
        <f>IF(E42&lt;1," ",IF(G42&lt;1," ",(G42-E42)/E42))</f>
        <v xml:space="preserve"> </v>
      </c>
      <c r="I42" s="786"/>
      <c r="J42" s="631" t="str">
        <f>IF(G42&lt;1," ",IF(I42&lt;1," ",(I42-G42)/G42))</f>
        <v xml:space="preserve"> </v>
      </c>
      <c r="K42" s="786"/>
      <c r="L42" s="630" t="str">
        <f>IF(I42&lt;1," ",IF(K42&lt;1," ",(K42-I42)/I42))</f>
        <v xml:space="preserve"> </v>
      </c>
    </row>
    <row r="43" spans="1:12" ht="16.5" thickBot="1">
      <c r="A43" s="67"/>
      <c r="B43" s="896" t="s">
        <v>276</v>
      </c>
      <c r="C43" s="152"/>
      <c r="D43" s="925">
        <v>7600</v>
      </c>
      <c r="E43" s="812">
        <f>'Budget-Unrestricted MYP'!F43</f>
        <v>0</v>
      </c>
      <c r="F43" s="802"/>
      <c r="G43" s="802"/>
      <c r="H43" s="593" t="str">
        <f>IF(E43&lt;1," ",IF(G43&lt;1," ",(G43-E43)/E43))</f>
        <v xml:space="preserve"> </v>
      </c>
      <c r="I43" s="802"/>
      <c r="J43" s="638" t="str">
        <f>IF(G43&lt;1," ",IF(I43&lt;1," ",(I43-G43)/G43))</f>
        <v xml:space="preserve"> </v>
      </c>
      <c r="K43" s="802"/>
      <c r="L43" s="639" t="str">
        <f>IF(I43&lt;1," ",IF(K43&lt;1," ",(K43-I43)/I43))</f>
        <v xml:space="preserve"> </v>
      </c>
    </row>
    <row r="44" spans="1:12" ht="17.25" thickTop="1" thickBot="1">
      <c r="A44" s="67"/>
      <c r="B44" s="1766" t="s">
        <v>277</v>
      </c>
      <c r="C44" s="1767"/>
      <c r="D44" s="1767"/>
      <c r="E44" s="897">
        <f>'Budget-Unrestricted MYP'!F44</f>
        <v>0</v>
      </c>
      <c r="F44" s="897">
        <f>F42-F43</f>
        <v>0</v>
      </c>
      <c r="G44" s="897">
        <f>G42-G43</f>
        <v>0</v>
      </c>
      <c r="H44" s="585" t="str">
        <f>IF(E44&lt;1," ",IF(G44&lt;1," ",(G44-E44)/E44))</f>
        <v xml:space="preserve"> </v>
      </c>
      <c r="I44" s="897">
        <f>I42-I43</f>
        <v>0</v>
      </c>
      <c r="J44" s="585" t="str">
        <f>IF(G44&lt;1," ",IF(I44&lt;1," ",(I44-G44)/G44))</f>
        <v xml:space="preserve"> </v>
      </c>
      <c r="K44" s="897">
        <f>K42-K43</f>
        <v>0</v>
      </c>
      <c r="L44" s="588" t="str">
        <f>IF(I44&lt;1," ",IF(K44&lt;1," ",(K44-I44)/I44))</f>
        <v xml:space="preserve"> </v>
      </c>
    </row>
    <row r="45" spans="1:12" ht="17.25" thickTop="1" thickBot="1">
      <c r="A45" s="67"/>
      <c r="B45" s="1"/>
      <c r="C45" s="1"/>
      <c r="D45" s="167"/>
      <c r="E45" s="268"/>
      <c r="F45" s="51"/>
      <c r="G45" s="51"/>
      <c r="H45" s="268"/>
      <c r="I45" s="51"/>
      <c r="J45" s="268"/>
      <c r="K45" s="51"/>
      <c r="L45" s="878"/>
    </row>
    <row r="46" spans="1:12" ht="17.25" thickTop="1" thickBot="1">
      <c r="A46" s="1831" t="s">
        <v>278</v>
      </c>
      <c r="B46" s="1832"/>
      <c r="C46" s="1832"/>
      <c r="D46" s="1832"/>
      <c r="E46" s="897">
        <f>'Budget-Unrestricted MYP'!F46</f>
        <v>1636106.4078057148</v>
      </c>
      <c r="F46" s="897">
        <f>F39+F44</f>
        <v>-362453.05999999866</v>
      </c>
      <c r="G46" s="897">
        <f>G39+G44</f>
        <v>-683837.22287108377</v>
      </c>
      <c r="H46" s="585" t="str">
        <f>IF(E46&lt;1," ",IF(G46&lt;1," ",(G46-E46)/E46))</f>
        <v xml:space="preserve"> </v>
      </c>
      <c r="I46" s="897">
        <f>I39+I44</f>
        <v>217331.59632010385</v>
      </c>
      <c r="J46" s="585" t="str">
        <f>IF(G46&lt;1," ",IF(I46&lt;1," ",(I46-G46)/G46))</f>
        <v xml:space="preserve"> </v>
      </c>
      <c r="K46" s="897">
        <f>K39+K44</f>
        <v>439578.95844981261</v>
      </c>
      <c r="L46" s="588">
        <f>IF(I46&lt;1," ",IF(K46&lt;1," ",(K46-I46)/I46))</f>
        <v>1.0226187351164742</v>
      </c>
    </row>
    <row r="47" spans="1:12" ht="9.75" customHeight="1" thickTop="1">
      <c r="A47" s="305"/>
      <c r="B47" s="1"/>
      <c r="C47" s="1"/>
      <c r="D47" s="167"/>
      <c r="E47" s="268"/>
      <c r="F47" s="1723"/>
      <c r="G47" s="1723"/>
      <c r="H47" s="1723"/>
      <c r="I47" s="1723"/>
      <c r="L47" s="470"/>
    </row>
    <row r="48" spans="1:12" ht="15.75">
      <c r="A48" s="305" t="s">
        <v>279</v>
      </c>
      <c r="B48" s="1"/>
      <c r="C48" s="154"/>
      <c r="D48" s="344"/>
      <c r="E48" s="268"/>
      <c r="F48" s="1827"/>
      <c r="G48" s="1827"/>
      <c r="H48" s="1827"/>
      <c r="I48" s="1827"/>
      <c r="J48" s="151"/>
      <c r="K48" s="151"/>
      <c r="L48" s="464"/>
    </row>
    <row r="49" spans="1:12" ht="15.75">
      <c r="A49" s="67"/>
      <c r="B49" s="292" t="s">
        <v>280</v>
      </c>
      <c r="C49" s="293"/>
      <c r="D49" s="294">
        <v>9791</v>
      </c>
      <c r="E49" s="821">
        <f>'Budget-Unrestricted MYP'!F49</f>
        <v>2328491.2500000005</v>
      </c>
      <c r="F49" s="822">
        <f>E49</f>
        <v>2328491.2500000005</v>
      </c>
      <c r="G49" s="710">
        <f>F49</f>
        <v>2328491.2500000005</v>
      </c>
      <c r="H49" s="1096"/>
      <c r="I49" s="1094"/>
      <c r="J49" s="1097"/>
      <c r="K49" s="1095"/>
      <c r="L49" s="1098"/>
    </row>
    <row r="50" spans="1:12" ht="15.75">
      <c r="A50" s="67"/>
      <c r="B50" s="314" t="s">
        <v>281</v>
      </c>
      <c r="C50" s="315"/>
      <c r="D50" s="316">
        <v>9792</v>
      </c>
      <c r="E50" s="889"/>
      <c r="F50" s="808">
        <f>G50</f>
        <v>-331642.78000000003</v>
      </c>
      <c r="G50" s="823">
        <f>1996848.22-2328491</f>
        <v>-331642.78000000003</v>
      </c>
      <c r="H50" s="621"/>
      <c r="I50" s="797"/>
      <c r="J50" s="594"/>
      <c r="K50" s="795"/>
      <c r="L50" s="596"/>
    </row>
    <row r="51" spans="1:12" ht="15.75">
      <c r="A51" s="67"/>
      <c r="B51" s="1733" t="s">
        <v>282</v>
      </c>
      <c r="C51" s="1734"/>
      <c r="D51" s="1735"/>
      <c r="E51" s="889"/>
      <c r="F51" s="808">
        <f>F49+F50</f>
        <v>1996848.4700000004</v>
      </c>
      <c r="G51" s="761">
        <f>G49+G50</f>
        <v>1996848.4700000004</v>
      </c>
      <c r="H51" s="621"/>
      <c r="I51" s="797"/>
      <c r="J51" s="594"/>
      <c r="K51" s="795"/>
      <c r="L51" s="596"/>
    </row>
    <row r="52" spans="1:12" ht="15.75">
      <c r="A52" s="67"/>
      <c r="B52" s="314" t="s">
        <v>283</v>
      </c>
      <c r="C52" s="315"/>
      <c r="D52" s="316">
        <v>9793</v>
      </c>
      <c r="E52" s="889"/>
      <c r="F52" s="823">
        <v>0</v>
      </c>
      <c r="G52" s="823">
        <v>0</v>
      </c>
      <c r="H52" s="621"/>
      <c r="I52" s="1007"/>
      <c r="J52" s="594"/>
      <c r="K52" s="795"/>
      <c r="L52" s="596"/>
    </row>
    <row r="53" spans="1:12" ht="15.75">
      <c r="A53" s="67"/>
      <c r="B53" s="314" t="s">
        <v>284</v>
      </c>
      <c r="C53" s="315"/>
      <c r="D53" s="316">
        <v>9795</v>
      </c>
      <c r="E53" s="889"/>
      <c r="F53" s="823">
        <v>0</v>
      </c>
      <c r="G53" s="823">
        <v>0</v>
      </c>
      <c r="H53" s="621"/>
      <c r="I53" s="798"/>
      <c r="J53" s="595"/>
      <c r="K53" s="796"/>
      <c r="L53" s="597"/>
    </row>
    <row r="54" spans="1:12" ht="16.5" thickBot="1">
      <c r="A54" s="67"/>
      <c r="B54" s="907" t="s">
        <v>285</v>
      </c>
      <c r="C54" s="501"/>
      <c r="D54" s="908"/>
      <c r="E54" s="890"/>
      <c r="F54" s="824">
        <f>F51+F52+F53</f>
        <v>1996848.4700000004</v>
      </c>
      <c r="G54" s="811">
        <f>G51+G52+G53</f>
        <v>1996848.4700000004</v>
      </c>
      <c r="H54" s="612"/>
      <c r="I54" s="1117">
        <f>G55</f>
        <v>1313011.2471289167</v>
      </c>
      <c r="J54" s="595"/>
      <c r="K54" s="1118">
        <f>I55</f>
        <v>1530342.8434490205</v>
      </c>
      <c r="L54" s="597"/>
    </row>
    <row r="55" spans="1:12" ht="17.25" thickTop="1" thickBot="1">
      <c r="A55" s="67"/>
      <c r="B55" s="909" t="s">
        <v>286</v>
      </c>
      <c r="C55" s="910"/>
      <c r="D55" s="911">
        <v>9790</v>
      </c>
      <c r="E55" s="897">
        <f>'Budget-Unrestricted MYP'!F55</f>
        <v>3964597.6578057152</v>
      </c>
      <c r="F55" s="897">
        <f>F54+F46</f>
        <v>1634395.4100000018</v>
      </c>
      <c r="G55" s="897">
        <f>G54+G46</f>
        <v>1313011.2471289167</v>
      </c>
      <c r="H55" s="585">
        <f>IF(E55&lt;1," ",IF(G55&lt;1," ",(G55-E55)/E55))</f>
        <v>-0.66881601603537533</v>
      </c>
      <c r="I55" s="897">
        <f>I54+I46</f>
        <v>1530342.8434490205</v>
      </c>
      <c r="J55" s="585">
        <f>IF(G55&lt;1," ",IF(I55&lt;1," ",(I55-G55)/G55))</f>
        <v>0.16552150394395318</v>
      </c>
      <c r="K55" s="897">
        <f>K46+K54</f>
        <v>1969921.8018988331</v>
      </c>
      <c r="L55" s="588">
        <f>IF(I55&lt;1," ",IF(K55&lt;1," ",(K55-I55)/I55))</f>
        <v>0.28724214337429682</v>
      </c>
    </row>
    <row r="56" spans="1:12" ht="10.5" customHeight="1" thickTop="1">
      <c r="A56" s="67"/>
      <c r="B56" s="1"/>
      <c r="C56" s="1"/>
      <c r="D56" s="167"/>
      <c r="E56" s="766"/>
      <c r="F56" s="512"/>
      <c r="G56" s="512"/>
      <c r="H56" s="168"/>
      <c r="I56" s="51"/>
      <c r="J56" s="168"/>
      <c r="K56" s="51"/>
      <c r="L56" s="473"/>
    </row>
    <row r="57" spans="1:12" ht="15.75">
      <c r="A57" s="323" t="s">
        <v>287</v>
      </c>
      <c r="B57" s="151"/>
      <c r="C57" s="478"/>
      <c r="D57" s="479" t="s">
        <v>103</v>
      </c>
      <c r="E57" s="480"/>
      <c r="F57" s="482"/>
      <c r="G57" s="482"/>
      <c r="H57" s="480"/>
      <c r="I57" s="482"/>
      <c r="J57" s="480"/>
      <c r="K57" s="482"/>
      <c r="L57" s="483"/>
    </row>
    <row r="58" spans="1:12" ht="15.75">
      <c r="A58" s="67"/>
      <c r="B58" s="347" t="s">
        <v>288</v>
      </c>
      <c r="C58" s="352" t="s">
        <v>289</v>
      </c>
      <c r="D58" s="353"/>
      <c r="E58" s="598"/>
      <c r="F58" s="1828"/>
      <c r="G58" s="1828"/>
      <c r="H58" s="1828"/>
      <c r="I58" s="1828"/>
      <c r="J58" s="145"/>
      <c r="K58" s="145"/>
      <c r="L58" s="599"/>
    </row>
    <row r="59" spans="1:12" ht="15.75">
      <c r="A59" s="67"/>
      <c r="B59" s="1620"/>
      <c r="C59" s="348" t="s">
        <v>290</v>
      </c>
      <c r="D59" s="288">
        <v>9711</v>
      </c>
      <c r="E59" s="693">
        <f>'Budget-Unrestricted MYP'!F59</f>
        <v>0</v>
      </c>
      <c r="F59" s="825">
        <v>0</v>
      </c>
      <c r="G59" s="825">
        <v>0</v>
      </c>
      <c r="H59" s="269" t="str">
        <f>IF(E59&lt;1," ",IF(G59&lt;1," ",(G59-E59)/E59))</f>
        <v xml:space="preserve"> </v>
      </c>
      <c r="I59" s="825"/>
      <c r="J59" s="634" t="str">
        <f>IF(G59&lt;1," ",IF(I59&lt;1," ",(I59-G59)/G59))</f>
        <v xml:space="preserve"> </v>
      </c>
      <c r="K59" s="825"/>
      <c r="L59" s="636" t="str">
        <f>IF(I59&lt;1," ",IF(K59&lt;1," ",(K59-I59)/I59))</f>
        <v xml:space="preserve"> </v>
      </c>
    </row>
    <row r="60" spans="1:12" ht="15.75">
      <c r="A60" s="67"/>
      <c r="B60" s="347"/>
      <c r="C60" s="348" t="s">
        <v>291</v>
      </c>
      <c r="D60" s="288">
        <v>9712</v>
      </c>
      <c r="E60" s="827">
        <f>'Budget-Unrestricted MYP'!F60</f>
        <v>0</v>
      </c>
      <c r="F60" s="825">
        <v>0</v>
      </c>
      <c r="G60" s="825">
        <v>0</v>
      </c>
      <c r="H60" s="632" t="str">
        <f>IF(E60&lt;1," ",IF(G60&lt;1," ",(G60-E60)/E60))</f>
        <v xml:space="preserve"> </v>
      </c>
      <c r="I60" s="825"/>
      <c r="J60" s="635" t="str">
        <f>IF(G60&lt;1," ",IF(I60&lt;1," ",(I60-G60)/G60))</f>
        <v xml:space="preserve"> </v>
      </c>
      <c r="K60" s="825"/>
      <c r="L60" s="636" t="str">
        <f>IF(I60&lt;1," ",IF(K60&lt;1," ",(K60-I60)/I60))</f>
        <v xml:space="preserve"> </v>
      </c>
    </row>
    <row r="61" spans="1:12" ht="15.75">
      <c r="A61" s="67"/>
      <c r="B61" s="347"/>
      <c r="C61" s="348" t="s">
        <v>292</v>
      </c>
      <c r="D61" s="288">
        <v>9713</v>
      </c>
      <c r="E61" s="761">
        <f>'Budget-Unrestricted MYP'!F61</f>
        <v>0</v>
      </c>
      <c r="F61" s="801">
        <v>0</v>
      </c>
      <c r="G61" s="801">
        <v>0</v>
      </c>
      <c r="H61" s="49" t="str">
        <f>IF(E61&lt;1," ",IF(G61&lt;1," ",(G61-E61)/E61))</f>
        <v xml:space="preserve"> </v>
      </c>
      <c r="I61" s="801"/>
      <c r="J61" s="631" t="str">
        <f>IF(G61&lt;1," ",IF(I61&lt;1," ",(I61-G61)/G61))</f>
        <v xml:space="preserve"> </v>
      </c>
      <c r="K61" s="801"/>
      <c r="L61" s="630" t="str">
        <f>IF(I61&lt;1," ",IF(K61&lt;1," ",(K61-I61)/I61))</f>
        <v xml:space="preserve"> </v>
      </c>
    </row>
    <row r="62" spans="1:12" ht="15.75">
      <c r="A62" s="67"/>
      <c r="B62" s="347"/>
      <c r="C62" s="348" t="s">
        <v>293</v>
      </c>
      <c r="D62" s="288">
        <v>9719</v>
      </c>
      <c r="E62" s="761">
        <f>'Budget-Unrestricted MYP'!F62</f>
        <v>0</v>
      </c>
      <c r="F62" s="801">
        <v>0</v>
      </c>
      <c r="G62" s="801">
        <v>0</v>
      </c>
      <c r="H62" s="49" t="str">
        <f>IF(E62&lt;1," ",IF(G62&lt;1," ",(G62-E62)/E62))</f>
        <v xml:space="preserve"> </v>
      </c>
      <c r="I62" s="801"/>
      <c r="J62" s="631" t="str">
        <f>IF(G62&lt;1," ",IF(I62&lt;1," ",(I62-G62)/G62))</f>
        <v xml:space="preserve"> </v>
      </c>
      <c r="K62" s="801"/>
      <c r="L62" s="630" t="str">
        <f>IF(I62&lt;1," ",IF(K62&lt;1," ",(K62-I62)/I62))</f>
        <v xml:space="preserve"> </v>
      </c>
    </row>
    <row r="63" spans="1:12" ht="15.75">
      <c r="A63" s="325"/>
      <c r="B63" s="475" t="s">
        <v>294</v>
      </c>
      <c r="C63" s="476" t="s">
        <v>295</v>
      </c>
      <c r="D63" s="477">
        <v>9740</v>
      </c>
      <c r="E63" s="828"/>
      <c r="F63" s="826"/>
      <c r="G63" s="826"/>
      <c r="H63" s="621"/>
      <c r="I63" s="826"/>
      <c r="J63" s="594"/>
      <c r="K63" s="826"/>
      <c r="L63" s="596"/>
    </row>
    <row r="64" spans="1:12" ht="15.75">
      <c r="A64" s="67"/>
      <c r="B64" s="347" t="s">
        <v>296</v>
      </c>
      <c r="C64" s="352" t="s">
        <v>297</v>
      </c>
      <c r="D64" s="985"/>
      <c r="E64" s="829"/>
      <c r="F64" s="830"/>
      <c r="G64" s="830"/>
      <c r="H64" s="633"/>
      <c r="I64" s="830"/>
      <c r="J64" s="633"/>
      <c r="K64" s="830"/>
      <c r="L64" s="637"/>
    </row>
    <row r="65" spans="1:12" ht="15.75">
      <c r="A65" s="67"/>
      <c r="B65" s="347"/>
      <c r="C65" s="348" t="s">
        <v>298</v>
      </c>
      <c r="D65" s="289">
        <v>9750</v>
      </c>
      <c r="E65" s="761">
        <f>'Budget-Unrestricted MYP'!F65</f>
        <v>0</v>
      </c>
      <c r="F65" s="801">
        <v>0</v>
      </c>
      <c r="G65" s="801">
        <v>0</v>
      </c>
      <c r="H65" s="49" t="str">
        <f>IF(E65&lt;1," ",IF(G65&lt;1," ",(G65-E65)/E65))</f>
        <v xml:space="preserve"> </v>
      </c>
      <c r="I65" s="801"/>
      <c r="J65" s="631" t="str">
        <f>IF(G65&lt;1," ",IF(I65&lt;1," ",(I65-G65)/G65))</f>
        <v xml:space="preserve"> </v>
      </c>
      <c r="K65" s="801"/>
      <c r="L65" s="630" t="str">
        <f>IF(I65&lt;1," ",IF(K65&lt;1," ",(K65-I65)/I65))</f>
        <v xml:space="preserve"> </v>
      </c>
    </row>
    <row r="66" spans="1:12" ht="15.75">
      <c r="A66" s="67"/>
      <c r="B66" s="347"/>
      <c r="C66" s="348" t="s">
        <v>299</v>
      </c>
      <c r="D66" s="289">
        <v>9760</v>
      </c>
      <c r="E66" s="761">
        <f>'Budget-Unrestricted MYP'!F66</f>
        <v>0</v>
      </c>
      <c r="F66" s="801">
        <v>0</v>
      </c>
      <c r="G66" s="801">
        <v>0</v>
      </c>
      <c r="H66" s="49" t="str">
        <f>IF(E66&lt;1," ",IF(G66&lt;1," ",(G66-E66)/E66))</f>
        <v xml:space="preserve"> </v>
      </c>
      <c r="I66" s="801"/>
      <c r="J66" s="631" t="str">
        <f>IF(G66&lt;1," ",IF(I66&lt;1," ",(I66-G66)/G66))</f>
        <v xml:space="preserve"> </v>
      </c>
      <c r="K66" s="801"/>
      <c r="L66" s="630" t="str">
        <f>IF(I66&lt;1," ",IF(K66&lt;1," ",(K66-I66)/I66))</f>
        <v xml:space="preserve"> </v>
      </c>
    </row>
    <row r="67" spans="1:12" ht="15.75">
      <c r="A67" s="67"/>
      <c r="B67" s="347" t="s">
        <v>300</v>
      </c>
      <c r="C67" s="349" t="s">
        <v>301</v>
      </c>
      <c r="D67" s="288">
        <v>9780</v>
      </c>
      <c r="E67" s="761">
        <f>'Budget-Unrestricted MYP'!F67</f>
        <v>0</v>
      </c>
      <c r="F67" s="801">
        <v>0</v>
      </c>
      <c r="G67" s="801">
        <v>0</v>
      </c>
      <c r="H67" s="49" t="str">
        <f>IF(E67&lt;1," ",IF(G67&lt;1," ",(G67-E67)/E67))</f>
        <v xml:space="preserve"> </v>
      </c>
      <c r="I67" s="801"/>
      <c r="J67" s="631" t="str">
        <f>IF(G67&lt;1," ",IF(I67&lt;1," ",(I67-G67)/G67))</f>
        <v xml:space="preserve"> </v>
      </c>
      <c r="K67" s="801"/>
      <c r="L67" s="630" t="str">
        <f>IF(I67&lt;1," ",IF(K67&lt;1," ",(K67-I67)/I67))</f>
        <v xml:space="preserve"> </v>
      </c>
    </row>
    <row r="68" spans="1:12" ht="15.75">
      <c r="A68" s="67"/>
      <c r="B68" s="347" t="s">
        <v>302</v>
      </c>
      <c r="C68" s="352" t="s">
        <v>303</v>
      </c>
      <c r="D68" s="601"/>
      <c r="E68" s="829"/>
      <c r="F68" s="830"/>
      <c r="G68" s="830"/>
      <c r="H68" s="633"/>
      <c r="I68" s="830"/>
      <c r="J68" s="633"/>
      <c r="K68" s="830"/>
      <c r="L68" s="637"/>
    </row>
    <row r="69" spans="1:12" ht="15.75">
      <c r="A69" s="67"/>
      <c r="B69" s="347"/>
      <c r="C69" s="348" t="s">
        <v>304</v>
      </c>
      <c r="D69" s="289">
        <v>9789</v>
      </c>
      <c r="E69" s="761">
        <f>'Budget-Unrestricted MYP'!F69</f>
        <v>0</v>
      </c>
      <c r="F69" s="800">
        <v>1634395</v>
      </c>
      <c r="G69" s="800">
        <v>1313011</v>
      </c>
      <c r="H69" s="49" t="str">
        <f>IF(E69&lt;1," ",IF(G69&lt;1," ",(G69-E69)/E69))</f>
        <v xml:space="preserve"> </v>
      </c>
      <c r="I69" s="800"/>
      <c r="J69" s="631" t="str">
        <f>IF(G69&lt;1," ",IF(I69&lt;1," ",(I69-G69)/G69))</f>
        <v xml:space="preserve"> </v>
      </c>
      <c r="K69" s="800"/>
      <c r="L69" s="630" t="str">
        <f>IF(I69&lt;1," ",IF(K69&lt;1," ",(K69-I69)/I69))</f>
        <v xml:space="preserve"> </v>
      </c>
    </row>
    <row r="70" spans="1:12" ht="16.5" thickBot="1">
      <c r="A70" s="67"/>
      <c r="B70" s="896"/>
      <c r="C70" s="902" t="s">
        <v>305</v>
      </c>
      <c r="D70" s="626">
        <v>9790</v>
      </c>
      <c r="E70" s="812">
        <f>E55-E65-E66-E67-E69-E59-E60-E61-E62-E63</f>
        <v>3964597.6578057152</v>
      </c>
      <c r="F70" s="812">
        <f>F55-F65-F66-F67-F69-F59-F60-F61-F62-F63</f>
        <v>0.41000000177882612</v>
      </c>
      <c r="G70" s="812">
        <f>G55-G65-G66-G67-G69-G59-G60-G61-G62-G63</f>
        <v>0.24712891667149961</v>
      </c>
      <c r="H70" s="593" t="str">
        <f>IF(E70&lt;1," ",IF(G70&lt;1," ",(G70-E70)/E70))</f>
        <v xml:space="preserve"> </v>
      </c>
      <c r="I70" s="812">
        <f>I55-I65-I66-I67-I69-I59-I60-I61-I62-I63</f>
        <v>1530342.8434490205</v>
      </c>
      <c r="J70" s="638" t="str">
        <f>IF(G70&lt;1," ",IF(I70&lt;1," ",(I70-G70)/G70))</f>
        <v xml:space="preserve"> </v>
      </c>
      <c r="K70" s="812">
        <f>K55-K65-K66-K67-K69-K59-K60-K61-K62-K63</f>
        <v>1969921.8018988331</v>
      </c>
      <c r="L70" s="639">
        <f>IF(I70&lt;1," ",IF(K70&lt;1," ",(K70-I70)/I70))</f>
        <v>0.28724214337429682</v>
      </c>
    </row>
    <row r="71" spans="1:12" ht="17.25" thickTop="1" thickBot="1">
      <c r="A71" s="67"/>
      <c r="B71" s="1111"/>
      <c r="C71" s="1112"/>
      <c r="D71" s="1113"/>
      <c r="E71" s="1114"/>
      <c r="F71" s="1114"/>
      <c r="G71" s="1114"/>
      <c r="H71" s="1115"/>
      <c r="I71" s="1114"/>
      <c r="J71" s="1115"/>
      <c r="K71" s="1114"/>
      <c r="L71" s="1116"/>
    </row>
    <row r="72" spans="1:12" ht="8.25" customHeight="1" thickTop="1">
      <c r="A72" s="331"/>
      <c r="B72" s="224"/>
      <c r="C72" s="224"/>
      <c r="D72" s="224"/>
      <c r="E72" s="1109"/>
      <c r="F72" s="1109"/>
      <c r="G72" s="225"/>
      <c r="H72" s="225"/>
      <c r="I72" s="1109"/>
      <c r="J72" s="225"/>
      <c r="K72" s="1110"/>
      <c r="L72" s="470"/>
    </row>
    <row r="73" spans="1:12" ht="15.75">
      <c r="A73" s="331" t="s">
        <v>306</v>
      </c>
      <c r="B73" s="224"/>
      <c r="C73" s="224"/>
      <c r="D73" s="224"/>
      <c r="E73" s="224"/>
      <c r="F73" s="1698"/>
      <c r="G73" s="1698"/>
      <c r="H73" s="1698"/>
      <c r="I73" s="1698"/>
      <c r="J73" s="1698"/>
      <c r="L73" s="470"/>
    </row>
    <row r="74" spans="1:12" ht="16.5">
      <c r="A74" s="283"/>
      <c r="B74" s="165"/>
      <c r="C74" s="1742" t="s">
        <v>307</v>
      </c>
      <c r="D74" s="1742"/>
      <c r="E74" s="1742"/>
      <c r="F74" s="1742"/>
      <c r="G74" s="1742"/>
      <c r="H74" s="1742"/>
      <c r="I74" s="1742"/>
      <c r="J74" s="1742"/>
      <c r="K74" s="456"/>
      <c r="L74" s="470"/>
    </row>
    <row r="75" spans="1:12" ht="15.75">
      <c r="A75" s="331"/>
      <c r="B75" s="290">
        <v>1</v>
      </c>
      <c r="C75" s="1712" t="s">
        <v>308</v>
      </c>
      <c r="D75" s="1712"/>
      <c r="E75" s="1129">
        <f>'Budget-Unrestricted MYP'!F75</f>
        <v>0</v>
      </c>
      <c r="F75" s="717"/>
      <c r="G75" s="717"/>
      <c r="H75" s="49" t="str">
        <f>IF(E75&lt;1," ",IF(G75&lt;1," ",(G75-E75)/E75))</f>
        <v xml:space="preserve"> </v>
      </c>
      <c r="I75" s="723"/>
      <c r="J75" s="487" t="str">
        <f t="shared" ref="J75:J84" si="3">IF(G75&lt;1," ",IF(I75&lt;1," ",(I75-G75)/G75))</f>
        <v xml:space="preserve"> </v>
      </c>
      <c r="K75" s="707"/>
      <c r="L75" s="486" t="str">
        <f t="shared" ref="L75:L84" si="4">IF(I75&lt;1," ",IF(K75&lt;1," ",(K75-I75)/I75))</f>
        <v xml:space="preserve"> </v>
      </c>
    </row>
    <row r="76" spans="1:12" ht="15.75">
      <c r="A76" s="283"/>
      <c r="B76" s="290">
        <v>2</v>
      </c>
      <c r="C76" s="1710"/>
      <c r="D76" s="1710"/>
      <c r="E76" s="1125">
        <f>'Budget-Unrestricted MYP'!F76</f>
        <v>0</v>
      </c>
      <c r="F76" s="717"/>
      <c r="G76" s="717"/>
      <c r="H76" s="49" t="str">
        <f t="shared" ref="H76:H83" si="5">IF(E76&lt;1," ",IF(G76&lt;1," ",(G76-E76)/E76))</f>
        <v xml:space="preserve"> </v>
      </c>
      <c r="I76" s="723"/>
      <c r="J76" s="487" t="str">
        <f t="shared" si="3"/>
        <v xml:space="preserve"> </v>
      </c>
      <c r="K76" s="707"/>
      <c r="L76" s="486" t="str">
        <f t="shared" si="4"/>
        <v xml:space="preserve"> </v>
      </c>
    </row>
    <row r="77" spans="1:12" ht="15.75">
      <c r="A77" s="283"/>
      <c r="B77" s="290">
        <v>3</v>
      </c>
      <c r="C77" s="1710"/>
      <c r="D77" s="1710"/>
      <c r="E77" s="1125">
        <f>'Budget-Unrestricted MYP'!F77</f>
        <v>0</v>
      </c>
      <c r="F77" s="717"/>
      <c r="G77" s="717"/>
      <c r="H77" s="49" t="str">
        <f t="shared" si="5"/>
        <v xml:space="preserve"> </v>
      </c>
      <c r="I77" s="723"/>
      <c r="J77" s="487" t="str">
        <f t="shared" si="3"/>
        <v xml:space="preserve"> </v>
      </c>
      <c r="K77" s="707"/>
      <c r="L77" s="486" t="str">
        <f t="shared" si="4"/>
        <v xml:space="preserve"> </v>
      </c>
    </row>
    <row r="78" spans="1:12" ht="15.75">
      <c r="A78" s="283"/>
      <c r="B78" s="290">
        <v>4</v>
      </c>
      <c r="C78" s="1710"/>
      <c r="D78" s="1710"/>
      <c r="E78" s="1125">
        <f>'Budget-Unrestricted MYP'!F78</f>
        <v>0</v>
      </c>
      <c r="F78" s="717"/>
      <c r="G78" s="717"/>
      <c r="H78" s="49" t="str">
        <f t="shared" si="5"/>
        <v xml:space="preserve"> </v>
      </c>
      <c r="I78" s="723"/>
      <c r="J78" s="487" t="str">
        <f t="shared" si="3"/>
        <v xml:space="preserve"> </v>
      </c>
      <c r="K78" s="707"/>
      <c r="L78" s="486" t="str">
        <f t="shared" si="4"/>
        <v xml:space="preserve"> </v>
      </c>
    </row>
    <row r="79" spans="1:12" ht="15.75">
      <c r="A79" s="283"/>
      <c r="B79" s="290">
        <v>5</v>
      </c>
      <c r="C79" s="1710"/>
      <c r="D79" s="1710"/>
      <c r="E79" s="1125">
        <f>'Budget-Unrestricted MYP'!F79</f>
        <v>0</v>
      </c>
      <c r="F79" s="717"/>
      <c r="G79" s="717"/>
      <c r="H79" s="49" t="str">
        <f t="shared" si="5"/>
        <v xml:space="preserve"> </v>
      </c>
      <c r="I79" s="723"/>
      <c r="J79" s="487" t="str">
        <f t="shared" si="3"/>
        <v xml:space="preserve"> </v>
      </c>
      <c r="K79" s="707"/>
      <c r="L79" s="486" t="str">
        <f t="shared" si="4"/>
        <v xml:space="preserve"> </v>
      </c>
    </row>
    <row r="80" spans="1:12" ht="15.75">
      <c r="A80" s="283"/>
      <c r="B80" s="291">
        <v>6</v>
      </c>
      <c r="C80" s="1713"/>
      <c r="D80" s="1713"/>
      <c r="E80" s="1125">
        <f>'Budget-Unrestricted MYP'!F80</f>
        <v>0</v>
      </c>
      <c r="F80" s="717"/>
      <c r="G80" s="717"/>
      <c r="H80" s="49" t="str">
        <f t="shared" si="5"/>
        <v xml:space="preserve"> </v>
      </c>
      <c r="I80" s="723"/>
      <c r="J80" s="487" t="str">
        <f t="shared" si="3"/>
        <v xml:space="preserve"> </v>
      </c>
      <c r="K80" s="707"/>
      <c r="L80" s="486" t="str">
        <f t="shared" si="4"/>
        <v xml:space="preserve"> </v>
      </c>
    </row>
    <row r="81" spans="1:12" ht="15.75">
      <c r="A81" s="283"/>
      <c r="B81" s="291">
        <v>7</v>
      </c>
      <c r="C81" s="1713"/>
      <c r="D81" s="1713"/>
      <c r="E81" s="1125">
        <f>'Budget-Unrestricted MYP'!F81</f>
        <v>0</v>
      </c>
      <c r="F81" s="717"/>
      <c r="G81" s="717"/>
      <c r="H81" s="49" t="str">
        <f t="shared" si="5"/>
        <v xml:space="preserve"> </v>
      </c>
      <c r="I81" s="723"/>
      <c r="J81" s="487" t="str">
        <f t="shared" si="3"/>
        <v xml:space="preserve"> </v>
      </c>
      <c r="K81" s="707"/>
      <c r="L81" s="486" t="str">
        <f t="shared" si="4"/>
        <v xml:space="preserve"> </v>
      </c>
    </row>
    <row r="82" spans="1:12" ht="15.75">
      <c r="A82" s="67"/>
      <c r="B82" s="291">
        <v>8</v>
      </c>
      <c r="C82" s="1713"/>
      <c r="D82" s="1713"/>
      <c r="E82" s="1128">
        <f>'Budget-Unrestricted MYP'!F82</f>
        <v>0</v>
      </c>
      <c r="F82" s="718"/>
      <c r="G82" s="718"/>
      <c r="H82" s="49" t="str">
        <f t="shared" si="5"/>
        <v xml:space="preserve"> </v>
      </c>
      <c r="I82" s="725"/>
      <c r="J82" s="487" t="str">
        <f t="shared" si="3"/>
        <v xml:space="preserve"> </v>
      </c>
      <c r="K82" s="714"/>
      <c r="L82" s="486" t="str">
        <f t="shared" si="4"/>
        <v xml:space="preserve"> </v>
      </c>
    </row>
    <row r="83" spans="1:12" ht="16.5" thickBot="1">
      <c r="A83" s="67"/>
      <c r="B83" s="935">
        <v>9</v>
      </c>
      <c r="C83" s="1764"/>
      <c r="D83" s="1764"/>
      <c r="E83" s="1118">
        <f>'Budget-Unrestricted MYP'!F83</f>
        <v>0</v>
      </c>
      <c r="F83" s="719"/>
      <c r="G83" s="719"/>
      <c r="H83" s="49" t="str">
        <f t="shared" si="5"/>
        <v xml:space="preserve"> </v>
      </c>
      <c r="I83" s="831"/>
      <c r="J83" s="488" t="str">
        <f t="shared" si="3"/>
        <v xml:space="preserve"> </v>
      </c>
      <c r="K83" s="708"/>
      <c r="L83" s="489" t="str">
        <f t="shared" si="4"/>
        <v xml:space="preserve"> </v>
      </c>
    </row>
    <row r="84" spans="1:12" ht="17.25" thickTop="1" thickBot="1">
      <c r="A84" s="67"/>
      <c r="B84" s="936" t="s">
        <v>103</v>
      </c>
      <c r="C84" s="1700" t="s">
        <v>309</v>
      </c>
      <c r="D84" s="1701"/>
      <c r="E84" s="1142">
        <f>'Budget-Unrestricted MYP'!F84</f>
        <v>0</v>
      </c>
      <c r="F84" s="897">
        <f>SUM(F75:F83)</f>
        <v>0</v>
      </c>
      <c r="G84" s="897">
        <f>SUM(G75:G83)</f>
        <v>0</v>
      </c>
      <c r="H84" s="1119" t="str">
        <f>IF(E84&lt;1," ",IF(G84&lt;1," ",(G84-E84)/E84))</f>
        <v xml:space="preserve"> </v>
      </c>
      <c r="I84" s="897">
        <f>SUM(I75:I83)</f>
        <v>0</v>
      </c>
      <c r="J84" s="898" t="str">
        <f t="shared" si="3"/>
        <v xml:space="preserve"> </v>
      </c>
      <c r="K84" s="897">
        <f>SUM(K75:K83)</f>
        <v>0</v>
      </c>
      <c r="L84" s="899" t="str">
        <f t="shared" si="4"/>
        <v xml:space="preserve"> </v>
      </c>
    </row>
    <row r="85" spans="1:12" ht="10.5" customHeight="1" thickTop="1">
      <c r="A85" s="67"/>
      <c r="B85" s="946"/>
      <c r="C85" s="947"/>
      <c r="D85" s="947"/>
      <c r="E85" s="168"/>
      <c r="F85" s="51"/>
      <c r="G85" s="168"/>
      <c r="H85" s="51"/>
      <c r="I85" s="168"/>
      <c r="J85" s="51"/>
      <c r="K85" s="51"/>
      <c r="L85" s="879"/>
    </row>
    <row r="86" spans="1:12" ht="15.75">
      <c r="A86" s="67"/>
      <c r="B86" s="350" t="s">
        <v>310</v>
      </c>
      <c r="C86" s="166"/>
      <c r="D86" s="166"/>
      <c r="E86" s="974"/>
      <c r="F86" s="1101"/>
      <c r="G86" s="972">
        <f>'1st Interim-Assumptions'!G16</f>
        <v>163</v>
      </c>
      <c r="H86" s="468"/>
      <c r="I86" s="972">
        <f>'1st Interim-Assumptions'!H16</f>
        <v>163</v>
      </c>
      <c r="J86" s="468"/>
      <c r="K86" s="972">
        <f>'1st Interim-Assumptions'!J16</f>
        <v>163</v>
      </c>
      <c r="L86" s="687"/>
    </row>
    <row r="87" spans="1:12" ht="15.75">
      <c r="A87" s="283"/>
      <c r="B87" s="350" t="s">
        <v>311</v>
      </c>
      <c r="C87" s="166"/>
      <c r="D87" s="166"/>
      <c r="E87" s="970"/>
      <c r="F87" s="1102"/>
      <c r="G87" s="975">
        <f>(1.04446*'1st Interim-ADA'!O76)*G86</f>
        <v>114262.96309679998</v>
      </c>
      <c r="H87" s="49" t="str">
        <f>IF(E87&lt;1," ",IF(G87&lt;1," ",(G87-E87)/E87))</f>
        <v xml:space="preserve"> </v>
      </c>
      <c r="I87" s="975">
        <f>(1.04446*'1st Interim-ADA'!R76)*I86</f>
        <v>135530.21583839998</v>
      </c>
      <c r="J87" s="271">
        <f>IF(G87&lt;1," ",IF(I87&lt;1," ",(I87-G87)/G87))</f>
        <v>0.18612551403540137</v>
      </c>
      <c r="K87" s="975">
        <f>(1.04446*'1st Interim-ADA'!U76)*K86</f>
        <v>135530.21583839998</v>
      </c>
      <c r="L87" s="307">
        <f>IF(I87&lt;1," ",IF(K87&lt;1," ",(K87-I87)/I87))</f>
        <v>0</v>
      </c>
    </row>
    <row r="88" spans="1:12" ht="7.5" customHeight="1">
      <c r="A88" s="67"/>
      <c r="B88" s="360"/>
      <c r="C88" s="360"/>
      <c r="D88" s="360"/>
      <c r="E88" s="967"/>
      <c r="F88" s="51"/>
      <c r="G88" s="51"/>
      <c r="H88" s="968"/>
      <c r="I88" s="51"/>
      <c r="J88" s="968"/>
      <c r="K88" s="51"/>
      <c r="L88" s="879"/>
    </row>
    <row r="89" spans="1:12" ht="15.75">
      <c r="A89" s="283"/>
      <c r="B89" s="165"/>
      <c r="C89" s="165" t="s">
        <v>552</v>
      </c>
      <c r="D89" s="165"/>
      <c r="E89" s="165"/>
      <c r="F89" s="1706"/>
      <c r="G89" s="1706"/>
      <c r="H89" s="1706"/>
      <c r="I89" s="1706"/>
      <c r="J89" s="1706"/>
      <c r="K89" s="51"/>
      <c r="L89" s="604"/>
    </row>
    <row r="90" spans="1:12" ht="15.75">
      <c r="A90" s="283"/>
      <c r="B90" s="290">
        <v>1</v>
      </c>
      <c r="C90" s="1712" t="s">
        <v>553</v>
      </c>
      <c r="D90" s="1712"/>
      <c r="E90" s="1128">
        <f>'Budget-Unrestricted MYP'!F90</f>
        <v>32543</v>
      </c>
      <c r="F90" s="717">
        <v>0</v>
      </c>
      <c r="G90" s="717">
        <v>32543</v>
      </c>
      <c r="H90" s="1121">
        <f t="shared" ref="H90:H108" si="6">IF(E90&lt;1," ",IF(G90&lt;1," ",(G90-E90)/E90))</f>
        <v>0</v>
      </c>
      <c r="I90" s="723">
        <v>33350</v>
      </c>
      <c r="J90" s="488">
        <f t="shared" ref="J90:J108" si="7">IF(G90&lt;1," ",IF(I90&lt;1," ",(I90-G90)/G90))</f>
        <v>2.4797959622653104E-2</v>
      </c>
      <c r="K90" s="712">
        <v>34387</v>
      </c>
      <c r="L90" s="605">
        <f t="shared" ref="L90:L108" si="8">IF(I90&lt;1," ",IF(K90&lt;1," ",(K90-I90)/I90))</f>
        <v>3.1094452773613192E-2</v>
      </c>
    </row>
    <row r="91" spans="1:12" ht="15.75">
      <c r="A91" s="283"/>
      <c r="B91" s="290">
        <v>2</v>
      </c>
      <c r="C91" s="1710"/>
      <c r="D91" s="1711"/>
      <c r="E91" s="1128">
        <f>'Budget-Unrestricted MYP'!F91</f>
        <v>0</v>
      </c>
      <c r="F91" s="718"/>
      <c r="G91" s="718"/>
      <c r="H91" s="1121" t="str">
        <f t="shared" si="6"/>
        <v xml:space="preserve"> </v>
      </c>
      <c r="I91" s="725"/>
      <c r="J91" s="488" t="str">
        <f t="shared" si="7"/>
        <v xml:space="preserve"> </v>
      </c>
      <c r="K91" s="714"/>
      <c r="L91" s="489" t="str">
        <f t="shared" si="8"/>
        <v xml:space="preserve"> </v>
      </c>
    </row>
    <row r="92" spans="1:12" ht="15.75">
      <c r="A92" s="283"/>
      <c r="B92" s="290">
        <v>3</v>
      </c>
      <c r="C92" s="1710"/>
      <c r="D92" s="1711"/>
      <c r="E92" s="1128">
        <f>'Budget-Unrestricted MYP'!F92</f>
        <v>0</v>
      </c>
      <c r="F92" s="718"/>
      <c r="G92" s="718"/>
      <c r="H92" s="1121" t="str">
        <f t="shared" si="6"/>
        <v xml:space="preserve"> </v>
      </c>
      <c r="I92" s="725"/>
      <c r="J92" s="488" t="str">
        <f t="shared" si="7"/>
        <v xml:space="preserve"> </v>
      </c>
      <c r="K92" s="714"/>
      <c r="L92" s="489" t="str">
        <f t="shared" si="8"/>
        <v xml:space="preserve"> </v>
      </c>
    </row>
    <row r="93" spans="1:12" ht="15.75">
      <c r="A93" s="283"/>
      <c r="B93" s="290">
        <v>4</v>
      </c>
      <c r="C93" s="1710"/>
      <c r="D93" s="1711"/>
      <c r="E93" s="1128">
        <f>'Budget-Unrestricted MYP'!F93</f>
        <v>0</v>
      </c>
      <c r="F93" s="717"/>
      <c r="G93" s="717"/>
      <c r="H93" s="1121" t="str">
        <f t="shared" si="6"/>
        <v xml:space="preserve"> </v>
      </c>
      <c r="I93" s="723"/>
      <c r="J93" s="488" t="str">
        <f t="shared" si="7"/>
        <v xml:space="preserve"> </v>
      </c>
      <c r="K93" s="707"/>
      <c r="L93" s="489" t="str">
        <f t="shared" si="8"/>
        <v xml:space="preserve"> </v>
      </c>
    </row>
    <row r="94" spans="1:12" ht="15.75">
      <c r="A94" s="67"/>
      <c r="B94" s="290">
        <v>5</v>
      </c>
      <c r="C94" s="1710"/>
      <c r="D94" s="1711"/>
      <c r="E94" s="1128">
        <f>'Budget-Unrestricted MYP'!F94</f>
        <v>0</v>
      </c>
      <c r="F94" s="735"/>
      <c r="G94" s="735"/>
      <c r="H94" s="1121" t="str">
        <f t="shared" si="6"/>
        <v xml:space="preserve"> </v>
      </c>
      <c r="I94" s="832"/>
      <c r="J94" s="488" t="str">
        <f t="shared" si="7"/>
        <v xml:space="preserve"> </v>
      </c>
      <c r="K94" s="837"/>
      <c r="L94" s="489" t="str">
        <f t="shared" si="8"/>
        <v xml:space="preserve"> </v>
      </c>
    </row>
    <row r="95" spans="1:12" ht="15.75">
      <c r="A95" s="284"/>
      <c r="B95" s="291">
        <v>6</v>
      </c>
      <c r="C95" s="1713"/>
      <c r="D95" s="1750"/>
      <c r="E95" s="1128">
        <f>'Budget-Unrestricted MYP'!F95</f>
        <v>0</v>
      </c>
      <c r="F95" s="736"/>
      <c r="G95" s="736"/>
      <c r="H95" s="1120" t="str">
        <f t="shared" si="6"/>
        <v xml:space="preserve"> </v>
      </c>
      <c r="I95" s="833"/>
      <c r="J95" s="487" t="str">
        <f t="shared" si="7"/>
        <v xml:space="preserve"> </v>
      </c>
      <c r="K95" s="838"/>
      <c r="L95" s="486" t="str">
        <f t="shared" si="8"/>
        <v xml:space="preserve"> </v>
      </c>
    </row>
    <row r="96" spans="1:12" ht="15.75">
      <c r="A96" s="284"/>
      <c r="B96" s="291">
        <v>7</v>
      </c>
      <c r="C96" s="1713"/>
      <c r="D96" s="1750"/>
      <c r="E96" s="1128">
        <f>'Budget-Unrestricted MYP'!F96</f>
        <v>0</v>
      </c>
      <c r="F96" s="718"/>
      <c r="G96" s="718"/>
      <c r="H96" s="1120" t="str">
        <f t="shared" si="6"/>
        <v xml:space="preserve"> </v>
      </c>
      <c r="I96" s="725"/>
      <c r="J96" s="487" t="str">
        <f t="shared" si="7"/>
        <v xml:space="preserve"> </v>
      </c>
      <c r="K96" s="714"/>
      <c r="L96" s="486" t="str">
        <f t="shared" si="8"/>
        <v xml:space="preserve"> </v>
      </c>
    </row>
    <row r="97" spans="1:12" ht="15.75">
      <c r="A97" s="284"/>
      <c r="B97" s="291">
        <v>8</v>
      </c>
      <c r="C97" s="1713"/>
      <c r="D97" s="1750"/>
      <c r="E97" s="1128">
        <f>'Budget-Unrestricted MYP'!F97</f>
        <v>0</v>
      </c>
      <c r="F97" s="718"/>
      <c r="G97" s="718"/>
      <c r="H97" s="1120" t="str">
        <f t="shared" si="6"/>
        <v xml:space="preserve"> </v>
      </c>
      <c r="I97" s="725"/>
      <c r="J97" s="487" t="str">
        <f t="shared" si="7"/>
        <v xml:space="preserve"> </v>
      </c>
      <c r="K97" s="714"/>
      <c r="L97" s="486" t="str">
        <f t="shared" si="8"/>
        <v xml:space="preserve"> </v>
      </c>
    </row>
    <row r="98" spans="1:12" ht="15.75">
      <c r="A98" s="284"/>
      <c r="B98" s="291">
        <v>9</v>
      </c>
      <c r="C98" s="1710"/>
      <c r="D98" s="1711"/>
      <c r="E98" s="1128">
        <f>'Budget-Unrestricted MYP'!F98</f>
        <v>0</v>
      </c>
      <c r="F98" s="718"/>
      <c r="G98" s="718"/>
      <c r="H98" s="1120" t="str">
        <f t="shared" si="6"/>
        <v xml:space="preserve"> </v>
      </c>
      <c r="I98" s="725"/>
      <c r="J98" s="487" t="str">
        <f t="shared" si="7"/>
        <v xml:space="preserve"> </v>
      </c>
      <c r="K98" s="714"/>
      <c r="L98" s="486" t="str">
        <f t="shared" si="8"/>
        <v xml:space="preserve"> </v>
      </c>
    </row>
    <row r="99" spans="1:12" ht="15.75">
      <c r="A99" s="284"/>
      <c r="B99" s="146">
        <v>10</v>
      </c>
      <c r="C99" s="1713"/>
      <c r="D99" s="1750"/>
      <c r="E99" s="1128">
        <f>'Budget-Unrestricted MYP'!F99</f>
        <v>0</v>
      </c>
      <c r="F99" s="714"/>
      <c r="G99" s="718"/>
      <c r="H99" s="1120" t="str">
        <f t="shared" si="6"/>
        <v xml:space="preserve"> </v>
      </c>
      <c r="I99" s="725"/>
      <c r="J99" s="487" t="str">
        <f t="shared" si="7"/>
        <v xml:space="preserve"> </v>
      </c>
      <c r="K99" s="714"/>
      <c r="L99" s="486" t="str">
        <f t="shared" si="8"/>
        <v xml:space="preserve"> </v>
      </c>
    </row>
    <row r="100" spans="1:12" ht="15.75">
      <c r="A100" s="67"/>
      <c r="B100" s="146">
        <v>11</v>
      </c>
      <c r="C100" s="1713"/>
      <c r="D100" s="1750"/>
      <c r="E100" s="1128">
        <f>'Budget-Unrestricted MYP'!F100</f>
        <v>0</v>
      </c>
      <c r="F100" s="839"/>
      <c r="G100" s="728"/>
      <c r="H100" s="1120" t="str">
        <f t="shared" si="6"/>
        <v xml:space="preserve"> </v>
      </c>
      <c r="I100" s="728"/>
      <c r="J100" s="487" t="str">
        <f t="shared" si="7"/>
        <v xml:space="preserve"> </v>
      </c>
      <c r="K100" s="839"/>
      <c r="L100" s="486" t="str">
        <f t="shared" si="8"/>
        <v xml:space="preserve"> </v>
      </c>
    </row>
    <row r="101" spans="1:12" ht="15.75">
      <c r="A101" s="67"/>
      <c r="B101" s="146">
        <v>12</v>
      </c>
      <c r="C101" s="1713"/>
      <c r="D101" s="1750"/>
      <c r="E101" s="1128">
        <f>'Budget-Unrestricted MYP'!F101</f>
        <v>0</v>
      </c>
      <c r="F101" s="840"/>
      <c r="G101" s="729"/>
      <c r="H101" s="1120" t="str">
        <f t="shared" si="6"/>
        <v xml:space="preserve"> </v>
      </c>
      <c r="I101" s="729"/>
      <c r="J101" s="487" t="str">
        <f t="shared" si="7"/>
        <v xml:space="preserve"> </v>
      </c>
      <c r="K101" s="840"/>
      <c r="L101" s="486" t="str">
        <f t="shared" si="8"/>
        <v xml:space="preserve"> </v>
      </c>
    </row>
    <row r="102" spans="1:12" ht="15.75">
      <c r="A102" s="67"/>
      <c r="B102" s="146">
        <v>13</v>
      </c>
      <c r="C102" s="1713"/>
      <c r="D102" s="1750"/>
      <c r="E102" s="1128">
        <f>'Budget-Unrestricted MYP'!F102</f>
        <v>0</v>
      </c>
      <c r="F102" s="743"/>
      <c r="G102" s="737"/>
      <c r="H102" s="1120" t="str">
        <f t="shared" si="6"/>
        <v xml:space="preserve"> </v>
      </c>
      <c r="I102" s="834"/>
      <c r="J102" s="487" t="str">
        <f t="shared" si="7"/>
        <v xml:space="preserve"> </v>
      </c>
      <c r="K102" s="743"/>
      <c r="L102" s="486" t="str">
        <f t="shared" si="8"/>
        <v xml:space="preserve"> </v>
      </c>
    </row>
    <row r="103" spans="1:12" ht="15.75">
      <c r="A103" s="67"/>
      <c r="B103" s="146">
        <v>14</v>
      </c>
      <c r="C103" s="1713"/>
      <c r="D103" s="1750"/>
      <c r="E103" s="1128">
        <f>'Budget-Unrestricted MYP'!F103</f>
        <v>0</v>
      </c>
      <c r="F103" s="744"/>
      <c r="G103" s="738"/>
      <c r="H103" s="1120" t="str">
        <f t="shared" si="6"/>
        <v xml:space="preserve"> </v>
      </c>
      <c r="I103" s="751"/>
      <c r="J103" s="487" t="str">
        <f t="shared" si="7"/>
        <v xml:space="preserve"> </v>
      </c>
      <c r="K103" s="744"/>
      <c r="L103" s="486" t="str">
        <f t="shared" si="8"/>
        <v xml:space="preserve"> </v>
      </c>
    </row>
    <row r="104" spans="1:12" ht="15.75">
      <c r="A104" s="67"/>
      <c r="B104" s="146">
        <v>15</v>
      </c>
      <c r="C104" s="1713"/>
      <c r="D104" s="1750"/>
      <c r="E104" s="1128">
        <f>'Budget-Unrestricted MYP'!F104</f>
        <v>0</v>
      </c>
      <c r="F104" s="737"/>
      <c r="G104" s="737"/>
      <c r="H104" s="1120" t="str">
        <f t="shared" si="6"/>
        <v xml:space="preserve"> </v>
      </c>
      <c r="I104" s="834"/>
      <c r="J104" s="487" t="str">
        <f t="shared" si="7"/>
        <v xml:space="preserve"> </v>
      </c>
      <c r="K104" s="743"/>
      <c r="L104" s="486" t="str">
        <f t="shared" si="8"/>
        <v xml:space="preserve"> </v>
      </c>
    </row>
    <row r="105" spans="1:12" ht="15.75">
      <c r="A105" s="67"/>
      <c r="B105" s="146">
        <v>16</v>
      </c>
      <c r="C105" s="1713"/>
      <c r="D105" s="1750"/>
      <c r="E105" s="1128">
        <f>'Budget-Unrestricted MYP'!F105</f>
        <v>0</v>
      </c>
      <c r="F105" s="739"/>
      <c r="G105" s="739"/>
      <c r="H105" s="1120" t="str">
        <f t="shared" si="6"/>
        <v xml:space="preserve"> </v>
      </c>
      <c r="I105" s="835"/>
      <c r="J105" s="487" t="str">
        <f t="shared" si="7"/>
        <v xml:space="preserve"> </v>
      </c>
      <c r="K105" s="745"/>
      <c r="L105" s="486" t="str">
        <f t="shared" si="8"/>
        <v xml:space="preserve"> </v>
      </c>
    </row>
    <row r="106" spans="1:12" ht="15.75">
      <c r="A106" s="67"/>
      <c r="B106" s="146">
        <v>17</v>
      </c>
      <c r="C106" s="1713"/>
      <c r="D106" s="1750"/>
      <c r="E106" s="1128">
        <f>'Budget-Unrestricted MYP'!F106</f>
        <v>0</v>
      </c>
      <c r="F106" s="740"/>
      <c r="G106" s="740"/>
      <c r="H106" s="1120" t="str">
        <f t="shared" si="6"/>
        <v xml:space="preserve"> </v>
      </c>
      <c r="I106" s="836"/>
      <c r="J106" s="487" t="str">
        <f t="shared" si="7"/>
        <v xml:space="preserve"> </v>
      </c>
      <c r="K106" s="746"/>
      <c r="L106" s="486" t="str">
        <f t="shared" si="8"/>
        <v xml:space="preserve"> </v>
      </c>
    </row>
    <row r="107" spans="1:12" ht="16.5" thickBot="1">
      <c r="A107" s="67"/>
      <c r="B107" s="896">
        <v>18</v>
      </c>
      <c r="C107" s="1755"/>
      <c r="D107" s="1756"/>
      <c r="E107" s="1128">
        <f>'Budget-Unrestricted MYP'!F107</f>
        <v>0</v>
      </c>
      <c r="F107" s="1209"/>
      <c r="G107" s="734"/>
      <c r="H107" s="333" t="str">
        <f t="shared" si="6"/>
        <v xml:space="preserve"> </v>
      </c>
      <c r="I107" s="734"/>
      <c r="J107" s="602" t="str">
        <f t="shared" si="7"/>
        <v xml:space="preserve"> </v>
      </c>
      <c r="K107" s="841"/>
      <c r="L107" s="603" t="str">
        <f t="shared" si="8"/>
        <v xml:space="preserve"> </v>
      </c>
    </row>
    <row r="108" spans="1:12" ht="17.25" thickTop="1" thickBot="1">
      <c r="A108" s="67"/>
      <c r="B108" s="900"/>
      <c r="C108" s="1700" t="s">
        <v>315</v>
      </c>
      <c r="D108" s="1701"/>
      <c r="E108" s="897">
        <f>'Budget-Unrestricted MYP'!F108</f>
        <v>32543</v>
      </c>
      <c r="F108" s="897">
        <f>SUM(F90:F107)</f>
        <v>0</v>
      </c>
      <c r="G108" s="897">
        <f>SUM(G90:G107)</f>
        <v>32543</v>
      </c>
      <c r="H108" s="1122">
        <f t="shared" si="6"/>
        <v>0</v>
      </c>
      <c r="I108" s="897">
        <f>SUM(I90:I107)</f>
        <v>33350</v>
      </c>
      <c r="J108" s="898">
        <f t="shared" si="7"/>
        <v>2.4797959622653104E-2</v>
      </c>
      <c r="K108" s="897">
        <f>SUM(K90:K107)</f>
        <v>34387</v>
      </c>
      <c r="L108" s="899">
        <f t="shared" si="8"/>
        <v>3.1094452773613192E-2</v>
      </c>
    </row>
    <row r="109" spans="1:12" ht="6.75" customHeight="1" thickTop="1">
      <c r="A109" s="67"/>
      <c r="B109" s="152"/>
      <c r="C109" s="1830"/>
      <c r="D109" s="1830"/>
      <c r="E109" s="655"/>
      <c r="F109" s="457"/>
      <c r="G109" s="457"/>
      <c r="H109" s="866"/>
      <c r="I109" s="457"/>
      <c r="J109" s="866"/>
      <c r="K109" s="457"/>
      <c r="L109" s="880"/>
    </row>
    <row r="110" spans="1:12" ht="15.75">
      <c r="A110" s="283"/>
      <c r="B110" s="165"/>
      <c r="C110" s="165" t="s">
        <v>316</v>
      </c>
      <c r="D110" s="165"/>
      <c r="E110" s="165"/>
      <c r="F110" s="1706"/>
      <c r="G110" s="1706"/>
      <c r="H110" s="1706"/>
      <c r="I110" s="1706"/>
      <c r="J110" s="1706"/>
      <c r="K110" s="51"/>
      <c r="L110" s="604"/>
    </row>
    <row r="111" spans="1:12" ht="15.75">
      <c r="A111" s="67"/>
      <c r="B111" s="290">
        <v>1</v>
      </c>
      <c r="C111" s="1710" t="s">
        <v>554</v>
      </c>
      <c r="D111" s="1711"/>
      <c r="E111" s="1128">
        <f>'Budget-Unrestricted MYP'!F111</f>
        <v>0</v>
      </c>
      <c r="F111" s="1210">
        <v>12119</v>
      </c>
      <c r="G111" s="731">
        <v>12119</v>
      </c>
      <c r="H111" s="1120" t="str">
        <f t="shared" ref="H111:H117" si="9">IF(E111&lt;1," ",IF(G111&lt;1," ",(G111-E111)/E111))</f>
        <v xml:space="preserve"> </v>
      </c>
      <c r="I111" s="751">
        <v>62020</v>
      </c>
      <c r="J111" s="30">
        <f t="shared" ref="J111:J117" si="10">IF(G111&lt;1," ",IF(I111&lt;1," ",(I111-G111)/G111))</f>
        <v>4.1175839590725305</v>
      </c>
      <c r="K111" s="842">
        <v>63949</v>
      </c>
      <c r="L111" s="641">
        <f t="shared" ref="L111:L117" si="11">IF(I111&lt;1," ",IF(K111&lt;1," ",(K111-I111)/I111))</f>
        <v>3.110287004192196E-2</v>
      </c>
    </row>
    <row r="112" spans="1:12" ht="15.75">
      <c r="A112" s="67"/>
      <c r="B112" s="290">
        <v>2</v>
      </c>
      <c r="C112" s="1240" t="s">
        <v>555</v>
      </c>
      <c r="D112" s="1212"/>
      <c r="E112" s="1128">
        <f>'Budget-Unrestricted MYP'!F112</f>
        <v>2000000</v>
      </c>
      <c r="F112" s="1211"/>
      <c r="G112" s="749">
        <v>2000000</v>
      </c>
      <c r="H112" s="79">
        <f t="shared" si="9"/>
        <v>0</v>
      </c>
      <c r="I112" s="749"/>
      <c r="J112" s="79" t="str">
        <f t="shared" si="10"/>
        <v xml:space="preserve"> </v>
      </c>
      <c r="K112" s="843"/>
      <c r="L112" s="642" t="str">
        <f t="shared" si="11"/>
        <v xml:space="preserve"> </v>
      </c>
    </row>
    <row r="113" spans="1:12" ht="15.75">
      <c r="A113" s="67"/>
      <c r="B113" s="290">
        <v>3</v>
      </c>
      <c r="C113" s="1710"/>
      <c r="D113" s="1711"/>
      <c r="E113" s="1128">
        <f>'Budget-Unrestricted MYP'!F113</f>
        <v>0</v>
      </c>
      <c r="F113" s="841"/>
      <c r="G113" s="734">
        <v>750</v>
      </c>
      <c r="H113" s="333" t="str">
        <f t="shared" si="9"/>
        <v xml:space="preserve"> </v>
      </c>
      <c r="I113" s="752">
        <v>769</v>
      </c>
      <c r="J113" s="333">
        <f t="shared" si="10"/>
        <v>2.5333333333333333E-2</v>
      </c>
      <c r="K113" s="844">
        <v>793</v>
      </c>
      <c r="L113" s="643">
        <f t="shared" si="11"/>
        <v>3.1209362808842653E-2</v>
      </c>
    </row>
    <row r="114" spans="1:12" ht="15.75">
      <c r="A114" s="67"/>
      <c r="B114" s="290">
        <v>4</v>
      </c>
      <c r="C114" s="1710"/>
      <c r="D114" s="1711"/>
      <c r="E114" s="1128">
        <f>'Budget-Unrestricted MYP'!F114</f>
        <v>0</v>
      </c>
      <c r="F114" s="744"/>
      <c r="G114" s="731"/>
      <c r="H114" s="1120" t="str">
        <f t="shared" si="9"/>
        <v xml:space="preserve"> </v>
      </c>
      <c r="I114" s="751"/>
      <c r="J114" s="30" t="str">
        <f t="shared" si="10"/>
        <v xml:space="preserve"> </v>
      </c>
      <c r="K114" s="845"/>
      <c r="L114" s="644" t="str">
        <f t="shared" si="11"/>
        <v xml:space="preserve"> </v>
      </c>
    </row>
    <row r="115" spans="1:12" ht="15.75">
      <c r="A115" s="67"/>
      <c r="B115" s="290">
        <v>5</v>
      </c>
      <c r="C115" s="1710"/>
      <c r="D115" s="1711"/>
      <c r="E115" s="1128">
        <f>'Budget-Unrestricted MYP'!F115</f>
        <v>0</v>
      </c>
      <c r="F115" s="744"/>
      <c r="G115" s="731"/>
      <c r="H115" s="1120" t="str">
        <f t="shared" si="9"/>
        <v xml:space="preserve"> </v>
      </c>
      <c r="I115" s="751"/>
      <c r="J115" s="30" t="str">
        <f t="shared" si="10"/>
        <v xml:space="preserve"> </v>
      </c>
      <c r="K115" s="845"/>
      <c r="L115" s="644" t="str">
        <f t="shared" si="11"/>
        <v xml:space="preserve"> </v>
      </c>
    </row>
    <row r="116" spans="1:12" ht="16.5" thickBot="1">
      <c r="A116" s="67"/>
      <c r="B116" s="935">
        <v>6</v>
      </c>
      <c r="C116" s="1755"/>
      <c r="D116" s="1756"/>
      <c r="E116" s="1128">
        <f>'Budget-Unrestricted MYP'!F116</f>
        <v>0</v>
      </c>
      <c r="F116" s="1209"/>
      <c r="G116" s="734"/>
      <c r="H116" s="1121" t="str">
        <f t="shared" si="9"/>
        <v xml:space="preserve"> </v>
      </c>
      <c r="I116" s="752"/>
      <c r="J116" s="95" t="str">
        <f t="shared" si="10"/>
        <v xml:space="preserve"> </v>
      </c>
      <c r="K116" s="844"/>
      <c r="L116" s="643" t="str">
        <f t="shared" si="11"/>
        <v xml:space="preserve"> </v>
      </c>
    </row>
    <row r="117" spans="1:12" ht="17.25" thickTop="1" thickBot="1">
      <c r="A117" s="239"/>
      <c r="B117" s="926"/>
      <c r="C117" s="1700" t="s">
        <v>319</v>
      </c>
      <c r="D117" s="1701"/>
      <c r="E117" s="897">
        <f>'Budget-Unrestricted MYP'!F117</f>
        <v>2000000</v>
      </c>
      <c r="F117" s="897">
        <f>SUM(F111:F116)</f>
        <v>12119</v>
      </c>
      <c r="G117" s="897">
        <f>SUM(G111:G116)</f>
        <v>2012869</v>
      </c>
      <c r="H117" s="1122">
        <f t="shared" si="9"/>
        <v>6.4345000000000001E-3</v>
      </c>
      <c r="I117" s="897">
        <f>SUM(I111:I116)</f>
        <v>62789</v>
      </c>
      <c r="J117" s="898">
        <f t="shared" si="10"/>
        <v>-0.96880621640057052</v>
      </c>
      <c r="K117" s="897">
        <f>SUM(K111:K116)</f>
        <v>64742</v>
      </c>
      <c r="L117" s="588">
        <f t="shared" si="11"/>
        <v>3.1104174298045836E-2</v>
      </c>
    </row>
    <row r="118" spans="1:12" ht="15.75">
      <c r="A118" s="2"/>
      <c r="B118" s="3"/>
      <c r="C118" s="3"/>
      <c r="D118" s="45"/>
      <c r="F118" s="46"/>
      <c r="G118" s="46"/>
      <c r="H118" s="4"/>
      <c r="I118" s="46"/>
      <c r="J118" s="4"/>
      <c r="K118" s="46"/>
      <c r="L118" s="4"/>
    </row>
    <row r="119" spans="1:12" ht="15.75">
      <c r="A119" s="2"/>
      <c r="B119" s="2"/>
      <c r="C119" s="2"/>
      <c r="D119" s="2"/>
      <c r="E119" s="2"/>
      <c r="F119" s="31"/>
      <c r="G119" s="31"/>
      <c r="H119" s="2"/>
      <c r="I119" s="31"/>
      <c r="J119" s="2"/>
      <c r="K119" s="31"/>
      <c r="L119" s="2"/>
    </row>
    <row r="120" spans="1:12" ht="15.75">
      <c r="A120" s="2"/>
      <c r="B120" s="2"/>
      <c r="C120" s="2"/>
      <c r="D120" s="2"/>
      <c r="E120" s="2"/>
      <c r="F120" s="31"/>
      <c r="G120" s="31"/>
      <c r="H120" s="2"/>
      <c r="I120" s="31"/>
      <c r="J120" s="2"/>
      <c r="K120" s="31"/>
      <c r="L120" s="2"/>
    </row>
    <row r="121" spans="1:12" ht="15.75">
      <c r="A121" s="2"/>
      <c r="B121" s="2"/>
      <c r="C121" s="2"/>
      <c r="D121" s="2"/>
      <c r="E121" s="2"/>
      <c r="F121" s="31"/>
      <c r="G121" s="31"/>
      <c r="H121" s="2"/>
      <c r="I121" s="31"/>
      <c r="J121" s="2"/>
      <c r="K121" s="31"/>
      <c r="L121" s="2"/>
    </row>
    <row r="122" spans="1:12" ht="15.75">
      <c r="A122" s="2"/>
      <c r="B122" s="2"/>
      <c r="C122" s="2"/>
      <c r="D122" s="2"/>
      <c r="E122" s="2"/>
      <c r="F122" s="31"/>
      <c r="G122" s="31"/>
      <c r="H122" s="2"/>
      <c r="I122" s="31"/>
      <c r="J122" s="2"/>
      <c r="K122" s="31"/>
      <c r="L122" s="2"/>
    </row>
    <row r="123" spans="1:12" ht="15.75">
      <c r="A123" s="2"/>
      <c r="B123" s="2"/>
      <c r="C123" s="2"/>
      <c r="D123" s="2"/>
      <c r="E123" s="2"/>
      <c r="F123" s="31"/>
      <c r="G123" s="31"/>
      <c r="H123" s="2"/>
      <c r="I123" s="31"/>
      <c r="J123" s="2"/>
      <c r="K123" s="31"/>
      <c r="L123" s="2"/>
    </row>
    <row r="124" spans="1:12" ht="15.75">
      <c r="A124" s="2"/>
      <c r="B124" s="2"/>
      <c r="C124" s="2"/>
      <c r="D124" s="2"/>
      <c r="E124" s="2"/>
      <c r="F124" s="31"/>
      <c r="G124" s="31"/>
      <c r="H124" s="2"/>
      <c r="I124" s="31"/>
      <c r="J124" s="2"/>
      <c r="K124" s="31"/>
      <c r="L124" s="2"/>
    </row>
    <row r="125" spans="1:12" ht="15.75">
      <c r="A125" s="2"/>
      <c r="B125" s="2"/>
      <c r="C125" s="2"/>
      <c r="D125" s="2"/>
      <c r="E125" s="2"/>
      <c r="F125" s="31"/>
      <c r="G125" s="31"/>
      <c r="H125" s="2"/>
      <c r="I125" s="31"/>
      <c r="J125" s="2"/>
      <c r="K125" s="31"/>
      <c r="L125" s="2"/>
    </row>
    <row r="126" spans="1:12" ht="15.75">
      <c r="A126" s="2"/>
      <c r="B126" s="2"/>
      <c r="C126" s="2"/>
      <c r="D126" s="2"/>
      <c r="E126" s="2"/>
      <c r="F126" s="31"/>
      <c r="G126" s="31"/>
      <c r="H126" s="2"/>
      <c r="I126" s="31"/>
      <c r="J126" s="2"/>
      <c r="K126" s="31"/>
      <c r="L126" s="2"/>
    </row>
    <row r="127" spans="1:12" ht="15.75">
      <c r="A127" s="2"/>
      <c r="B127" s="2"/>
      <c r="C127" s="2"/>
      <c r="D127" s="2"/>
      <c r="E127" s="2"/>
      <c r="F127" s="31"/>
      <c r="G127" s="31"/>
      <c r="H127" s="2"/>
      <c r="I127" s="31"/>
      <c r="J127" s="2"/>
      <c r="K127" s="31"/>
      <c r="L127" s="2"/>
    </row>
    <row r="128" spans="1:12" ht="15.75">
      <c r="A128" s="2"/>
      <c r="B128" s="2"/>
      <c r="C128" s="2"/>
      <c r="D128" s="2"/>
      <c r="E128" s="2"/>
      <c r="F128" s="31"/>
      <c r="G128" s="31"/>
      <c r="H128" s="2"/>
      <c r="I128" s="31"/>
      <c r="J128" s="2"/>
      <c r="K128" s="31"/>
      <c r="L128" s="2"/>
    </row>
    <row r="129" spans="1:12" ht="15.75">
      <c r="A129" s="2"/>
      <c r="B129" s="2"/>
      <c r="C129" s="2"/>
      <c r="D129" s="2"/>
      <c r="E129" s="2"/>
      <c r="F129" s="31"/>
      <c r="G129" s="31"/>
      <c r="H129" s="2"/>
      <c r="I129" s="31"/>
      <c r="J129" s="2"/>
      <c r="K129" s="31"/>
      <c r="L129" s="2"/>
    </row>
    <row r="130" spans="1:12" ht="15.75">
      <c r="A130" s="2"/>
      <c r="B130" s="2"/>
      <c r="C130" s="2"/>
      <c r="D130" s="2"/>
      <c r="E130" s="2"/>
      <c r="F130" s="31"/>
      <c r="G130" s="31"/>
      <c r="H130" s="2"/>
      <c r="I130" s="31"/>
      <c r="J130" s="2"/>
      <c r="K130" s="31"/>
      <c r="L130" s="2"/>
    </row>
    <row r="131" spans="1:12" ht="15.75">
      <c r="A131" s="2"/>
      <c r="B131" s="2"/>
      <c r="C131" s="2"/>
      <c r="D131" s="2"/>
      <c r="E131" s="2"/>
      <c r="F131" s="31"/>
      <c r="G131" s="31"/>
      <c r="H131" s="2"/>
      <c r="I131" s="31"/>
      <c r="J131" s="2"/>
      <c r="K131" s="31"/>
      <c r="L131" s="2"/>
    </row>
    <row r="132" spans="1:12" ht="15.75">
      <c r="A132" s="2"/>
      <c r="B132" s="2"/>
      <c r="C132" s="2"/>
      <c r="D132" s="2"/>
      <c r="E132" s="2"/>
      <c r="F132" s="31"/>
      <c r="G132" s="31"/>
      <c r="H132" s="2"/>
      <c r="I132" s="31"/>
      <c r="J132" s="2"/>
      <c r="K132" s="31"/>
      <c r="L132" s="2"/>
    </row>
    <row r="133" spans="1:12" ht="15.75">
      <c r="A133" s="2"/>
      <c r="B133" s="2"/>
      <c r="C133" s="2"/>
      <c r="D133" s="2"/>
      <c r="E133" s="2"/>
      <c r="F133" s="31"/>
      <c r="G133" s="31"/>
      <c r="H133" s="2"/>
      <c r="I133" s="31"/>
      <c r="J133" s="2"/>
      <c r="K133" s="31"/>
      <c r="L133" s="2"/>
    </row>
    <row r="134" spans="1:12" ht="15.75">
      <c r="A134" s="2"/>
      <c r="B134" s="2"/>
      <c r="C134" s="2"/>
      <c r="D134" s="2"/>
      <c r="E134" s="2"/>
      <c r="F134" s="31"/>
      <c r="G134" s="31"/>
      <c r="H134" s="2"/>
      <c r="I134" s="31"/>
      <c r="J134" s="2"/>
      <c r="K134" s="31"/>
      <c r="L134" s="2"/>
    </row>
    <row r="135" spans="1:12" ht="15.75">
      <c r="A135" s="2"/>
      <c r="B135" s="2"/>
      <c r="C135" s="2"/>
      <c r="D135" s="2"/>
      <c r="E135" s="2"/>
      <c r="F135" s="31"/>
      <c r="G135" s="31"/>
      <c r="H135" s="2"/>
      <c r="I135" s="31"/>
      <c r="J135" s="2"/>
      <c r="K135" s="31"/>
      <c r="L135" s="2"/>
    </row>
    <row r="136" spans="1:12" ht="15.75">
      <c r="A136" s="2"/>
      <c r="B136" s="2"/>
      <c r="C136" s="2"/>
      <c r="D136" s="2"/>
      <c r="E136" s="2"/>
      <c r="F136" s="31"/>
      <c r="G136" s="31"/>
      <c r="H136" s="2"/>
      <c r="I136" s="31"/>
      <c r="J136" s="2"/>
      <c r="K136" s="31"/>
      <c r="L136" s="2"/>
    </row>
    <row r="137" spans="1:12" ht="15.75">
      <c r="A137" s="2"/>
      <c r="B137" s="2"/>
      <c r="C137" s="2"/>
      <c r="D137" s="2"/>
      <c r="E137" s="2"/>
      <c r="F137" s="31"/>
      <c r="G137" s="31"/>
      <c r="H137" s="2"/>
      <c r="I137" s="31"/>
      <c r="J137" s="2"/>
      <c r="K137" s="31"/>
      <c r="L137" s="2"/>
    </row>
    <row r="138" spans="1:12" ht="15.75">
      <c r="A138" s="2"/>
      <c r="B138" s="2"/>
      <c r="C138" s="2"/>
      <c r="D138" s="2"/>
      <c r="E138" s="2"/>
      <c r="F138" s="31"/>
      <c r="G138" s="31"/>
      <c r="H138" s="2"/>
      <c r="I138" s="31"/>
      <c r="J138" s="2"/>
      <c r="K138" s="31"/>
      <c r="L138" s="2"/>
    </row>
    <row r="139" spans="1:12" ht="15.75">
      <c r="A139" s="2"/>
      <c r="B139" s="2"/>
      <c r="C139" s="2"/>
      <c r="D139" s="2"/>
      <c r="E139" s="2"/>
      <c r="F139" s="31"/>
      <c r="G139" s="31"/>
      <c r="H139" s="2"/>
      <c r="I139" s="31"/>
      <c r="J139" s="2"/>
      <c r="K139" s="31"/>
      <c r="L139" s="2"/>
    </row>
    <row r="140" spans="1:12" ht="15.75">
      <c r="A140" s="2"/>
      <c r="B140" s="2"/>
      <c r="C140" s="2"/>
      <c r="D140" s="2"/>
      <c r="E140" s="2"/>
      <c r="F140" s="31"/>
      <c r="G140" s="31"/>
      <c r="H140" s="2"/>
      <c r="I140" s="31"/>
      <c r="J140" s="2"/>
      <c r="K140" s="31"/>
      <c r="L140" s="2"/>
    </row>
    <row r="141" spans="1:12" ht="15.75">
      <c r="A141" s="2"/>
      <c r="B141" s="2"/>
      <c r="C141" s="2"/>
      <c r="D141" s="2"/>
      <c r="E141" s="2"/>
      <c r="F141" s="31"/>
      <c r="G141" s="31"/>
      <c r="H141" s="2"/>
      <c r="I141" s="31"/>
      <c r="J141" s="2"/>
      <c r="K141" s="31"/>
      <c r="L141" s="2"/>
    </row>
    <row r="142" spans="1:12" ht="15.75">
      <c r="A142" s="2"/>
      <c r="B142" s="2"/>
      <c r="C142" s="2"/>
      <c r="D142" s="2"/>
      <c r="E142" s="2"/>
      <c r="F142" s="31"/>
      <c r="G142" s="31"/>
      <c r="H142" s="2"/>
      <c r="I142" s="31"/>
      <c r="J142" s="2"/>
      <c r="K142" s="31"/>
      <c r="L142" s="2"/>
    </row>
    <row r="143" spans="1:12" ht="15.75">
      <c r="A143" s="2"/>
      <c r="B143" s="2"/>
      <c r="C143" s="2"/>
      <c r="D143" s="2"/>
      <c r="E143" s="2"/>
      <c r="F143" s="31"/>
      <c r="G143" s="31"/>
      <c r="H143" s="2"/>
      <c r="I143" s="31"/>
      <c r="J143" s="2"/>
      <c r="K143" s="31"/>
      <c r="L143" s="2"/>
    </row>
    <row r="144" spans="1:12" ht="15.75">
      <c r="A144" s="2"/>
      <c r="B144" s="2"/>
      <c r="C144" s="2"/>
      <c r="D144" s="2"/>
      <c r="E144" s="2"/>
      <c r="F144" s="31"/>
      <c r="G144" s="31"/>
      <c r="H144" s="2"/>
      <c r="I144" s="31"/>
      <c r="J144" s="2"/>
      <c r="K144" s="31"/>
      <c r="L144" s="2"/>
    </row>
    <row r="145" spans="1:12" ht="15.75">
      <c r="A145" s="2"/>
      <c r="B145" s="2"/>
      <c r="C145" s="2"/>
      <c r="D145" s="2"/>
      <c r="E145" s="2"/>
      <c r="F145" s="31"/>
      <c r="G145" s="31"/>
      <c r="H145" s="2"/>
      <c r="I145" s="31"/>
      <c r="J145" s="2"/>
      <c r="K145" s="31"/>
      <c r="L145" s="2"/>
    </row>
    <row r="146" spans="1:12" ht="15.75">
      <c r="A146" s="2"/>
      <c r="B146" s="2"/>
      <c r="C146" s="2"/>
      <c r="D146" s="2"/>
      <c r="E146" s="2"/>
      <c r="F146" s="31"/>
      <c r="G146" s="31"/>
      <c r="H146" s="2"/>
      <c r="I146" s="31"/>
      <c r="J146" s="2"/>
      <c r="K146" s="31"/>
      <c r="L146" s="2"/>
    </row>
    <row r="147" spans="1:12" ht="15.75">
      <c r="A147" s="2"/>
      <c r="B147" s="2"/>
      <c r="C147" s="2"/>
      <c r="D147" s="2"/>
      <c r="E147" s="2"/>
      <c r="F147" s="31"/>
      <c r="G147" s="31"/>
      <c r="H147" s="2"/>
      <c r="I147" s="31"/>
      <c r="J147" s="2"/>
      <c r="K147" s="31"/>
      <c r="L147" s="2"/>
    </row>
    <row r="148" spans="1:12" ht="15.75">
      <c r="A148" s="2"/>
      <c r="B148" s="2"/>
      <c r="C148" s="2"/>
      <c r="D148" s="2"/>
      <c r="E148" s="2"/>
      <c r="F148" s="31"/>
      <c r="G148" s="31"/>
      <c r="H148" s="2"/>
      <c r="I148" s="31"/>
      <c r="J148" s="2"/>
      <c r="K148" s="31"/>
      <c r="L148" s="2"/>
    </row>
    <row r="149" spans="1:12" ht="15.75">
      <c r="A149" s="2"/>
      <c r="B149" s="2"/>
      <c r="C149" s="2"/>
      <c r="D149" s="2"/>
      <c r="E149" s="2"/>
      <c r="F149" s="31"/>
      <c r="G149" s="31"/>
      <c r="H149" s="2"/>
      <c r="I149" s="31"/>
      <c r="J149" s="2"/>
      <c r="K149" s="31"/>
      <c r="L149" s="2"/>
    </row>
    <row r="150" spans="1:12" ht="15.75">
      <c r="A150" s="2"/>
      <c r="B150" s="2"/>
      <c r="C150" s="2"/>
      <c r="D150" s="2"/>
      <c r="E150" s="2"/>
      <c r="F150" s="31"/>
      <c r="G150" s="31"/>
      <c r="H150" s="2"/>
      <c r="I150" s="31"/>
      <c r="J150" s="2"/>
      <c r="K150" s="31"/>
      <c r="L150" s="2"/>
    </row>
    <row r="151" spans="1:12" ht="15.75">
      <c r="A151" s="2"/>
      <c r="B151" s="2"/>
      <c r="C151" s="2"/>
      <c r="D151" s="2"/>
      <c r="E151" s="2"/>
      <c r="F151" s="31"/>
      <c r="G151" s="31"/>
      <c r="H151" s="2"/>
      <c r="I151" s="31"/>
      <c r="J151" s="2"/>
      <c r="K151" s="31"/>
      <c r="L151" s="2"/>
    </row>
    <row r="152" spans="1:12" ht="15.75">
      <c r="A152" s="2"/>
      <c r="B152" s="2"/>
      <c r="C152" s="2"/>
      <c r="D152" s="2"/>
      <c r="E152" s="2"/>
      <c r="F152" s="31"/>
      <c r="G152" s="31"/>
      <c r="H152" s="2"/>
      <c r="I152" s="31"/>
      <c r="J152" s="2"/>
      <c r="K152" s="31"/>
      <c r="L152" s="2"/>
    </row>
    <row r="153" spans="1:12" ht="15.75">
      <c r="A153" s="2"/>
      <c r="B153" s="2"/>
      <c r="C153" s="2"/>
      <c r="D153" s="2"/>
      <c r="E153" s="2"/>
      <c r="F153" s="31"/>
      <c r="G153" s="31"/>
      <c r="H153" s="2"/>
      <c r="I153" s="31"/>
      <c r="J153" s="2"/>
      <c r="K153" s="31"/>
      <c r="L153" s="2"/>
    </row>
    <row r="154" spans="1:12" ht="15.75">
      <c r="A154" s="2"/>
      <c r="B154" s="2"/>
      <c r="C154" s="2"/>
      <c r="D154" s="2"/>
      <c r="E154" s="2"/>
      <c r="F154" s="31"/>
      <c r="G154" s="31"/>
      <c r="H154" s="2"/>
      <c r="I154" s="31"/>
      <c r="J154" s="2"/>
      <c r="K154" s="31"/>
      <c r="L154" s="2"/>
    </row>
    <row r="155" spans="1:12" ht="15.75">
      <c r="A155" s="2"/>
      <c r="B155" s="2"/>
      <c r="C155" s="2"/>
      <c r="D155" s="2"/>
      <c r="E155" s="2"/>
      <c r="F155" s="31"/>
      <c r="G155" s="31"/>
      <c r="H155" s="2"/>
      <c r="I155" s="31"/>
      <c r="J155" s="2"/>
      <c r="K155" s="31"/>
      <c r="L155" s="2"/>
    </row>
    <row r="156" spans="1:12" ht="15.75">
      <c r="A156" s="2"/>
      <c r="B156" s="2"/>
      <c r="C156" s="2"/>
      <c r="D156" s="2"/>
      <c r="E156" s="2"/>
      <c r="F156" s="31"/>
      <c r="G156" s="31"/>
      <c r="H156" s="2"/>
      <c r="I156" s="31"/>
      <c r="J156" s="2"/>
      <c r="K156" s="31"/>
      <c r="L156" s="2"/>
    </row>
    <row r="157" spans="1:12" ht="15.75">
      <c r="A157" s="2"/>
      <c r="B157" s="2"/>
      <c r="C157" s="2"/>
      <c r="D157" s="2"/>
      <c r="E157" s="2"/>
      <c r="F157" s="31"/>
      <c r="G157" s="31"/>
      <c r="H157" s="2"/>
      <c r="I157" s="31"/>
      <c r="J157" s="2"/>
      <c r="K157" s="31"/>
      <c r="L157" s="2"/>
    </row>
    <row r="158" spans="1:12" ht="15.75">
      <c r="A158" s="2"/>
      <c r="B158" s="2"/>
      <c r="C158" s="2"/>
      <c r="D158" s="2"/>
      <c r="E158" s="2"/>
      <c r="F158" s="31"/>
      <c r="G158" s="31"/>
      <c r="H158" s="2"/>
      <c r="I158" s="31"/>
      <c r="J158" s="2"/>
      <c r="K158" s="31"/>
      <c r="L158" s="2"/>
    </row>
    <row r="159" spans="1:12" ht="15.75">
      <c r="A159" s="2"/>
      <c r="B159" s="2"/>
      <c r="C159" s="2"/>
      <c r="D159" s="2"/>
      <c r="E159" s="2"/>
      <c r="F159" s="31"/>
      <c r="G159" s="31"/>
      <c r="H159" s="2"/>
      <c r="I159" s="31"/>
      <c r="J159" s="2"/>
      <c r="K159" s="31"/>
      <c r="L159" s="2"/>
    </row>
    <row r="160" spans="1:12" ht="15.75">
      <c r="A160" s="2"/>
      <c r="B160" s="2"/>
      <c r="C160" s="2"/>
      <c r="D160" s="2"/>
      <c r="E160" s="2"/>
      <c r="F160" s="31"/>
      <c r="G160" s="31"/>
      <c r="H160" s="2"/>
      <c r="I160" s="31"/>
      <c r="J160" s="2"/>
      <c r="K160" s="31"/>
      <c r="L160" s="2"/>
    </row>
    <row r="161" spans="1:12" ht="15.75">
      <c r="A161" s="2"/>
      <c r="B161" s="2"/>
      <c r="C161" s="2"/>
      <c r="D161" s="2"/>
      <c r="E161" s="2"/>
      <c r="F161" s="31"/>
      <c r="G161" s="31"/>
      <c r="H161" s="2"/>
      <c r="I161" s="31"/>
      <c r="J161" s="2"/>
      <c r="K161" s="31"/>
      <c r="L161" s="2"/>
    </row>
    <row r="162" spans="1:12" ht="15.75">
      <c r="A162" s="2"/>
      <c r="B162" s="2"/>
      <c r="C162" s="2"/>
      <c r="D162" s="2"/>
      <c r="E162" s="2"/>
      <c r="F162" s="31"/>
      <c r="G162" s="31"/>
      <c r="H162" s="2"/>
      <c r="I162" s="31"/>
      <c r="J162" s="2"/>
      <c r="K162" s="31"/>
      <c r="L162" s="2"/>
    </row>
    <row r="163" spans="1:12" ht="15.75">
      <c r="A163" s="2"/>
      <c r="B163" s="2"/>
      <c r="C163" s="2"/>
      <c r="D163" s="2"/>
      <c r="E163" s="2"/>
      <c r="F163" s="31"/>
      <c r="G163" s="31"/>
      <c r="H163" s="2"/>
      <c r="I163" s="31"/>
      <c r="J163" s="2"/>
      <c r="K163" s="31"/>
      <c r="L163" s="2"/>
    </row>
    <row r="164" spans="1:12" ht="15.75">
      <c r="A164" s="2"/>
      <c r="B164" s="2"/>
      <c r="C164" s="2"/>
      <c r="D164" s="2"/>
      <c r="E164" s="2"/>
      <c r="F164" s="31"/>
      <c r="G164" s="31"/>
      <c r="H164" s="2"/>
      <c r="I164" s="31"/>
      <c r="J164" s="2"/>
      <c r="K164" s="31"/>
      <c r="L164" s="2"/>
    </row>
    <row r="165" spans="1:12" ht="15.75">
      <c r="A165" s="2"/>
      <c r="B165" s="2"/>
      <c r="C165" s="2"/>
      <c r="D165" s="2"/>
      <c r="E165" s="2"/>
      <c r="F165" s="31"/>
      <c r="G165" s="31"/>
      <c r="H165" s="2"/>
      <c r="I165" s="31"/>
      <c r="J165" s="2"/>
      <c r="K165" s="31"/>
      <c r="L165" s="2"/>
    </row>
    <row r="166" spans="1:12" ht="15.75">
      <c r="A166" s="2"/>
      <c r="B166" s="2"/>
      <c r="C166" s="2"/>
      <c r="D166" s="2"/>
      <c r="E166" s="2"/>
      <c r="F166" s="31"/>
      <c r="G166" s="31"/>
      <c r="H166" s="2"/>
      <c r="I166" s="31"/>
      <c r="J166" s="2"/>
      <c r="K166" s="31"/>
      <c r="L166" s="2"/>
    </row>
    <row r="167" spans="1:12" ht="15.75">
      <c r="A167" s="2"/>
      <c r="B167" s="2"/>
      <c r="C167" s="2"/>
      <c r="D167" s="2"/>
      <c r="E167" s="2"/>
      <c r="F167" s="31"/>
      <c r="G167" s="31"/>
      <c r="H167" s="2"/>
      <c r="I167" s="31"/>
      <c r="J167" s="2"/>
      <c r="K167" s="31"/>
      <c r="L167" s="2"/>
    </row>
    <row r="168" spans="1:12" ht="15.75">
      <c r="A168" s="2"/>
      <c r="B168" s="2"/>
      <c r="C168" s="2"/>
      <c r="D168" s="2"/>
      <c r="E168" s="2"/>
      <c r="F168" s="31"/>
      <c r="G168" s="31"/>
      <c r="H168" s="2"/>
      <c r="I168" s="31"/>
      <c r="J168" s="2"/>
      <c r="K168" s="31"/>
      <c r="L168" s="2"/>
    </row>
    <row r="169" spans="1:12" ht="15.75">
      <c r="A169" s="2"/>
      <c r="B169" s="2"/>
      <c r="C169" s="2"/>
      <c r="D169" s="2"/>
      <c r="E169" s="2"/>
      <c r="F169" s="31"/>
      <c r="G169" s="31"/>
      <c r="H169" s="2"/>
      <c r="I169" s="31"/>
      <c r="J169" s="2"/>
      <c r="K169" s="31"/>
      <c r="L169" s="2"/>
    </row>
    <row r="170" spans="1:12" ht="15.75">
      <c r="A170" s="2"/>
      <c r="B170" s="2"/>
      <c r="C170" s="2"/>
      <c r="D170" s="2"/>
      <c r="E170" s="2"/>
      <c r="F170" s="31"/>
      <c r="G170" s="31"/>
      <c r="H170" s="2"/>
      <c r="I170" s="31"/>
      <c r="J170" s="2"/>
      <c r="K170" s="31"/>
      <c r="L170" s="2"/>
    </row>
    <row r="171" spans="1:12" ht="15.75">
      <c r="A171" s="2"/>
      <c r="B171" s="2"/>
      <c r="C171" s="2"/>
      <c r="D171" s="2"/>
      <c r="E171" s="2"/>
      <c r="F171" s="31"/>
      <c r="G171" s="31"/>
      <c r="H171" s="2"/>
      <c r="I171" s="31"/>
      <c r="J171" s="2"/>
      <c r="K171" s="31"/>
      <c r="L171" s="2"/>
    </row>
    <row r="172" spans="1:12" ht="15.75">
      <c r="A172" s="2"/>
      <c r="B172" s="2"/>
      <c r="C172" s="2"/>
      <c r="D172" s="2"/>
      <c r="E172" s="2"/>
      <c r="F172" s="31"/>
      <c r="G172" s="31"/>
      <c r="H172" s="2"/>
      <c r="I172" s="31"/>
      <c r="J172" s="2"/>
      <c r="K172" s="31"/>
      <c r="L172" s="2"/>
    </row>
    <row r="173" spans="1:12" ht="15.75">
      <c r="A173" s="2"/>
      <c r="B173" s="2"/>
      <c r="C173" s="2"/>
      <c r="D173" s="2"/>
      <c r="E173" s="2"/>
      <c r="F173" s="31"/>
      <c r="G173" s="31"/>
      <c r="H173" s="2"/>
      <c r="I173" s="31"/>
      <c r="J173" s="2"/>
      <c r="K173" s="31"/>
      <c r="L173" s="2"/>
    </row>
    <row r="174" spans="1:12" ht="15.75">
      <c r="A174" s="2"/>
      <c r="B174" s="2"/>
      <c r="C174" s="2"/>
      <c r="D174" s="2"/>
      <c r="E174" s="2"/>
      <c r="F174" s="31"/>
      <c r="G174" s="31"/>
      <c r="H174" s="2"/>
      <c r="I174" s="31"/>
      <c r="J174" s="2"/>
      <c r="K174" s="31"/>
      <c r="L174" s="2"/>
    </row>
    <row r="175" spans="1:12" ht="15.75">
      <c r="A175" s="2"/>
      <c r="B175" s="2"/>
      <c r="C175" s="2"/>
      <c r="D175" s="2"/>
      <c r="E175" s="2"/>
      <c r="F175" s="31"/>
      <c r="G175" s="31"/>
      <c r="H175" s="2"/>
      <c r="I175" s="31"/>
      <c r="J175" s="2"/>
      <c r="K175" s="31"/>
      <c r="L175" s="2"/>
    </row>
    <row r="176" spans="1:12" ht="15.75">
      <c r="A176" s="2"/>
      <c r="B176" s="2"/>
      <c r="C176" s="2"/>
      <c r="D176" s="2"/>
      <c r="E176" s="2"/>
      <c r="F176" s="31"/>
      <c r="G176" s="31"/>
      <c r="H176" s="2"/>
      <c r="I176" s="31"/>
      <c r="J176" s="2"/>
      <c r="K176" s="31"/>
      <c r="L176" s="2"/>
    </row>
    <row r="177" spans="1:12" ht="15.75">
      <c r="A177" s="2"/>
      <c r="B177" s="2"/>
      <c r="C177" s="2"/>
      <c r="D177" s="2"/>
      <c r="E177" s="2"/>
      <c r="F177" s="31"/>
      <c r="G177" s="31"/>
      <c r="H177" s="2"/>
      <c r="I177" s="31"/>
      <c r="J177" s="2"/>
      <c r="K177" s="31"/>
      <c r="L177" s="2"/>
    </row>
    <row r="178" spans="1:12" ht="15.75">
      <c r="A178" s="2"/>
      <c r="B178" s="2"/>
      <c r="C178" s="2"/>
      <c r="D178" s="2"/>
      <c r="E178" s="2"/>
      <c r="F178" s="31"/>
      <c r="G178" s="31"/>
      <c r="H178" s="2"/>
      <c r="I178" s="31"/>
      <c r="J178" s="2"/>
      <c r="K178" s="31"/>
      <c r="L178" s="2"/>
    </row>
    <row r="179" spans="1:12" ht="15.75">
      <c r="A179" s="2"/>
      <c r="B179" s="2"/>
      <c r="C179" s="2"/>
      <c r="D179" s="2"/>
      <c r="E179" s="2"/>
      <c r="F179" s="31"/>
      <c r="G179" s="31"/>
      <c r="H179" s="2"/>
      <c r="I179" s="31"/>
      <c r="J179" s="2"/>
      <c r="K179" s="31"/>
      <c r="L179" s="2"/>
    </row>
    <row r="180" spans="1:12" ht="15.75">
      <c r="A180" s="2"/>
      <c r="B180" s="2"/>
      <c r="C180" s="2"/>
      <c r="D180" s="2"/>
      <c r="E180" s="2"/>
      <c r="F180" s="31"/>
      <c r="G180" s="31"/>
      <c r="H180" s="2"/>
      <c r="I180" s="31"/>
      <c r="J180" s="2"/>
      <c r="K180" s="31"/>
      <c r="L180" s="2"/>
    </row>
    <row r="181" spans="1:12" ht="15.75">
      <c r="A181" s="2"/>
      <c r="B181" s="2"/>
      <c r="C181" s="2"/>
      <c r="D181" s="2"/>
      <c r="E181" s="2"/>
      <c r="F181" s="31"/>
      <c r="G181" s="31"/>
      <c r="H181" s="2"/>
      <c r="I181" s="31"/>
      <c r="J181" s="2"/>
      <c r="K181" s="31"/>
      <c r="L181" s="2"/>
    </row>
    <row r="182" spans="1:12" ht="15.75">
      <c r="A182" s="2"/>
      <c r="B182" s="2"/>
      <c r="C182" s="2"/>
      <c r="D182" s="2"/>
      <c r="E182" s="2"/>
      <c r="F182" s="31"/>
      <c r="G182" s="31"/>
      <c r="H182" s="2"/>
      <c r="I182" s="31"/>
      <c r="J182" s="2"/>
      <c r="K182" s="31"/>
      <c r="L182" s="2"/>
    </row>
    <row r="183" spans="1:12" ht="15.75">
      <c r="A183" s="2"/>
      <c r="B183" s="2"/>
      <c r="C183" s="2"/>
      <c r="D183" s="2"/>
      <c r="E183" s="2"/>
      <c r="F183" s="31"/>
      <c r="G183" s="31"/>
      <c r="H183" s="2"/>
      <c r="I183" s="31"/>
      <c r="J183" s="2"/>
      <c r="K183" s="31"/>
      <c r="L183" s="2"/>
    </row>
    <row r="184" spans="1:12" ht="15.75">
      <c r="A184" s="2"/>
      <c r="B184" s="2"/>
      <c r="C184" s="2"/>
      <c r="D184" s="2"/>
      <c r="E184" s="2"/>
      <c r="F184" s="31"/>
      <c r="G184" s="31"/>
      <c r="H184" s="2"/>
      <c r="I184" s="31"/>
      <c r="J184" s="2"/>
      <c r="K184" s="31"/>
      <c r="L184" s="2"/>
    </row>
    <row r="185" spans="1:12" ht="15.75">
      <c r="A185" s="2"/>
      <c r="B185" s="2"/>
      <c r="C185" s="2"/>
      <c r="D185" s="2"/>
      <c r="E185" s="2"/>
      <c r="F185" s="31"/>
      <c r="G185" s="31"/>
      <c r="H185" s="2"/>
      <c r="I185" s="31"/>
      <c r="J185" s="2"/>
      <c r="K185" s="31"/>
      <c r="L185" s="2"/>
    </row>
    <row r="186" spans="1:12" ht="15.75">
      <c r="A186" s="2"/>
      <c r="B186" s="2"/>
      <c r="C186" s="2"/>
      <c r="D186" s="2"/>
      <c r="E186" s="2"/>
      <c r="F186" s="31"/>
      <c r="G186" s="31"/>
      <c r="H186" s="2"/>
      <c r="I186" s="31"/>
      <c r="J186" s="2"/>
      <c r="K186" s="31"/>
      <c r="L186" s="2"/>
    </row>
    <row r="187" spans="1:12" ht="15.75">
      <c r="A187" s="2"/>
      <c r="B187" s="2"/>
      <c r="C187" s="2"/>
      <c r="D187" s="2"/>
      <c r="E187" s="2"/>
      <c r="F187" s="31"/>
      <c r="G187" s="31"/>
      <c r="H187" s="2"/>
      <c r="I187" s="31"/>
      <c r="J187" s="2"/>
      <c r="K187" s="31"/>
      <c r="L187" s="2"/>
    </row>
    <row r="188" spans="1:12" ht="15.75">
      <c r="A188" s="2"/>
      <c r="B188" s="2"/>
      <c r="C188" s="2"/>
      <c r="D188" s="2"/>
      <c r="E188" s="2"/>
      <c r="F188" s="31"/>
      <c r="G188" s="31"/>
      <c r="H188" s="2"/>
      <c r="I188" s="31"/>
      <c r="J188" s="2"/>
      <c r="K188" s="31"/>
      <c r="L188" s="2"/>
    </row>
    <row r="189" spans="1:12" ht="15.75">
      <c r="A189" s="2"/>
      <c r="B189" s="2"/>
      <c r="C189" s="2"/>
      <c r="D189" s="2"/>
      <c r="E189" s="2"/>
      <c r="F189" s="31"/>
      <c r="G189" s="31"/>
      <c r="H189" s="2"/>
      <c r="I189" s="31"/>
      <c r="J189" s="2"/>
      <c r="K189" s="31"/>
      <c r="L189" s="2"/>
    </row>
    <row r="190" spans="1:12" ht="15.75">
      <c r="A190" s="2"/>
      <c r="B190" s="2"/>
      <c r="C190" s="2"/>
      <c r="D190" s="2"/>
      <c r="E190" s="2"/>
      <c r="F190" s="31"/>
      <c r="G190" s="31"/>
      <c r="H190" s="2"/>
      <c r="I190" s="31"/>
      <c r="J190" s="2"/>
      <c r="K190" s="31"/>
      <c r="L190" s="2"/>
    </row>
    <row r="191" spans="1:12" ht="15.75">
      <c r="A191" s="2"/>
      <c r="B191" s="2"/>
      <c r="C191" s="2"/>
      <c r="D191" s="2"/>
      <c r="E191" s="2"/>
      <c r="F191" s="31"/>
      <c r="G191" s="31"/>
      <c r="H191" s="2"/>
      <c r="I191" s="31"/>
      <c r="J191" s="2"/>
      <c r="K191" s="31"/>
      <c r="L191" s="2"/>
    </row>
    <row r="192" spans="1:12" ht="15.75">
      <c r="A192" s="2"/>
      <c r="B192" s="2"/>
      <c r="C192" s="2"/>
      <c r="D192" s="2"/>
      <c r="E192" s="2"/>
      <c r="F192" s="31"/>
      <c r="G192" s="31"/>
      <c r="H192" s="2"/>
      <c r="I192" s="31"/>
      <c r="J192" s="2"/>
      <c r="K192" s="31"/>
      <c r="L192" s="2"/>
    </row>
    <row r="193" spans="1:12" ht="15.75">
      <c r="A193" s="2"/>
      <c r="B193" s="2"/>
      <c r="C193" s="2"/>
      <c r="D193" s="2"/>
      <c r="E193" s="2"/>
      <c r="F193" s="31"/>
      <c r="G193" s="31"/>
      <c r="H193" s="2"/>
      <c r="I193" s="31"/>
      <c r="J193" s="2"/>
      <c r="K193" s="31"/>
      <c r="L193" s="2"/>
    </row>
    <row r="194" spans="1:12" ht="15.75">
      <c r="A194" s="2"/>
      <c r="B194" s="2"/>
      <c r="C194" s="2"/>
      <c r="D194" s="2"/>
      <c r="E194" s="2"/>
      <c r="F194" s="31"/>
      <c r="G194" s="31"/>
      <c r="H194" s="2"/>
      <c r="I194" s="31"/>
      <c r="J194" s="2"/>
      <c r="K194" s="31"/>
      <c r="L194" s="2"/>
    </row>
    <row r="195" spans="1:12" ht="15.75">
      <c r="A195" s="2"/>
      <c r="B195" s="2"/>
      <c r="C195" s="2"/>
      <c r="D195" s="2"/>
      <c r="E195" s="2"/>
      <c r="F195" s="31"/>
      <c r="G195" s="31"/>
      <c r="H195" s="2"/>
      <c r="I195" s="31"/>
      <c r="J195" s="2"/>
      <c r="K195" s="31"/>
      <c r="L195" s="2"/>
    </row>
    <row r="196" spans="1:12" ht="15.75">
      <c r="A196" s="2"/>
      <c r="B196" s="2"/>
      <c r="C196" s="2"/>
      <c r="D196" s="2"/>
      <c r="E196" s="2"/>
      <c r="F196" s="31"/>
      <c r="G196" s="31"/>
      <c r="H196" s="2"/>
      <c r="I196" s="31"/>
      <c r="J196" s="2"/>
      <c r="K196" s="31"/>
      <c r="L196" s="2"/>
    </row>
    <row r="197" spans="1:12" ht="15.75">
      <c r="A197" s="2"/>
      <c r="B197" s="2"/>
      <c r="C197" s="2"/>
      <c r="D197" s="2"/>
      <c r="E197" s="2"/>
      <c r="F197" s="31"/>
      <c r="G197" s="31"/>
      <c r="H197" s="2"/>
      <c r="I197" s="31"/>
      <c r="J197" s="2"/>
      <c r="K197" s="31"/>
      <c r="L197" s="2"/>
    </row>
    <row r="198" spans="1:12" ht="15.75">
      <c r="A198" s="2"/>
      <c r="B198" s="2"/>
      <c r="C198" s="2"/>
      <c r="D198" s="2"/>
      <c r="E198" s="2"/>
      <c r="F198" s="31"/>
      <c r="G198" s="31"/>
      <c r="H198" s="2"/>
      <c r="I198" s="31"/>
      <c r="J198" s="2"/>
      <c r="K198" s="31"/>
      <c r="L198" s="2"/>
    </row>
    <row r="199" spans="1:12" ht="15.75">
      <c r="A199" s="2"/>
      <c r="B199" s="2"/>
      <c r="C199" s="2"/>
      <c r="D199" s="2"/>
      <c r="E199" s="2"/>
      <c r="F199" s="31"/>
      <c r="G199" s="31"/>
      <c r="H199" s="2"/>
      <c r="I199" s="31"/>
      <c r="J199" s="2"/>
      <c r="K199" s="31"/>
      <c r="L199" s="2"/>
    </row>
    <row r="200" spans="1:12" ht="15.75">
      <c r="A200" s="2"/>
      <c r="B200" s="2"/>
      <c r="C200" s="2"/>
      <c r="D200" s="2"/>
      <c r="E200" s="2"/>
      <c r="F200" s="31"/>
      <c r="G200" s="31"/>
      <c r="H200" s="2"/>
      <c r="I200" s="31"/>
      <c r="J200" s="2"/>
      <c r="K200" s="31"/>
      <c r="L200" s="2"/>
    </row>
    <row r="201" spans="1:12" ht="15.75">
      <c r="A201" s="2"/>
      <c r="B201" s="2"/>
      <c r="C201" s="2"/>
      <c r="D201" s="2"/>
      <c r="E201" s="2"/>
      <c r="F201" s="31"/>
      <c r="G201" s="31"/>
      <c r="H201" s="2"/>
      <c r="I201" s="31"/>
      <c r="J201" s="2"/>
      <c r="K201" s="31"/>
      <c r="L201" s="2"/>
    </row>
    <row r="202" spans="1:12" ht="15.75">
      <c r="A202" s="2"/>
      <c r="B202" s="2"/>
      <c r="C202" s="2"/>
      <c r="D202" s="2"/>
      <c r="E202" s="2"/>
      <c r="F202" s="31"/>
      <c r="G202" s="31"/>
      <c r="H202" s="2"/>
      <c r="I202" s="31"/>
      <c r="J202" s="2"/>
      <c r="K202" s="31"/>
      <c r="L202" s="2"/>
    </row>
    <row r="203" spans="1:12" ht="15.75">
      <c r="A203" s="2"/>
      <c r="B203" s="2"/>
      <c r="C203" s="2"/>
      <c r="D203" s="2"/>
      <c r="E203" s="2"/>
      <c r="F203" s="31"/>
      <c r="G203" s="31"/>
      <c r="H203" s="2"/>
      <c r="I203" s="31"/>
      <c r="J203" s="2"/>
      <c r="K203" s="31"/>
      <c r="L203" s="2"/>
    </row>
    <row r="204" spans="1:12" ht="15.75">
      <c r="A204" s="2"/>
      <c r="B204" s="2"/>
      <c r="C204" s="2"/>
      <c r="D204" s="2"/>
      <c r="E204" s="2"/>
      <c r="F204" s="31"/>
      <c r="G204" s="31"/>
      <c r="H204" s="2"/>
      <c r="I204" s="31"/>
      <c r="J204" s="2"/>
      <c r="K204" s="31"/>
      <c r="L204" s="2"/>
    </row>
    <row r="205" spans="1:12" ht="15.75">
      <c r="A205" s="2"/>
      <c r="B205" s="2"/>
      <c r="C205" s="2"/>
      <c r="D205" s="2"/>
      <c r="E205" s="2"/>
      <c r="F205" s="31"/>
      <c r="G205" s="31"/>
      <c r="H205" s="2"/>
      <c r="I205" s="31"/>
      <c r="J205" s="2"/>
      <c r="K205" s="31"/>
      <c r="L205" s="2"/>
    </row>
    <row r="206" spans="1:12" ht="15.75">
      <c r="A206" s="2"/>
      <c r="B206" s="2"/>
      <c r="C206" s="2"/>
      <c r="D206" s="2"/>
      <c r="E206" s="2"/>
      <c r="F206" s="31"/>
      <c r="G206" s="31"/>
      <c r="H206" s="2"/>
      <c r="I206" s="31"/>
      <c r="J206" s="2"/>
      <c r="K206" s="31"/>
      <c r="L206" s="2"/>
    </row>
    <row r="207" spans="1:12" ht="15.75">
      <c r="A207" s="2"/>
      <c r="B207" s="2"/>
      <c r="C207" s="2"/>
      <c r="D207" s="2"/>
      <c r="E207" s="2"/>
      <c r="F207" s="31"/>
      <c r="G207" s="31"/>
      <c r="H207" s="2"/>
      <c r="I207" s="31"/>
      <c r="J207" s="2"/>
      <c r="K207" s="31"/>
      <c r="L207" s="2"/>
    </row>
    <row r="208" spans="1:12" ht="15.75">
      <c r="A208" s="2"/>
      <c r="B208" s="2"/>
      <c r="C208" s="2"/>
      <c r="D208" s="2"/>
      <c r="E208" s="2"/>
      <c r="F208" s="31"/>
      <c r="G208" s="31"/>
      <c r="H208" s="2"/>
      <c r="I208" s="31"/>
      <c r="J208" s="2"/>
      <c r="K208" s="31"/>
      <c r="L208" s="2"/>
    </row>
    <row r="209" spans="1:12" ht="15.75">
      <c r="A209" s="2"/>
      <c r="B209" s="2"/>
      <c r="C209" s="2"/>
      <c r="D209" s="2"/>
      <c r="E209" s="2"/>
      <c r="F209" s="31"/>
      <c r="G209" s="31"/>
      <c r="H209" s="2"/>
      <c r="I209" s="31"/>
      <c r="J209" s="2"/>
      <c r="K209" s="31"/>
      <c r="L209" s="2"/>
    </row>
    <row r="210" spans="1:12" ht="15.75">
      <c r="A210" s="2"/>
      <c r="B210" s="2"/>
      <c r="C210" s="2"/>
      <c r="D210" s="2"/>
      <c r="E210" s="2"/>
      <c r="F210" s="31"/>
      <c r="G210" s="31"/>
      <c r="H210" s="2"/>
      <c r="I210" s="31"/>
      <c r="J210" s="2"/>
      <c r="K210" s="31"/>
      <c r="L210" s="2"/>
    </row>
    <row r="211" spans="1:12" ht="15.75">
      <c r="A211" s="2"/>
      <c r="B211" s="2"/>
      <c r="C211" s="2"/>
      <c r="D211" s="2"/>
      <c r="E211" s="2"/>
      <c r="F211" s="31"/>
      <c r="G211" s="31"/>
      <c r="H211" s="2"/>
      <c r="I211" s="31"/>
      <c r="J211" s="2"/>
      <c r="K211" s="31"/>
      <c r="L211" s="2"/>
    </row>
    <row r="212" spans="1:12" ht="15.75">
      <c r="A212" s="2"/>
      <c r="B212" s="2"/>
      <c r="C212" s="2"/>
      <c r="D212" s="2"/>
      <c r="E212" s="2"/>
      <c r="F212" s="31"/>
      <c r="G212" s="31"/>
    </row>
    <row r="213" spans="1:12" ht="15.75">
      <c r="A213" s="2"/>
      <c r="B213" s="2"/>
      <c r="C213" s="2"/>
      <c r="D213" s="2"/>
      <c r="E213" s="2"/>
      <c r="F213" s="31"/>
      <c r="G213" s="31"/>
    </row>
    <row r="214" spans="1:12" ht="15.75">
      <c r="A214" s="2"/>
      <c r="B214" s="2"/>
      <c r="C214" s="2"/>
      <c r="D214" s="2"/>
      <c r="E214" s="2"/>
      <c r="F214" s="31"/>
      <c r="G214" s="31"/>
    </row>
    <row r="215" spans="1:12" ht="15.75">
      <c r="A215" s="2"/>
      <c r="B215" s="2"/>
      <c r="C215" s="2"/>
      <c r="D215" s="2"/>
      <c r="E215" s="2"/>
      <c r="F215" s="31"/>
      <c r="G215" s="31"/>
    </row>
    <row r="216" spans="1:12" ht="15.75">
      <c r="A216" s="2"/>
      <c r="B216" s="2"/>
      <c r="C216" s="2"/>
      <c r="D216" s="2"/>
      <c r="E216" s="2"/>
      <c r="F216" s="31"/>
      <c r="G216" s="31"/>
    </row>
    <row r="217" spans="1:12" ht="15.75">
      <c r="A217" s="2"/>
      <c r="B217" s="2"/>
      <c r="C217" s="2"/>
      <c r="D217" s="2"/>
      <c r="E217" s="2"/>
      <c r="F217" s="31"/>
      <c r="G217" s="31"/>
    </row>
    <row r="218" spans="1:12" ht="15.75">
      <c r="A218" s="2"/>
      <c r="B218" s="2"/>
      <c r="C218" s="2"/>
      <c r="D218" s="2"/>
      <c r="E218" s="2"/>
      <c r="F218" s="31"/>
      <c r="G218" s="31"/>
    </row>
    <row r="219" spans="1:12" ht="15.75">
      <c r="A219" s="2"/>
      <c r="B219" s="2"/>
      <c r="C219" s="2"/>
      <c r="D219" s="2"/>
      <c r="E219" s="2"/>
      <c r="F219" s="31"/>
      <c r="G219" s="31"/>
    </row>
    <row r="220" spans="1:12" ht="15.75">
      <c r="A220" s="2"/>
      <c r="B220" s="2"/>
      <c r="C220" s="2"/>
      <c r="D220" s="2"/>
      <c r="E220" s="2"/>
      <c r="F220" s="31"/>
      <c r="G220" s="31"/>
    </row>
    <row r="221" spans="1:12" ht="15.75">
      <c r="A221" s="2"/>
      <c r="B221" s="2"/>
      <c r="C221" s="2"/>
      <c r="D221" s="2"/>
      <c r="E221" s="2"/>
      <c r="F221" s="31"/>
      <c r="G221" s="31"/>
    </row>
    <row r="222" spans="1:12" ht="15.75">
      <c r="A222" s="2"/>
      <c r="B222" s="2"/>
      <c r="C222" s="2"/>
      <c r="D222" s="2"/>
      <c r="E222" s="2"/>
      <c r="F222" s="31"/>
      <c r="G222" s="31"/>
    </row>
    <row r="223" spans="1:12" ht="15.75">
      <c r="A223" s="2"/>
      <c r="B223" s="2"/>
      <c r="C223" s="2"/>
      <c r="D223" s="2"/>
      <c r="E223" s="2"/>
      <c r="F223" s="31"/>
      <c r="G223" s="31"/>
    </row>
    <row r="224" spans="1:12" ht="15.75">
      <c r="A224" s="2"/>
      <c r="B224" s="2"/>
      <c r="C224" s="2"/>
      <c r="D224" s="2"/>
      <c r="E224" s="2"/>
      <c r="F224" s="31"/>
      <c r="G224" s="31"/>
    </row>
    <row r="225" spans="1:7" ht="15.75">
      <c r="A225" s="2"/>
      <c r="B225" s="2"/>
      <c r="C225" s="2"/>
      <c r="D225" s="2"/>
      <c r="E225" s="2"/>
      <c r="F225" s="31"/>
      <c r="G225" s="31"/>
    </row>
    <row r="226" spans="1:7" ht="15.75">
      <c r="A226" s="2"/>
      <c r="B226" s="2"/>
      <c r="C226" s="2"/>
      <c r="D226" s="2"/>
      <c r="E226" s="2"/>
      <c r="F226" s="31"/>
      <c r="G226" s="31"/>
    </row>
    <row r="227" spans="1:7" ht="15.75">
      <c r="A227" s="2"/>
      <c r="B227" s="2"/>
      <c r="C227" s="2"/>
      <c r="D227" s="2"/>
      <c r="E227" s="2"/>
      <c r="F227" s="31"/>
      <c r="G227" s="31"/>
    </row>
    <row r="228" spans="1:7" ht="15.75">
      <c r="A228" s="2"/>
      <c r="B228" s="2"/>
      <c r="C228" s="2"/>
      <c r="D228" s="2"/>
      <c r="E228" s="2"/>
      <c r="F228" s="31"/>
      <c r="G228" s="31"/>
    </row>
    <row r="229" spans="1:7" ht="15.75">
      <c r="A229" s="2"/>
      <c r="B229" s="2"/>
      <c r="C229" s="2"/>
      <c r="D229" s="2"/>
      <c r="E229" s="2"/>
      <c r="F229" s="31"/>
      <c r="G229" s="31"/>
    </row>
    <row r="230" spans="1:7" ht="15.75">
      <c r="A230" s="2"/>
      <c r="B230" s="2"/>
      <c r="C230" s="2"/>
      <c r="D230" s="2"/>
      <c r="E230" s="2"/>
      <c r="F230" s="31"/>
      <c r="G230" s="31"/>
    </row>
    <row r="231" spans="1:7" ht="15.75">
      <c r="A231" s="2"/>
      <c r="B231" s="2"/>
      <c r="C231" s="2"/>
      <c r="D231" s="2"/>
      <c r="E231" s="2"/>
      <c r="F231" s="31"/>
      <c r="G231" s="31"/>
    </row>
    <row r="232" spans="1:7" ht="15.75">
      <c r="A232" s="2"/>
      <c r="B232" s="2"/>
      <c r="C232" s="2"/>
      <c r="D232" s="2"/>
      <c r="E232" s="2"/>
      <c r="F232" s="31"/>
      <c r="G232" s="31"/>
    </row>
    <row r="233" spans="1:7" ht="15.75">
      <c r="A233" s="2"/>
      <c r="B233" s="2"/>
      <c r="C233" s="2"/>
      <c r="D233" s="2"/>
      <c r="E233" s="2"/>
      <c r="F233" s="31"/>
      <c r="G233" s="31"/>
    </row>
    <row r="234" spans="1:7" ht="15.75">
      <c r="A234" s="2"/>
      <c r="B234" s="2"/>
      <c r="C234" s="2"/>
      <c r="D234" s="2"/>
      <c r="E234" s="2"/>
      <c r="F234" s="31"/>
      <c r="G234" s="31"/>
    </row>
    <row r="235" spans="1:7" ht="15.75">
      <c r="A235" s="2"/>
      <c r="B235" s="2"/>
      <c r="C235" s="2"/>
      <c r="D235" s="2"/>
      <c r="E235" s="2"/>
      <c r="F235" s="31"/>
      <c r="G235" s="31"/>
    </row>
    <row r="236" spans="1:7" ht="15.75">
      <c r="A236" s="2"/>
      <c r="B236" s="2"/>
      <c r="C236" s="2"/>
      <c r="D236" s="2"/>
      <c r="E236" s="2"/>
      <c r="F236" s="31"/>
      <c r="G236" s="31"/>
    </row>
    <row r="237" spans="1:7" ht="15.75">
      <c r="A237" s="2"/>
      <c r="B237" s="2"/>
      <c r="C237" s="2"/>
      <c r="D237" s="2"/>
      <c r="E237" s="2"/>
      <c r="F237" s="31"/>
      <c r="G237" s="31"/>
    </row>
    <row r="238" spans="1:7" ht="15.75">
      <c r="A238" s="2"/>
      <c r="B238" s="2"/>
      <c r="C238" s="2"/>
      <c r="D238" s="2"/>
      <c r="E238" s="2"/>
      <c r="F238" s="31"/>
      <c r="G238" s="31"/>
    </row>
    <row r="239" spans="1:7" ht="15.75">
      <c r="A239" s="2"/>
      <c r="B239" s="2"/>
      <c r="C239" s="2"/>
      <c r="D239" s="2"/>
      <c r="E239" s="2"/>
      <c r="F239" s="31"/>
      <c r="G239" s="31"/>
    </row>
  </sheetData>
  <sheetProtection password="CC5F" sheet="1" objects="1" scenarios="1"/>
  <mergeCells count="59">
    <mergeCell ref="F47:I47"/>
    <mergeCell ref="C74:J74"/>
    <mergeCell ref="C75:D75"/>
    <mergeCell ref="F38:I38"/>
    <mergeCell ref="F40:I40"/>
    <mergeCell ref="F41:I41"/>
    <mergeCell ref="A39:D39"/>
    <mergeCell ref="B44:D44"/>
    <mergeCell ref="A1:C1"/>
    <mergeCell ref="A3:C3"/>
    <mergeCell ref="C90:D90"/>
    <mergeCell ref="C91:D91"/>
    <mergeCell ref="C80:D80"/>
    <mergeCell ref="C83:D83"/>
    <mergeCell ref="C84:D84"/>
    <mergeCell ref="A46:D46"/>
    <mergeCell ref="A2:C2"/>
    <mergeCell ref="B51:D51"/>
    <mergeCell ref="F110:J110"/>
    <mergeCell ref="C105:D105"/>
    <mergeCell ref="C106:D106"/>
    <mergeCell ref="C93:D93"/>
    <mergeCell ref="C94:D94"/>
    <mergeCell ref="C101:D101"/>
    <mergeCell ref="C102:D102"/>
    <mergeCell ref="C103:D103"/>
    <mergeCell ref="C104:D104"/>
    <mergeCell ref="C96:D96"/>
    <mergeCell ref="C92:D92"/>
    <mergeCell ref="C95:D95"/>
    <mergeCell ref="C111:D111"/>
    <mergeCell ref="C116:D116"/>
    <mergeCell ref="C97:D97"/>
    <mergeCell ref="C100:D100"/>
    <mergeCell ref="C99:D99"/>
    <mergeCell ref="C98:D98"/>
    <mergeCell ref="C114:D114"/>
    <mergeCell ref="C117:D117"/>
    <mergeCell ref="C107:D107"/>
    <mergeCell ref="C108:D108"/>
    <mergeCell ref="C109:D109"/>
    <mergeCell ref="C113:D113"/>
    <mergeCell ref="C115:D115"/>
    <mergeCell ref="F89:J89"/>
    <mergeCell ref="C81:D81"/>
    <mergeCell ref="C78:D78"/>
    <mergeCell ref="C79:D79"/>
    <mergeCell ref="A8:C8"/>
    <mergeCell ref="A28:C28"/>
    <mergeCell ref="F28:I28"/>
    <mergeCell ref="F48:I48"/>
    <mergeCell ref="F58:I58"/>
    <mergeCell ref="C82:D82"/>
    <mergeCell ref="F11:I11"/>
    <mergeCell ref="F12:I12"/>
    <mergeCell ref="F27:I27"/>
    <mergeCell ref="C77:D77"/>
    <mergeCell ref="C76:D76"/>
    <mergeCell ref="F73:J73"/>
  </mergeCells>
  <phoneticPr fontId="5" type="noConversion"/>
  <conditionalFormatting sqref="A1:A3 D2:D3">
    <cfRule type="containsText" dxfId="195" priority="1" stopIfTrue="1" operator="containsText" text="Enter">
      <formula>NOT(ISERROR(SEARCH("Enter",A1)))</formula>
    </cfRule>
  </conditionalFormatting>
  <printOptions horizontalCentered="1"/>
  <pageMargins left="0.25" right="0.25" top="0.5" bottom="0.5" header="0.5" footer="0.5"/>
  <pageSetup scale="65" fitToHeight="0" orientation="landscape" horizontalDpi="200" verticalDpi="200" r:id="rId1"/>
  <headerFooter alignWithMargins="0">
    <oddHeader>&amp;RPage &amp;P of &amp;N</oddHeader>
  </headerFooter>
  <rowBreaks count="2" manualBreakCount="2">
    <brk id="46" max="16383" man="1"/>
    <brk id="72" max="16383" man="1"/>
  </rowBreaks>
  <customProperties>
    <customPr name="DrillPoint.FROID" r:id="rId2"/>
    <customPr name="DrillPoint.Mode" r:id="rId3"/>
    <customPr name="DrillPoint.Subsheet" r:id="rId4"/>
  </customProperties>
  <legacyDrawing r:id="rId5"/>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theme="4"/>
  </sheetPr>
  <dimension ref="A1:M263"/>
  <sheetViews>
    <sheetView showGridLines="0" zoomScaleNormal="100" workbookViewId="0">
      <pane xSplit="4" ySplit="10" topLeftCell="E36" activePane="bottomRight" state="frozen"/>
      <selection pane="topRight" activeCell="J13" sqref="J13"/>
      <selection pane="bottomLeft" activeCell="J13" sqref="J13"/>
      <selection pane="bottomRight" activeCell="G50" sqref="G50"/>
    </sheetView>
  </sheetViews>
  <sheetFormatPr defaultRowHeight="12.75"/>
  <cols>
    <col min="1" max="1" width="5.42578125" customWidth="1"/>
    <col min="2" max="2" width="3.85546875" customWidth="1"/>
    <col min="3" max="3" width="85.140625" customWidth="1"/>
    <col min="4" max="4" width="11" customWidth="1"/>
    <col min="5" max="7" width="14.5703125" customWidth="1"/>
    <col min="8" max="8" width="10.5703125" customWidth="1"/>
    <col min="9" max="9" width="14.5703125" customWidth="1"/>
    <col min="10" max="10" width="10.5703125" customWidth="1"/>
    <col min="11" max="11" width="14.5703125" customWidth="1"/>
    <col min="12" max="12" width="10.5703125" customWidth="1"/>
    <col min="13" max="13" width="63.85546875" style="1212" customWidth="1"/>
    <col min="14" max="32" width="9.140625" customWidth="1"/>
  </cols>
  <sheetData>
    <row r="1" spans="1:12" ht="15.75">
      <c r="A1" s="1636" t="str">
        <f>IF('INTERIM-CERTIFICATION'!$M$1="","CHARTER NAME: Enter Charter Name on INTERIM-CERTIFICATION Worksheet",(CONCATENATE("CHARTER NAME: ",'INTERIM-CERTIFICATION'!$M$1)))</f>
        <v>CHARTER NAME: Encore High School -</v>
      </c>
      <c r="B1" s="1636"/>
      <c r="C1" s="1636"/>
      <c r="D1" s="208"/>
      <c r="E1" s="11"/>
      <c r="F1" s="157"/>
      <c r="G1" s="156"/>
      <c r="H1" s="1"/>
      <c r="I1" s="158"/>
      <c r="J1" s="1"/>
      <c r="K1" s="158"/>
      <c r="L1" s="1"/>
    </row>
    <row r="2" spans="1:12" ht="15.75">
      <c r="A2" s="1636" t="str">
        <f>IF('INTERIM-CERTIFICATION'!$M$2="","CDS #: Enter Charter CDS # on INTERIM-CERTIFICATION Worksheet",(_xlfn.CONCAT("CDS #: ",'INTERIM-CERTIFICATION'!$M$2)))</f>
        <v>CDS #: 35-75044-01166707</v>
      </c>
      <c r="B2" s="1636"/>
      <c r="C2" s="1636"/>
      <c r="D2" s="208"/>
      <c r="E2" s="11"/>
      <c r="F2" s="157"/>
      <c r="G2" s="157"/>
      <c r="H2" s="1"/>
      <c r="I2" s="158"/>
      <c r="J2" s="1"/>
      <c r="K2" s="158"/>
      <c r="L2" s="1"/>
    </row>
    <row r="3" spans="1:12" ht="15.75">
      <c r="A3" s="1636" t="str">
        <f>IF('INTERIM-CERTIFICATION'!$M$5="","CHARTER #: Enter Charter # on INTERIM-CERTIFICATION Worksheet",(_xlfn.CONCAT("CHARTER #: ",'INTERIM-CERTIFICATION'!$M$5)))</f>
        <v>CHARTER #: 971</v>
      </c>
      <c r="B3" s="1636"/>
      <c r="C3" s="1636"/>
      <c r="D3" s="208"/>
      <c r="E3" s="11"/>
      <c r="F3" s="156"/>
      <c r="G3" s="156"/>
      <c r="H3" s="1"/>
      <c r="I3" s="158"/>
      <c r="J3" s="1"/>
      <c r="K3" s="158"/>
      <c r="L3" s="1"/>
    </row>
    <row r="4" spans="1:12" ht="15.75">
      <c r="A4" s="2"/>
      <c r="B4" s="52"/>
      <c r="C4" s="52"/>
      <c r="D4" s="159" t="str">
        <f>'1st Interim-ADA'!J4</f>
        <v>Fiscal Year 2021-22 First Interim Report</v>
      </c>
      <c r="E4" s="52"/>
      <c r="F4" s="52"/>
      <c r="G4" s="52"/>
      <c r="H4" s="52"/>
      <c r="I4" s="52"/>
      <c r="J4" s="52"/>
      <c r="K4" s="52"/>
      <c r="L4" s="52"/>
    </row>
    <row r="5" spans="1:12" ht="15.75">
      <c r="A5" s="11"/>
      <c r="B5" s="11"/>
      <c r="C5" s="52"/>
      <c r="D5" s="159" t="s">
        <v>320</v>
      </c>
      <c r="E5" s="52"/>
      <c r="F5" s="160"/>
      <c r="G5" s="160"/>
      <c r="H5" s="1"/>
      <c r="I5" s="161"/>
      <c r="J5" s="1"/>
      <c r="K5" s="161"/>
      <c r="L5" s="1"/>
    </row>
    <row r="6" spans="1:12" ht="16.5" thickBot="1">
      <c r="A6" s="998" t="str">
        <f>Instructions!H1</f>
        <v>Rev. 5/28/2021</v>
      </c>
      <c r="B6" s="11"/>
      <c r="C6" s="11"/>
      <c r="D6" s="11"/>
      <c r="E6" s="11"/>
      <c r="F6" s="156"/>
      <c r="G6" s="156"/>
      <c r="H6" s="1"/>
      <c r="I6" s="158"/>
      <c r="J6" s="1"/>
      <c r="K6" s="158"/>
      <c r="L6" s="1"/>
    </row>
    <row r="7" spans="1:12" ht="15.75">
      <c r="A7" s="241"/>
      <c r="B7" s="236"/>
      <c r="C7" s="236"/>
      <c r="D7" s="298"/>
      <c r="E7" s="299"/>
      <c r="F7" s="300" t="s">
        <v>549</v>
      </c>
      <c r="G7" s="300" t="str">
        <f>$F$7</f>
        <v>First Interim</v>
      </c>
      <c r="H7" s="299"/>
      <c r="I7" s="301" t="str">
        <f>$F$7</f>
        <v>First Interim</v>
      </c>
      <c r="J7" s="299"/>
      <c r="K7" s="301" t="str">
        <f>$F$7</f>
        <v>First Interim</v>
      </c>
      <c r="L7" s="460"/>
    </row>
    <row r="8" spans="1:12" ht="15.75">
      <c r="A8" s="1696" t="s">
        <v>228</v>
      </c>
      <c r="B8" s="1697"/>
      <c r="C8" s="1697"/>
      <c r="D8" s="53"/>
      <c r="E8" s="13" t="s">
        <v>230</v>
      </c>
      <c r="F8" s="453" t="s">
        <v>550</v>
      </c>
      <c r="G8" s="162" t="s">
        <v>232</v>
      </c>
      <c r="H8" s="13" t="s">
        <v>231</v>
      </c>
      <c r="I8" s="302" t="s">
        <v>232</v>
      </c>
      <c r="J8" s="13" t="s">
        <v>231</v>
      </c>
      <c r="K8" s="302" t="s">
        <v>232</v>
      </c>
      <c r="L8" s="461" t="s">
        <v>231</v>
      </c>
    </row>
    <row r="9" spans="1:12" ht="15.75">
      <c r="A9" s="67"/>
      <c r="B9" s="1"/>
      <c r="C9" s="1"/>
      <c r="D9" s="53"/>
      <c r="E9" s="13" t="s">
        <v>234</v>
      </c>
      <c r="F9" s="162" t="s">
        <v>556</v>
      </c>
      <c r="G9" s="162" t="s">
        <v>234</v>
      </c>
      <c r="H9" s="13" t="s">
        <v>161</v>
      </c>
      <c r="I9" s="302" t="s">
        <v>234</v>
      </c>
      <c r="J9" s="13" t="s">
        <v>161</v>
      </c>
      <c r="K9" s="302" t="s">
        <v>234</v>
      </c>
      <c r="L9" s="461" t="s">
        <v>161</v>
      </c>
    </row>
    <row r="10" spans="1:12" ht="16.5" thickBot="1">
      <c r="A10" s="303"/>
      <c r="B10" s="163"/>
      <c r="C10" s="163"/>
      <c r="D10" s="54"/>
      <c r="E10" s="14" t="str">
        <f>'1st Interim-Unrestricted MYP'!E10</f>
        <v>2021-22</v>
      </c>
      <c r="F10" s="164" t="str">
        <f>'1st Interim-Unrestricted MYP'!F10</f>
        <v>2021</v>
      </c>
      <c r="G10" s="207" t="str">
        <f>E10</f>
        <v>2021-22</v>
      </c>
      <c r="H10" s="14"/>
      <c r="I10" s="304" t="str">
        <f>'1st Interim-Unrestricted MYP'!I10</f>
        <v>2022-23</v>
      </c>
      <c r="J10" s="14"/>
      <c r="K10" s="304" t="str">
        <f>'1st Interim-Unrestricted MYP'!K10</f>
        <v>2023-24</v>
      </c>
      <c r="L10" s="462"/>
    </row>
    <row r="11" spans="1:12" ht="16.5" thickTop="1">
      <c r="A11" s="305" t="s">
        <v>235</v>
      </c>
      <c r="B11" s="1"/>
      <c r="C11" s="1"/>
      <c r="D11" s="336"/>
      <c r="E11" s="12"/>
      <c r="F11" s="1829"/>
      <c r="G11" s="1829"/>
      <c r="H11" s="1829"/>
      <c r="I11" s="1829"/>
      <c r="J11" s="454"/>
      <c r="K11" s="454"/>
      <c r="L11" s="463"/>
    </row>
    <row r="12" spans="1:12" ht="15.75">
      <c r="A12" s="305"/>
      <c r="B12" s="277" t="s">
        <v>236</v>
      </c>
      <c r="C12" s="146"/>
      <c r="D12" s="140"/>
      <c r="E12" s="337"/>
      <c r="F12" s="1827"/>
      <c r="G12" s="1827"/>
      <c r="H12" s="1827"/>
      <c r="I12" s="1827"/>
      <c r="J12" s="151"/>
      <c r="K12" s="151"/>
      <c r="L12" s="464"/>
    </row>
    <row r="13" spans="1:12" ht="15.75">
      <c r="A13" s="305"/>
      <c r="B13" s="465"/>
      <c r="C13" s="466" t="s">
        <v>237</v>
      </c>
      <c r="D13" s="467">
        <v>8011</v>
      </c>
      <c r="E13" s="606"/>
      <c r="F13" s="580"/>
      <c r="G13" s="580"/>
      <c r="H13" s="484"/>
      <c r="I13" s="583"/>
      <c r="J13" s="484"/>
      <c r="K13" s="580"/>
      <c r="L13" s="469"/>
    </row>
    <row r="14" spans="1:12" ht="15.75">
      <c r="A14" s="305"/>
      <c r="B14" s="465"/>
      <c r="C14" s="466" t="s">
        <v>239</v>
      </c>
      <c r="D14" s="467">
        <v>8012</v>
      </c>
      <c r="E14" s="606"/>
      <c r="F14" s="580"/>
      <c r="G14" s="580"/>
      <c r="H14" s="607"/>
      <c r="I14" s="583"/>
      <c r="J14" s="610"/>
      <c r="K14" s="580"/>
      <c r="L14" s="495"/>
    </row>
    <row r="15" spans="1:12" ht="15.75">
      <c r="A15" s="67"/>
      <c r="B15" s="465"/>
      <c r="C15" s="466" t="s">
        <v>240</v>
      </c>
      <c r="D15" s="467">
        <v>8019</v>
      </c>
      <c r="E15" s="606"/>
      <c r="F15" s="580"/>
      <c r="G15" s="580"/>
      <c r="H15" s="608"/>
      <c r="I15" s="583"/>
      <c r="J15" s="484"/>
      <c r="K15" s="580"/>
      <c r="L15" s="469"/>
    </row>
    <row r="16" spans="1:12" ht="15.75">
      <c r="A16" s="67"/>
      <c r="B16" s="465"/>
      <c r="C16" s="466" t="s">
        <v>241</v>
      </c>
      <c r="D16" s="467">
        <v>8096</v>
      </c>
      <c r="E16" s="606"/>
      <c r="F16" s="580"/>
      <c r="G16" s="579"/>
      <c r="H16" s="609"/>
      <c r="I16" s="584"/>
      <c r="J16" s="610"/>
      <c r="K16" s="579"/>
      <c r="L16" s="495"/>
    </row>
    <row r="17" spans="1:12" ht="15.75">
      <c r="A17" s="67"/>
      <c r="B17" s="277" t="s">
        <v>242</v>
      </c>
      <c r="C17" s="277"/>
      <c r="D17" s="345" t="s">
        <v>243</v>
      </c>
      <c r="E17" s="693">
        <f>'Budget-Restricted MYP'!F17</f>
        <v>1235086</v>
      </c>
      <c r="F17" s="753">
        <f>F108</f>
        <v>238696.69</v>
      </c>
      <c r="G17" s="753">
        <f>G108</f>
        <v>1805349</v>
      </c>
      <c r="H17" s="271">
        <f>IF(E17&lt;1," ",IF(G17&lt;1," ",(G17-E17)/E17))</f>
        <v>0.4617192648932949</v>
      </c>
      <c r="I17" s="290">
        <f>I108</f>
        <v>776247.31920000003</v>
      </c>
      <c r="J17" s="269">
        <f>IF(G17&lt;1," ",IF(I17&lt;1," ",(I17-G17)/G17))</f>
        <v>-0.57002921917036542</v>
      </c>
      <c r="K17" s="753">
        <f>K108</f>
        <v>650389</v>
      </c>
      <c r="L17" s="306">
        <f>IF(I17&lt;1," ",IF(K17&lt;1," ",(K17-I17)/I17))</f>
        <v>-0.16213688097462228</v>
      </c>
    </row>
    <row r="18" spans="1:12" ht="15.75">
      <c r="A18" s="67"/>
      <c r="B18" s="146" t="s">
        <v>244</v>
      </c>
      <c r="C18" s="140"/>
      <c r="D18" s="140"/>
      <c r="E18" s="576"/>
      <c r="F18" s="578"/>
      <c r="G18" s="578"/>
      <c r="H18" s="582"/>
      <c r="I18" s="578"/>
      <c r="J18" s="582"/>
      <c r="K18" s="578"/>
      <c r="L18" s="492"/>
    </row>
    <row r="19" spans="1:12" ht="15.75">
      <c r="A19" s="67"/>
      <c r="B19" s="465"/>
      <c r="C19" s="466" t="s">
        <v>245</v>
      </c>
      <c r="D19" s="467">
        <v>8560</v>
      </c>
      <c r="E19" s="579"/>
      <c r="F19" s="579"/>
      <c r="G19" s="579"/>
      <c r="H19" s="484"/>
      <c r="I19" s="584"/>
      <c r="J19" s="484"/>
      <c r="K19" s="579"/>
      <c r="L19" s="469"/>
    </row>
    <row r="20" spans="1:12" ht="15.75">
      <c r="A20" s="67"/>
      <c r="B20" s="146"/>
      <c r="C20" s="279" t="s">
        <v>246</v>
      </c>
      <c r="D20" s="345">
        <v>8560</v>
      </c>
      <c r="E20" s="693">
        <f>'Budget-Restricted MYP'!F20</f>
        <v>40742.212123199999</v>
      </c>
      <c r="F20" s="785"/>
      <c r="G20" s="753">
        <f>G111</f>
        <v>45564.985283999995</v>
      </c>
      <c r="H20" s="271">
        <f>IF(E20&lt;1," ",IF(G20&lt;1," ",(G20-E20)/E20))</f>
        <v>0.1183728842758085</v>
      </c>
      <c r="I20" s="290">
        <f>I111</f>
        <v>54045.791591999994</v>
      </c>
      <c r="J20" s="269">
        <f>IF(G20&lt;1," ",IF(I20&lt;1," ",(I20-G20)/G20))</f>
        <v>0.1861255140354014</v>
      </c>
      <c r="K20" s="753">
        <f>K111</f>
        <v>54045.791591999994</v>
      </c>
      <c r="L20" s="306">
        <f>IF(I20&lt;1," ",IF(K20&lt;1," ",(K20-I20)/I20))</f>
        <v>0</v>
      </c>
    </row>
    <row r="21" spans="1:12" ht="15.75">
      <c r="A21" s="67"/>
      <c r="B21" s="146"/>
      <c r="C21" s="279" t="s">
        <v>247</v>
      </c>
      <c r="D21" s="345" t="s">
        <v>248</v>
      </c>
      <c r="E21" s="693">
        <f>'Budget-Restricted MYP'!F21</f>
        <v>1378513.1600000001</v>
      </c>
      <c r="F21" s="753">
        <f>F132</f>
        <v>23.46</v>
      </c>
      <c r="G21" s="753">
        <f>G132</f>
        <v>1431651.0899999999</v>
      </c>
      <c r="H21" s="271">
        <f>IF(E21&lt;1," ",IF(G21&lt;1," ",(G21-E21)/E21))</f>
        <v>3.8547277996243211E-2</v>
      </c>
      <c r="I21" s="290">
        <f>I132</f>
        <v>1291648.8522319999</v>
      </c>
      <c r="J21" s="269">
        <f>IF(G21&lt;1," ",IF(I21&lt;1," ",(I21-G21)/G21))</f>
        <v>-9.7790752751077084E-2</v>
      </c>
      <c r="K21" s="753">
        <f>K132</f>
        <v>1331819.3302364149</v>
      </c>
      <c r="L21" s="306">
        <f>IF(I21&lt;1," ",IF(K21&lt;1," ",(K21-I21)/I21))</f>
        <v>3.1100153834379612E-2</v>
      </c>
    </row>
    <row r="22" spans="1:12" ht="15.75">
      <c r="A22" s="67"/>
      <c r="B22" s="146" t="s">
        <v>249</v>
      </c>
      <c r="C22" s="140"/>
      <c r="D22" s="140"/>
      <c r="E22" s="576"/>
      <c r="F22" s="578"/>
      <c r="G22" s="578"/>
      <c r="H22" s="582"/>
      <c r="I22" s="578"/>
      <c r="J22" s="582"/>
      <c r="K22" s="578"/>
      <c r="L22" s="492"/>
    </row>
    <row r="23" spans="1:12" ht="15.75">
      <c r="A23" s="67"/>
      <c r="B23" s="146"/>
      <c r="C23" s="279" t="s">
        <v>250</v>
      </c>
      <c r="D23" s="345">
        <v>8660</v>
      </c>
      <c r="E23" s="693">
        <f>'Budget-Restricted MYP'!F23</f>
        <v>0</v>
      </c>
      <c r="F23" s="785"/>
      <c r="G23" s="785"/>
      <c r="H23" s="269" t="str">
        <f>IF(E23&lt;1," ",IF(G23&lt;1," ",(G23-E23)/E23))</f>
        <v xml:space="preserve"> </v>
      </c>
      <c r="I23" s="788"/>
      <c r="J23" s="269" t="str">
        <f>IF(G23&lt;1," ",IF(I23&lt;1," ",(I23-G23)/G23))</f>
        <v xml:space="preserve"> </v>
      </c>
      <c r="K23" s="785"/>
      <c r="L23" s="306" t="str">
        <f>IF(I23&lt;1," ",IF(K23&lt;1," ",(K23-I23)/I23))</f>
        <v xml:space="preserve"> </v>
      </c>
    </row>
    <row r="24" spans="1:12" ht="15.75">
      <c r="A24" s="67"/>
      <c r="B24" s="146"/>
      <c r="C24" s="279" t="s">
        <v>251</v>
      </c>
      <c r="D24" s="345">
        <v>8792</v>
      </c>
      <c r="E24" s="693">
        <f>'Budget-Restricted MYP'!F24</f>
        <v>497550</v>
      </c>
      <c r="F24" s="785"/>
      <c r="G24" s="785"/>
      <c r="H24" s="269" t="str">
        <f>IF(E24&lt;1," ",IF(G24&lt;1," ",(G24-E24)/E24))</f>
        <v xml:space="preserve"> </v>
      </c>
      <c r="I24" s="788"/>
      <c r="J24" s="269" t="str">
        <f>IF(G24&lt;1," ",IF(I24&lt;1," ",(I24-G24)/G24))</f>
        <v xml:space="preserve"> </v>
      </c>
      <c r="K24" s="785"/>
      <c r="L24" s="306" t="str">
        <f>IF(I24&lt;1," ",IF(K24&lt;1," ",(K24-I24)/I24))</f>
        <v xml:space="preserve"> </v>
      </c>
    </row>
    <row r="25" spans="1:12" ht="16.5" thickBot="1">
      <c r="A25" s="67"/>
      <c r="B25" s="896"/>
      <c r="C25" s="929" t="s">
        <v>252</v>
      </c>
      <c r="D25" s="930" t="s">
        <v>253</v>
      </c>
      <c r="E25" s="700">
        <f>'Budget-Restricted MYP'!F25</f>
        <v>7500</v>
      </c>
      <c r="F25" s="799">
        <f>F141</f>
        <v>75</v>
      </c>
      <c r="G25" s="799">
        <f>G141</f>
        <v>0</v>
      </c>
      <c r="H25" s="296" t="str">
        <f>IF(E25&lt;1," ",IF(G25&lt;1," ",(G25-E25)/E25))</f>
        <v xml:space="preserve"> </v>
      </c>
      <c r="I25" s="948">
        <f>I141</f>
        <v>0</v>
      </c>
      <c r="J25" s="296" t="str">
        <f>IF(G25&lt;1," ",IF(I25&lt;1," ",(I25-G25)/G25))</f>
        <v xml:space="preserve"> </v>
      </c>
      <c r="K25" s="799">
        <f>K141</f>
        <v>0</v>
      </c>
      <c r="L25" s="587" t="str">
        <f>IF(I25&lt;1," ",IF(K25&lt;1," ",(K25-I25)/I25))</f>
        <v xml:space="preserve"> </v>
      </c>
    </row>
    <row r="26" spans="1:12" ht="17.25" thickTop="1" thickBot="1">
      <c r="A26" s="67"/>
      <c r="B26" s="909" t="s">
        <v>254</v>
      </c>
      <c r="C26" s="954"/>
      <c r="D26" s="928"/>
      <c r="E26" s="897">
        <f>'Budget-Restricted MYP'!F26</f>
        <v>3159391.3721232004</v>
      </c>
      <c r="F26" s="807">
        <f>SUM(F13:F25)</f>
        <v>238795.15</v>
      </c>
      <c r="G26" s="807">
        <f>SUM(G13:G25)</f>
        <v>3282565.0752839996</v>
      </c>
      <c r="H26" s="585">
        <f>IF(E26&lt;1," ",IF(G26&lt;1," ",(G26-E26)/E26))</f>
        <v>3.8986528939598544E-2</v>
      </c>
      <c r="I26" s="807">
        <f>SUM(I13:I25)</f>
        <v>2121941.9630239997</v>
      </c>
      <c r="J26" s="585">
        <f>IF(G26&lt;1," ",IF(I26&lt;1," ",(I26-G26)/G26))</f>
        <v>-0.35357200410096534</v>
      </c>
      <c r="K26" s="807">
        <f>SUM(K13:K25)</f>
        <v>2036254.121828415</v>
      </c>
      <c r="L26" s="588">
        <f>IF(I26&lt;1," ",IF(K26&lt;1," ",(K26-I26)/I26))</f>
        <v>-4.0381802466204202E-2</v>
      </c>
    </row>
    <row r="27" spans="1:12" ht="16.5" thickTop="1">
      <c r="A27" s="67"/>
      <c r="B27" s="1"/>
      <c r="C27" s="1"/>
      <c r="D27" s="1"/>
      <c r="E27" s="268"/>
      <c r="F27" s="1723"/>
      <c r="G27" s="1723"/>
      <c r="H27" s="1723"/>
      <c r="I27" s="1723"/>
      <c r="L27" s="470"/>
    </row>
    <row r="28" spans="1:12" ht="15.75">
      <c r="A28" s="1739" t="s">
        <v>255</v>
      </c>
      <c r="B28" s="1740"/>
      <c r="C28" s="1740"/>
      <c r="D28" s="154"/>
      <c r="E28" s="268"/>
      <c r="F28" s="1827"/>
      <c r="G28" s="1827"/>
      <c r="H28" s="1827"/>
      <c r="I28" s="1827"/>
      <c r="J28" s="151"/>
      <c r="K28" s="151"/>
      <c r="L28" s="464"/>
    </row>
    <row r="29" spans="1:12" ht="15.75">
      <c r="A29" s="67"/>
      <c r="B29" s="277" t="s">
        <v>256</v>
      </c>
      <c r="C29" s="277"/>
      <c r="D29" s="278" t="s">
        <v>257</v>
      </c>
      <c r="E29" s="693">
        <f>'Budget-Restricted MYP'!F29</f>
        <v>965931.3759999997</v>
      </c>
      <c r="F29" s="786">
        <v>280245.46999999968</v>
      </c>
      <c r="G29" s="786">
        <v>1104421.128</v>
      </c>
      <c r="H29" s="269">
        <f t="shared" ref="H29:H37" si="0">IF(E29&lt;1," ",IF(G29&lt;1," ",(G29-E29)/E29))</f>
        <v>0.14337431772171813</v>
      </c>
      <c r="I29" s="790">
        <v>1026320.4379703561</v>
      </c>
      <c r="J29" s="269">
        <f t="shared" ref="J29:J37" si="1">IF(G29&lt;1," ",IF(I29&lt;1," ",(I29-G29)/G29))</f>
        <v>-7.0716403416762538E-2</v>
      </c>
      <c r="K29" s="786">
        <v>1050541.6003064567</v>
      </c>
      <c r="L29" s="306">
        <f t="shared" ref="L29:L37" si="2">IF(I29&lt;1," ",IF(K29&lt;1," ",(K29-I29)/I29))</f>
        <v>2.3600000000000183E-2</v>
      </c>
    </row>
    <row r="30" spans="1:12" ht="15.75">
      <c r="A30" s="67"/>
      <c r="B30" s="277" t="s">
        <v>258</v>
      </c>
      <c r="C30" s="277"/>
      <c r="D30" s="278" t="s">
        <v>259</v>
      </c>
      <c r="E30" s="693">
        <f>'Budget-Restricted MYP'!F30</f>
        <v>638957.80500000017</v>
      </c>
      <c r="F30" s="786">
        <v>239376.53999999995</v>
      </c>
      <c r="G30" s="786">
        <v>836217.30799999996</v>
      </c>
      <c r="H30" s="269">
        <f t="shared" si="0"/>
        <v>0.30872070339605562</v>
      </c>
      <c r="I30" s="790">
        <v>573379.95769580721</v>
      </c>
      <c r="J30" s="269">
        <f t="shared" si="1"/>
        <v>-0.31431704150303569</v>
      </c>
      <c r="K30" s="786">
        <v>586911.72469742829</v>
      </c>
      <c r="L30" s="306">
        <f t="shared" si="2"/>
        <v>2.3600000000000045E-2</v>
      </c>
    </row>
    <row r="31" spans="1:12" ht="15.75">
      <c r="A31" s="67"/>
      <c r="B31" s="277" t="s">
        <v>260</v>
      </c>
      <c r="C31" s="277"/>
      <c r="D31" s="278" t="s">
        <v>261</v>
      </c>
      <c r="E31" s="693">
        <f>'Budget-Restricted MYP'!F31</f>
        <v>543372.37651180022</v>
      </c>
      <c r="F31" s="786">
        <v>191742.34999999971</v>
      </c>
      <c r="G31" s="786">
        <v>736539.36674639967</v>
      </c>
      <c r="H31" s="269">
        <f t="shared" si="0"/>
        <v>0.35549652243023899</v>
      </c>
      <c r="I31" s="790">
        <v>664521.82713850623</v>
      </c>
      <c r="J31" s="269">
        <f t="shared" si="1"/>
        <v>-9.7778262587680589E-2</v>
      </c>
      <c r="K31" s="786">
        <v>686021.06434960593</v>
      </c>
      <c r="L31" s="306">
        <f t="shared" si="2"/>
        <v>3.2352943625158948E-2</v>
      </c>
    </row>
    <row r="32" spans="1:12" ht="15.75">
      <c r="A32" s="67"/>
      <c r="B32" s="277" t="s">
        <v>262</v>
      </c>
      <c r="C32" s="277"/>
      <c r="D32" s="278" t="s">
        <v>263</v>
      </c>
      <c r="E32" s="693">
        <f>'Budget-Restricted MYP'!F32</f>
        <v>195969</v>
      </c>
      <c r="F32" s="786">
        <f>574958.18-166830</f>
        <v>408128.18000000005</v>
      </c>
      <c r="G32" s="786"/>
      <c r="H32" s="269" t="str">
        <f t="shared" si="0"/>
        <v xml:space="preserve"> </v>
      </c>
      <c r="I32" s="790"/>
      <c r="J32" s="269" t="str">
        <f t="shared" si="1"/>
        <v xml:space="preserve"> </v>
      </c>
      <c r="K32" s="786"/>
      <c r="L32" s="306" t="str">
        <f t="shared" si="2"/>
        <v xml:space="preserve"> </v>
      </c>
    </row>
    <row r="33" spans="1:12" ht="15.75">
      <c r="A33" s="67"/>
      <c r="B33" s="277" t="s">
        <v>264</v>
      </c>
      <c r="C33" s="277"/>
      <c r="D33" s="278" t="s">
        <v>265</v>
      </c>
      <c r="E33" s="693">
        <f>'Budget-Restricted MYP'!F33</f>
        <v>928320.65999999992</v>
      </c>
      <c r="F33" s="786">
        <v>261441.60999999996</v>
      </c>
      <c r="G33" s="786"/>
      <c r="H33" s="269" t="str">
        <f t="shared" si="0"/>
        <v xml:space="preserve"> </v>
      </c>
      <c r="I33" s="790"/>
      <c r="J33" s="269" t="str">
        <f t="shared" si="1"/>
        <v xml:space="preserve"> </v>
      </c>
      <c r="K33" s="786"/>
      <c r="L33" s="306" t="str">
        <f t="shared" si="2"/>
        <v xml:space="preserve"> </v>
      </c>
    </row>
    <row r="34" spans="1:12" ht="15.75">
      <c r="A34" s="67"/>
      <c r="B34" s="277" t="s">
        <v>266</v>
      </c>
      <c r="C34" s="277"/>
      <c r="D34" s="278" t="s">
        <v>267</v>
      </c>
      <c r="E34" s="693">
        <f>'Budget-Restricted MYP'!F34</f>
        <v>0</v>
      </c>
      <c r="F34" s="786"/>
      <c r="G34" s="786"/>
      <c r="H34" s="269" t="str">
        <f t="shared" si="0"/>
        <v xml:space="preserve"> </v>
      </c>
      <c r="I34" s="790"/>
      <c r="J34" s="269" t="str">
        <f t="shared" si="1"/>
        <v xml:space="preserve"> </v>
      </c>
      <c r="K34" s="786"/>
      <c r="L34" s="306" t="str">
        <f t="shared" si="2"/>
        <v xml:space="preserve"> </v>
      </c>
    </row>
    <row r="35" spans="1:12" ht="15.75">
      <c r="A35" s="67"/>
      <c r="B35" s="277" t="s">
        <v>268</v>
      </c>
      <c r="C35" s="277"/>
      <c r="D35" s="278" t="s">
        <v>269</v>
      </c>
      <c r="E35" s="693">
        <f>'Budget-Restricted MYP'!F35</f>
        <v>0</v>
      </c>
      <c r="F35" s="786"/>
      <c r="G35" s="786"/>
      <c r="H35" s="269" t="str">
        <f t="shared" si="0"/>
        <v xml:space="preserve"> </v>
      </c>
      <c r="I35" s="790"/>
      <c r="J35" s="269" t="str">
        <f t="shared" si="1"/>
        <v xml:space="preserve"> </v>
      </c>
      <c r="K35" s="786"/>
      <c r="L35" s="306" t="str">
        <f t="shared" si="2"/>
        <v xml:space="preserve"> </v>
      </c>
    </row>
    <row r="36" spans="1:12" ht="16.5" thickBot="1">
      <c r="A36" s="67"/>
      <c r="B36" s="919" t="s">
        <v>270</v>
      </c>
      <c r="C36" s="919"/>
      <c r="D36" s="626" t="s">
        <v>271</v>
      </c>
      <c r="E36" s="700">
        <f>'Budget-Restricted MYP'!F36</f>
        <v>0</v>
      </c>
      <c r="F36" s="949"/>
      <c r="G36" s="949"/>
      <c r="H36" s="296" t="str">
        <f t="shared" si="0"/>
        <v xml:space="preserve"> </v>
      </c>
      <c r="I36" s="950"/>
      <c r="J36" s="296" t="str">
        <f t="shared" si="1"/>
        <v xml:space="preserve"> </v>
      </c>
      <c r="K36" s="949"/>
      <c r="L36" s="587" t="str">
        <f t="shared" si="2"/>
        <v xml:space="preserve"> </v>
      </c>
    </row>
    <row r="37" spans="1:12" ht="17.25" thickTop="1" thickBot="1">
      <c r="A37" s="67"/>
      <c r="B37" s="909" t="s">
        <v>272</v>
      </c>
      <c r="C37" s="954"/>
      <c r="D37" s="955"/>
      <c r="E37" s="897">
        <f>'Budget-Restricted MYP'!F37</f>
        <v>3272551.2175118001</v>
      </c>
      <c r="F37" s="807">
        <f>SUM(F29:F36)</f>
        <v>1380934.1499999994</v>
      </c>
      <c r="G37" s="807">
        <f>SUM(G29:G36)</f>
        <v>2677177.8027463998</v>
      </c>
      <c r="H37" s="585">
        <f t="shared" si="0"/>
        <v>-0.18192944134212119</v>
      </c>
      <c r="I37" s="807">
        <f>SUM(I29:I36)</f>
        <v>2264222.2228046698</v>
      </c>
      <c r="J37" s="585">
        <f t="shared" si="1"/>
        <v>-0.15425033761974902</v>
      </c>
      <c r="K37" s="807">
        <f>SUM(K29:K36)</f>
        <v>2323474.3893534909</v>
      </c>
      <c r="L37" s="588">
        <f t="shared" si="2"/>
        <v>2.6168883050456976E-2</v>
      </c>
    </row>
    <row r="38" spans="1:12" ht="17.25" thickTop="1" thickBot="1">
      <c r="A38" s="67"/>
      <c r="B38" s="1"/>
      <c r="C38" s="1"/>
      <c r="D38" s="167"/>
      <c r="E38" s="19"/>
      <c r="F38" s="1833"/>
      <c r="G38" s="1833"/>
      <c r="H38" s="1833"/>
      <c r="I38" s="1833"/>
      <c r="L38" s="470"/>
    </row>
    <row r="39" spans="1:12" ht="17.25" thickTop="1" thickBot="1">
      <c r="A39" s="942" t="s">
        <v>273</v>
      </c>
      <c r="B39" s="956"/>
      <c r="C39" s="958"/>
      <c r="D39" s="959"/>
      <c r="E39" s="951">
        <f>'Budget-Restricted MYP'!F39</f>
        <v>-113159.84538859967</v>
      </c>
      <c r="F39" s="957">
        <f>SUM(F26-F37)</f>
        <v>-1142138.9999999995</v>
      </c>
      <c r="G39" s="957">
        <f>SUM(G26-G37)</f>
        <v>605387.27253759978</v>
      </c>
      <c r="H39" s="943" t="str">
        <f>IF(E39&lt;1," ",IF(G39&lt;1," ",(G39-E39)/E39))</f>
        <v xml:space="preserve"> </v>
      </c>
      <c r="I39" s="957">
        <f>SUM(I26-I37)</f>
        <v>-142280.25978067005</v>
      </c>
      <c r="J39" s="943" t="str">
        <f>IF(G39&lt;1," ",IF(I39&lt;1," ",(I39-G39)/G39))</f>
        <v xml:space="preserve"> </v>
      </c>
      <c r="K39" s="957">
        <f>SUM(K26-K37)</f>
        <v>-287220.26752507593</v>
      </c>
      <c r="L39" s="944" t="str">
        <f>IF(I39&lt;1," ",IF(K39&lt;1," ",(K39-I39)/I39))</f>
        <v xml:space="preserve"> </v>
      </c>
    </row>
    <row r="40" spans="1:12" ht="16.5" thickTop="1">
      <c r="A40" s="67"/>
      <c r="B40" s="1"/>
      <c r="C40" s="342"/>
      <c r="D40" s="343"/>
      <c r="E40" s="83"/>
      <c r="F40" s="1719"/>
      <c r="G40" s="1719"/>
      <c r="H40" s="1719"/>
      <c r="I40" s="1719"/>
      <c r="J40" s="490"/>
      <c r="K40" s="490"/>
      <c r="L40" s="491"/>
    </row>
    <row r="41" spans="1:12" ht="15.75">
      <c r="A41" s="305" t="s">
        <v>274</v>
      </c>
      <c r="B41" s="1"/>
      <c r="C41" s="154"/>
      <c r="D41" s="344"/>
      <c r="E41" s="82"/>
      <c r="F41" s="1721"/>
      <c r="G41" s="1721"/>
      <c r="H41" s="1721"/>
      <c r="I41" s="1721"/>
      <c r="J41" s="456"/>
      <c r="K41" s="456"/>
      <c r="L41" s="474"/>
    </row>
    <row r="42" spans="1:12" ht="15.75">
      <c r="A42" s="67"/>
      <c r="B42" s="146" t="s">
        <v>275</v>
      </c>
      <c r="C42" s="140"/>
      <c r="D42" s="309">
        <v>8900</v>
      </c>
      <c r="E42" s="762">
        <f>'Budget-Restricted MYP'!F42</f>
        <v>0</v>
      </c>
      <c r="F42" s="801"/>
      <c r="G42" s="801"/>
      <c r="H42" s="49" t="str">
        <f>IF(E42&lt;1," ",IF(G42&lt;1," ",(G42-E42)/E42))</f>
        <v xml:space="preserve"> </v>
      </c>
      <c r="I42" s="803"/>
      <c r="J42" s="631" t="str">
        <f>IF(G42&lt;1," ",IF(I42&lt;1," ",(I42-G42)/G42))</f>
        <v xml:space="preserve"> </v>
      </c>
      <c r="K42" s="805"/>
      <c r="L42" s="630" t="str">
        <f>IF(I42&lt;1," ",IF(K42&lt;1," ",(K42-I42)/I42))</f>
        <v xml:space="preserve"> </v>
      </c>
    </row>
    <row r="43" spans="1:12" ht="16.5" thickBot="1">
      <c r="A43" s="67"/>
      <c r="B43" s="896" t="s">
        <v>276</v>
      </c>
      <c r="C43" s="152"/>
      <c r="D43" s="925">
        <v>7600</v>
      </c>
      <c r="E43" s="812">
        <f>'Budget-Restricted MYP'!F43</f>
        <v>0</v>
      </c>
      <c r="F43" s="802"/>
      <c r="G43" s="802"/>
      <c r="H43" s="593" t="str">
        <f>IF(E43&lt;1," ",IF(G43&lt;1," ",(G43-E43)/E43))</f>
        <v xml:space="preserve"> </v>
      </c>
      <c r="I43" s="804"/>
      <c r="J43" s="638" t="str">
        <f>IF(G43&lt;1," ",IF(I43&lt;1," ",(I43-G43)/G43))</f>
        <v xml:space="preserve"> </v>
      </c>
      <c r="K43" s="806"/>
      <c r="L43" s="639" t="str">
        <f>IF(I43&lt;1," ",IF(K43&lt;1," ",(K43-I43)/I43))</f>
        <v xml:space="preserve"> </v>
      </c>
    </row>
    <row r="44" spans="1:12" ht="17.25" thickTop="1" thickBot="1">
      <c r="A44" s="67"/>
      <c r="B44" s="909" t="s">
        <v>277</v>
      </c>
      <c r="C44" s="954"/>
      <c r="D44" s="955"/>
      <c r="E44" s="897">
        <f>'Budget-Restricted MYP'!F44</f>
        <v>0</v>
      </c>
      <c r="F44" s="807">
        <f>F42-F43</f>
        <v>0</v>
      </c>
      <c r="G44" s="807">
        <f>G42-G43</f>
        <v>0</v>
      </c>
      <c r="H44" s="585" t="str">
        <f>IF(E44&lt;1," ",IF(G44&lt;1," ",(G44-E44)/E44))</f>
        <v xml:space="preserve"> </v>
      </c>
      <c r="I44" s="807">
        <f>I42-I43</f>
        <v>0</v>
      </c>
      <c r="J44" s="585" t="str">
        <f>IF(G44&lt;1," ",IF(I44&lt;1," ",(I44-G44)/G44))</f>
        <v xml:space="preserve"> </v>
      </c>
      <c r="K44" s="807">
        <f>K42-K43</f>
        <v>0</v>
      </c>
      <c r="L44" s="588" t="str">
        <f>IF(I44&lt;1," ",IF(K44&lt;1," ",(K44-I44)/I44))</f>
        <v xml:space="preserve"> </v>
      </c>
    </row>
    <row r="45" spans="1:12" ht="17.25" thickTop="1" thickBot="1">
      <c r="A45" s="67"/>
      <c r="B45" s="1"/>
      <c r="C45" s="1"/>
      <c r="D45" s="167"/>
      <c r="E45" s="268"/>
      <c r="F45" s="51"/>
      <c r="G45" s="51"/>
      <c r="H45" s="268"/>
      <c r="I45" s="51"/>
      <c r="J45" s="268"/>
      <c r="K45" s="51"/>
      <c r="L45" s="878"/>
    </row>
    <row r="46" spans="1:12" ht="17.25" thickTop="1" thickBot="1">
      <c r="A46" s="945" t="s">
        <v>278</v>
      </c>
      <c r="B46" s="910"/>
      <c r="C46" s="954"/>
      <c r="D46" s="955"/>
      <c r="E46" s="897">
        <f>'Budget-Restricted MYP'!F46</f>
        <v>-113159.84538859967</v>
      </c>
      <c r="F46" s="807">
        <f>F39+F44</f>
        <v>-1142138.9999999995</v>
      </c>
      <c r="G46" s="807">
        <f>G39+G44</f>
        <v>605387.27253759978</v>
      </c>
      <c r="H46" s="585" t="str">
        <f>IF(E46&lt;1," ",IF(G46&lt;1," ",(G46-E46)/E46))</f>
        <v xml:space="preserve"> </v>
      </c>
      <c r="I46" s="807">
        <f>I39+I44</f>
        <v>-142280.25978067005</v>
      </c>
      <c r="J46" s="585" t="str">
        <f>IF(G46&lt;1," ",IF(I46&lt;1," ",(I46-G46)/G46))</f>
        <v xml:space="preserve"> </v>
      </c>
      <c r="K46" s="807">
        <f>K39+K44</f>
        <v>-287220.26752507593</v>
      </c>
      <c r="L46" s="588" t="str">
        <f>IF(I46&lt;1," ",IF(K46&lt;1," ",(K46-I46)/I46))</f>
        <v xml:space="preserve"> </v>
      </c>
    </row>
    <row r="47" spans="1:12" ht="16.5" thickTop="1">
      <c r="A47" s="305"/>
      <c r="B47" s="1"/>
      <c r="C47" s="1"/>
      <c r="D47" s="167"/>
      <c r="E47" s="268"/>
      <c r="F47" s="1723"/>
      <c r="G47" s="1723"/>
      <c r="H47" s="1723"/>
      <c r="I47" s="1723"/>
      <c r="L47" s="470"/>
    </row>
    <row r="48" spans="1:12" ht="15.75">
      <c r="A48" s="305" t="s">
        <v>279</v>
      </c>
      <c r="B48" s="1"/>
      <c r="C48" s="1"/>
      <c r="D48" s="167"/>
      <c r="E48" s="268"/>
      <c r="F48" s="1723"/>
      <c r="G48" s="1723"/>
      <c r="H48" s="1723"/>
      <c r="I48" s="1723"/>
      <c r="L48" s="470"/>
    </row>
    <row r="49" spans="1:12" ht="15.75">
      <c r="A49" s="67"/>
      <c r="B49" s="292" t="s">
        <v>280</v>
      </c>
      <c r="C49" s="293"/>
      <c r="D49" s="294">
        <v>9791</v>
      </c>
      <c r="E49" s="809">
        <f>'Budget-Restricted MYP'!F49</f>
        <v>-240336</v>
      </c>
      <c r="F49" s="891">
        <f>E49</f>
        <v>-240336</v>
      </c>
      <c r="G49" s="809">
        <f>E49</f>
        <v>-240336</v>
      </c>
      <c r="H49" s="1096"/>
      <c r="I49" s="1094"/>
      <c r="J49" s="1097"/>
      <c r="K49" s="1095"/>
      <c r="L49" s="1098"/>
    </row>
    <row r="50" spans="1:12" ht="15.75">
      <c r="A50" s="67"/>
      <c r="B50" s="314" t="s">
        <v>281</v>
      </c>
      <c r="C50" s="315"/>
      <c r="D50" s="316">
        <v>9792</v>
      </c>
      <c r="E50" s="984"/>
      <c r="F50" s="810">
        <f>G50</f>
        <v>369118.08</v>
      </c>
      <c r="G50" s="691">
        <f>128782.08+240336</f>
        <v>369118.08</v>
      </c>
      <c r="H50" s="621"/>
      <c r="I50" s="797"/>
      <c r="J50" s="594"/>
      <c r="K50" s="795"/>
      <c r="L50" s="596"/>
    </row>
    <row r="51" spans="1:12" ht="15.75">
      <c r="A51" s="67"/>
      <c r="B51" s="314" t="s">
        <v>282</v>
      </c>
      <c r="C51" s="315"/>
      <c r="D51" s="962"/>
      <c r="E51" s="984"/>
      <c r="F51" s="810">
        <f>SUM(F49:F50)</f>
        <v>128782.08000000002</v>
      </c>
      <c r="G51" s="810">
        <f>SUM(G49:G50)</f>
        <v>128782.08000000002</v>
      </c>
      <c r="H51" s="621"/>
      <c r="I51" s="797"/>
      <c r="J51" s="594"/>
      <c r="K51" s="795"/>
      <c r="L51" s="596"/>
    </row>
    <row r="52" spans="1:12" ht="15.75">
      <c r="A52" s="67"/>
      <c r="B52" s="314" t="s">
        <v>283</v>
      </c>
      <c r="C52" s="315"/>
      <c r="D52" s="316">
        <v>9793</v>
      </c>
      <c r="E52" s="984"/>
      <c r="F52" s="691">
        <v>0</v>
      </c>
      <c r="G52" s="691">
        <v>0</v>
      </c>
      <c r="H52" s="621"/>
      <c r="I52" s="1007"/>
      <c r="J52" s="594"/>
      <c r="K52" s="795"/>
      <c r="L52" s="596"/>
    </row>
    <row r="53" spans="1:12" ht="15.75">
      <c r="A53" s="67"/>
      <c r="B53" s="314" t="s">
        <v>284</v>
      </c>
      <c r="C53" s="315"/>
      <c r="D53" s="316">
        <v>9795</v>
      </c>
      <c r="E53" s="809">
        <f>'Budget-Restricted MYP'!F53</f>
        <v>0</v>
      </c>
      <c r="F53" s="888">
        <v>0</v>
      </c>
      <c r="G53" s="888">
        <v>0</v>
      </c>
      <c r="H53" s="621"/>
      <c r="I53" s="798"/>
      <c r="J53" s="595"/>
      <c r="K53" s="796"/>
      <c r="L53" s="597"/>
    </row>
    <row r="54" spans="1:12" ht="16.5" thickBot="1">
      <c r="A54" s="67"/>
      <c r="B54" s="907" t="s">
        <v>285</v>
      </c>
      <c r="C54" s="501"/>
      <c r="D54" s="908"/>
      <c r="E54" s="890"/>
      <c r="F54" s="811">
        <f>SUM(F51:F53)</f>
        <v>128782.08000000002</v>
      </c>
      <c r="G54" s="811">
        <f>SUM(G51:G53)</f>
        <v>128782.08000000002</v>
      </c>
      <c r="H54" s="612"/>
      <c r="I54" s="1117">
        <f>G55</f>
        <v>734169</v>
      </c>
      <c r="J54" s="595"/>
      <c r="K54" s="1118">
        <f>I55</f>
        <v>591889</v>
      </c>
      <c r="L54" s="597"/>
    </row>
    <row r="55" spans="1:12" ht="17.25" thickTop="1" thickBot="1">
      <c r="A55" s="67"/>
      <c r="B55" s="909" t="s">
        <v>286</v>
      </c>
      <c r="C55" s="954"/>
      <c r="D55" s="955"/>
      <c r="E55" s="897">
        <f>ROUND('Budget-Restricted MYP'!F55,0)</f>
        <v>-353496</v>
      </c>
      <c r="F55" s="807">
        <f>ROUND(F54+F46,0)</f>
        <v>-1013357</v>
      </c>
      <c r="G55" s="807">
        <f>ROUND(G54+G46,0)</f>
        <v>734169</v>
      </c>
      <c r="H55" s="585" t="str">
        <f>IF(E55&lt;1," ",IF(G55&lt;1," ",(G55-E55)/E55))</f>
        <v xml:space="preserve"> </v>
      </c>
      <c r="I55" s="807">
        <f>ROUND(I54+I46,0)</f>
        <v>591889</v>
      </c>
      <c r="J55" s="585">
        <f>IF(G55&lt;1," ",IF(I55&lt;1," ",(I55-G55)/G55))</f>
        <v>-0.19379734093921155</v>
      </c>
      <c r="K55" s="807">
        <f>ROUND(K54+K46,0)</f>
        <v>304669</v>
      </c>
      <c r="L55" s="588">
        <f>IF(I55&lt;1," ",IF(K55&lt;1," ",(K55-I55)/I55))</f>
        <v>-0.48525990515113476</v>
      </c>
    </row>
    <row r="56" spans="1:12" ht="16.5" thickTop="1">
      <c r="A56" s="67"/>
      <c r="B56" s="1"/>
      <c r="C56" s="1"/>
      <c r="D56" s="167"/>
      <c r="E56" s="168"/>
      <c r="F56" s="51"/>
      <c r="G56" s="51"/>
      <c r="H56" s="168"/>
      <c r="I56" s="51"/>
      <c r="J56" s="168"/>
      <c r="K56" s="51"/>
      <c r="L56" s="473"/>
    </row>
    <row r="57" spans="1:12" ht="15.75">
      <c r="A57" s="323" t="s">
        <v>287</v>
      </c>
      <c r="B57" s="151"/>
      <c r="C57" s="478"/>
      <c r="D57" s="479" t="s">
        <v>103</v>
      </c>
      <c r="E57" s="480"/>
      <c r="F57" s="482"/>
      <c r="G57" s="482"/>
      <c r="H57" s="480"/>
      <c r="I57" s="482"/>
      <c r="J57" s="480"/>
      <c r="K57" s="482"/>
      <c r="L57" s="483"/>
    </row>
    <row r="58" spans="1:12" ht="15.75">
      <c r="A58" s="67"/>
      <c r="B58" s="347" t="s">
        <v>288</v>
      </c>
      <c r="C58" s="352" t="s">
        <v>289</v>
      </c>
      <c r="D58" s="353"/>
      <c r="E58" s="354"/>
      <c r="F58" s="1762"/>
      <c r="G58" s="1762"/>
      <c r="H58" s="1762"/>
      <c r="I58" s="1762"/>
      <c r="J58" s="619"/>
      <c r="K58" s="619"/>
      <c r="L58" s="620"/>
    </row>
    <row r="59" spans="1:12" ht="15.75">
      <c r="A59" s="67"/>
      <c r="B59" s="1621"/>
      <c r="C59" s="500" t="s">
        <v>290</v>
      </c>
      <c r="D59" s="477">
        <v>9711</v>
      </c>
      <c r="E59" s="580"/>
      <c r="F59" s="580"/>
      <c r="G59" s="580"/>
      <c r="H59" s="484"/>
      <c r="I59" s="580"/>
      <c r="J59" s="645"/>
      <c r="K59" s="646"/>
      <c r="L59" s="647"/>
    </row>
    <row r="60" spans="1:12" ht="15.75">
      <c r="A60" s="67"/>
      <c r="B60" s="475"/>
      <c r="C60" s="500" t="s">
        <v>291</v>
      </c>
      <c r="D60" s="477">
        <v>9712</v>
      </c>
      <c r="E60" s="648"/>
      <c r="F60" s="613"/>
      <c r="G60" s="613"/>
      <c r="H60" s="649"/>
      <c r="I60" s="616"/>
      <c r="J60" s="594"/>
      <c r="K60" s="618"/>
      <c r="L60" s="596"/>
    </row>
    <row r="61" spans="1:12" ht="15.75">
      <c r="A61" s="67"/>
      <c r="B61" s="475"/>
      <c r="C61" s="500" t="s">
        <v>292</v>
      </c>
      <c r="D61" s="477">
        <v>9713</v>
      </c>
      <c r="E61" s="614"/>
      <c r="F61" s="600"/>
      <c r="G61" s="600"/>
      <c r="H61" s="621"/>
      <c r="I61" s="617"/>
      <c r="J61" s="594"/>
      <c r="K61" s="618"/>
      <c r="L61" s="596"/>
    </row>
    <row r="62" spans="1:12" ht="15.75">
      <c r="A62" s="67"/>
      <c r="B62" s="475"/>
      <c r="C62" s="500" t="s">
        <v>293</v>
      </c>
      <c r="D62" s="477">
        <v>9719</v>
      </c>
      <c r="E62" s="614"/>
      <c r="F62" s="600"/>
      <c r="G62" s="600"/>
      <c r="H62" s="621"/>
      <c r="I62" s="617"/>
      <c r="J62" s="594"/>
      <c r="K62" s="618"/>
      <c r="L62" s="596"/>
    </row>
    <row r="63" spans="1:12" ht="15.75">
      <c r="A63" s="67"/>
      <c r="B63" s="347" t="s">
        <v>294</v>
      </c>
      <c r="C63" s="349" t="s">
        <v>295</v>
      </c>
      <c r="D63" s="288">
        <v>9740</v>
      </c>
      <c r="E63" s="761">
        <f>IF(E55&lt;0,0,E55)</f>
        <v>0</v>
      </c>
      <c r="F63" s="761">
        <f>IF(F55&lt;0,0,F55)</f>
        <v>0</v>
      </c>
      <c r="G63" s="761">
        <f>IF(G55&lt;0,0,G55)</f>
        <v>734169</v>
      </c>
      <c r="H63" s="49" t="str">
        <f>IF(E63&lt;1," ",IF(G63&lt;1," ",(G63-E63)/E63))</f>
        <v xml:space="preserve"> </v>
      </c>
      <c r="I63" s="761">
        <f>IF(I55&lt;0,0,I55)</f>
        <v>591889</v>
      </c>
      <c r="J63" s="631">
        <f>IF(G63&lt;1," ",IF(I63&lt;1," ",(I63-G63)/G63))</f>
        <v>-0.19379734093921155</v>
      </c>
      <c r="K63" s="761">
        <f>IF(K55&lt;0,0,K55)</f>
        <v>304669</v>
      </c>
      <c r="L63" s="630">
        <f>IF(I63&lt;1," ",IF(K63&lt;1," ",(K63-I63)/I63))</f>
        <v>-0.48525990515113476</v>
      </c>
    </row>
    <row r="64" spans="1:12" ht="15.75">
      <c r="A64" s="67"/>
      <c r="B64" s="475" t="s">
        <v>296</v>
      </c>
      <c r="C64" s="963" t="s">
        <v>297</v>
      </c>
      <c r="D64" s="987"/>
      <c r="E64" s="614"/>
      <c r="F64" s="600"/>
      <c r="G64" s="600"/>
      <c r="H64" s="621"/>
      <c r="I64" s="617"/>
      <c r="J64" s="594"/>
      <c r="K64" s="618"/>
      <c r="L64" s="596"/>
    </row>
    <row r="65" spans="1:12" ht="15.75">
      <c r="A65" s="67"/>
      <c r="B65" s="475"/>
      <c r="C65" s="500" t="s">
        <v>298</v>
      </c>
      <c r="D65" s="503">
        <v>9750</v>
      </c>
      <c r="E65" s="614"/>
      <c r="F65" s="600"/>
      <c r="G65" s="600"/>
      <c r="H65" s="621"/>
      <c r="I65" s="617"/>
      <c r="J65" s="594"/>
      <c r="K65" s="618"/>
      <c r="L65" s="596"/>
    </row>
    <row r="66" spans="1:12" ht="15.75">
      <c r="A66" s="67"/>
      <c r="B66" s="475"/>
      <c r="C66" s="500" t="s">
        <v>299</v>
      </c>
      <c r="D66" s="503">
        <v>9760</v>
      </c>
      <c r="E66" s="614"/>
      <c r="F66" s="600"/>
      <c r="G66" s="600"/>
      <c r="H66" s="621"/>
      <c r="I66" s="617"/>
      <c r="J66" s="594"/>
      <c r="K66" s="618"/>
      <c r="L66" s="596"/>
    </row>
    <row r="67" spans="1:12" ht="15.75">
      <c r="A67" s="67"/>
      <c r="B67" s="475" t="s">
        <v>300</v>
      </c>
      <c r="C67" s="476" t="s">
        <v>301</v>
      </c>
      <c r="D67" s="477">
        <v>9780</v>
      </c>
      <c r="E67" s="614"/>
      <c r="F67" s="600"/>
      <c r="G67" s="600"/>
      <c r="H67" s="621"/>
      <c r="I67" s="617"/>
      <c r="J67" s="594"/>
      <c r="K67" s="618"/>
      <c r="L67" s="596"/>
    </row>
    <row r="68" spans="1:12" ht="15.75">
      <c r="A68" s="67"/>
      <c r="B68" s="475" t="s">
        <v>302</v>
      </c>
      <c r="C68" s="963" t="s">
        <v>303</v>
      </c>
      <c r="D68" s="964"/>
      <c r="E68" s="614"/>
      <c r="F68" s="600"/>
      <c r="G68" s="600"/>
      <c r="H68" s="621"/>
      <c r="I68" s="617"/>
      <c r="J68" s="594"/>
      <c r="K68" s="618"/>
      <c r="L68" s="596"/>
    </row>
    <row r="69" spans="1:12" ht="15.75">
      <c r="A69" s="67"/>
      <c r="B69" s="475"/>
      <c r="C69" s="500" t="s">
        <v>304</v>
      </c>
      <c r="D69" s="503">
        <v>9789</v>
      </c>
      <c r="E69" s="614"/>
      <c r="F69" s="615"/>
      <c r="G69" s="615"/>
      <c r="H69" s="621"/>
      <c r="I69" s="592"/>
      <c r="J69" s="594"/>
      <c r="K69" s="591"/>
      <c r="L69" s="596"/>
    </row>
    <row r="70" spans="1:12" ht="16.5" thickBot="1">
      <c r="A70" s="67"/>
      <c r="B70" s="1104"/>
      <c r="C70" s="1105" t="s">
        <v>305</v>
      </c>
      <c r="D70" s="1106">
        <v>9790</v>
      </c>
      <c r="E70" s="828"/>
      <c r="F70" s="828"/>
      <c r="G70" s="828"/>
      <c r="H70" s="621"/>
      <c r="I70" s="828"/>
      <c r="J70" s="594"/>
      <c r="K70" s="828"/>
      <c r="L70" s="596"/>
    </row>
    <row r="71" spans="1:12" ht="17.25" thickTop="1" thickBot="1">
      <c r="A71" s="67"/>
      <c r="B71" s="1111"/>
      <c r="C71" s="1112"/>
      <c r="D71" s="1113"/>
      <c r="E71" s="1114"/>
      <c r="F71" s="1114"/>
      <c r="G71" s="1114"/>
      <c r="H71" s="1115"/>
      <c r="I71" s="1114"/>
      <c r="J71" s="1115"/>
      <c r="K71" s="1114"/>
      <c r="L71" s="1289"/>
    </row>
    <row r="72" spans="1:12" ht="16.5" thickTop="1">
      <c r="A72" s="67"/>
      <c r="B72" s="1411"/>
      <c r="C72" s="1411"/>
      <c r="D72" s="884"/>
      <c r="E72" s="1412"/>
      <c r="F72" s="1413"/>
      <c r="G72" s="1412"/>
      <c r="H72" s="1413"/>
      <c r="I72" s="1412"/>
      <c r="J72" s="1412"/>
      <c r="K72" s="1417"/>
      <c r="L72" s="1418"/>
    </row>
    <row r="73" spans="1:12" ht="15.75">
      <c r="A73" s="67"/>
      <c r="B73" s="1411" t="s">
        <v>321</v>
      </c>
      <c r="C73" s="1411"/>
      <c r="D73" s="884"/>
      <c r="E73" s="1412"/>
      <c r="F73" s="1413"/>
      <c r="G73" s="1412"/>
      <c r="H73" s="1413"/>
      <c r="I73" s="1412"/>
      <c r="J73" s="1412"/>
      <c r="K73" s="1412"/>
      <c r="L73" s="1290"/>
    </row>
    <row r="74" spans="1:12" ht="15.75">
      <c r="A74" s="67"/>
      <c r="B74" s="290">
        <v>1</v>
      </c>
      <c r="C74" s="1712"/>
      <c r="D74" s="1712"/>
      <c r="E74" s="755"/>
      <c r="F74" s="755" t="s">
        <v>557</v>
      </c>
      <c r="G74" s="755"/>
      <c r="H74" s="1173"/>
      <c r="I74" s="755"/>
      <c r="J74" s="1173"/>
      <c r="K74" s="755"/>
      <c r="L74" s="1290"/>
    </row>
    <row r="75" spans="1:12" ht="15.75">
      <c r="A75" s="67"/>
      <c r="B75" s="290">
        <v>2</v>
      </c>
      <c r="C75" s="1262"/>
      <c r="D75" s="1262"/>
      <c r="E75" s="755"/>
      <c r="F75" s="755"/>
      <c r="G75" s="755"/>
      <c r="H75" s="1173"/>
      <c r="I75" s="755"/>
      <c r="J75" s="1173"/>
      <c r="K75" s="755"/>
      <c r="L75" s="1290"/>
    </row>
    <row r="76" spans="1:12" ht="15.75">
      <c r="A76" s="67"/>
      <c r="B76" s="290">
        <v>3</v>
      </c>
      <c r="C76" s="1262"/>
      <c r="D76" s="1262"/>
      <c r="E76" s="755"/>
      <c r="F76" s="755"/>
      <c r="G76" s="755"/>
      <c r="H76" s="1173"/>
      <c r="I76" s="755"/>
      <c r="J76" s="1173"/>
      <c r="K76" s="755"/>
      <c r="L76" s="1290"/>
    </row>
    <row r="77" spans="1:12" ht="15.75">
      <c r="A77" s="67"/>
      <c r="B77" s="290">
        <v>4</v>
      </c>
      <c r="C77" s="1262"/>
      <c r="D77" s="1262"/>
      <c r="E77" s="755"/>
      <c r="F77" s="755"/>
      <c r="G77" s="755"/>
      <c r="H77" s="1173"/>
      <c r="I77" s="755"/>
      <c r="J77" s="1173"/>
      <c r="K77" s="755"/>
      <c r="L77" s="1290"/>
    </row>
    <row r="78" spans="1:12" ht="15.75">
      <c r="A78" s="67"/>
      <c r="B78" s="290">
        <v>5</v>
      </c>
      <c r="C78" s="1710"/>
      <c r="D78" s="1710"/>
      <c r="E78" s="755"/>
      <c r="F78" s="755"/>
      <c r="G78" s="755"/>
      <c r="H78" s="1173"/>
      <c r="I78" s="755"/>
      <c r="J78" s="1173"/>
      <c r="K78" s="755"/>
      <c r="L78" s="1290"/>
    </row>
    <row r="79" spans="1:12" ht="15.75">
      <c r="A79" s="67"/>
      <c r="B79" s="290">
        <v>6</v>
      </c>
      <c r="C79" s="1710"/>
      <c r="D79" s="1710"/>
      <c r="E79" s="755"/>
      <c r="F79" s="755"/>
      <c r="G79" s="755"/>
      <c r="H79" s="1173"/>
      <c r="I79" s="755"/>
      <c r="J79" s="1173"/>
      <c r="K79" s="755"/>
      <c r="L79" s="1290"/>
    </row>
    <row r="80" spans="1:12" ht="15.75">
      <c r="A80" s="67"/>
      <c r="B80" s="290">
        <v>7</v>
      </c>
      <c r="C80" s="1710"/>
      <c r="D80" s="1710"/>
      <c r="E80" s="755"/>
      <c r="F80" s="755"/>
      <c r="G80" s="755"/>
      <c r="H80" s="1173"/>
      <c r="I80" s="755"/>
      <c r="J80" s="1173"/>
      <c r="K80" s="755"/>
      <c r="L80" s="1290"/>
    </row>
    <row r="81" spans="1:12" ht="15.75">
      <c r="A81" s="67"/>
      <c r="B81" s="290">
        <v>8</v>
      </c>
      <c r="C81" s="1261"/>
      <c r="D81" s="1261"/>
      <c r="E81" s="755"/>
      <c r="F81" s="755"/>
      <c r="G81" s="755"/>
      <c r="H81" s="1173"/>
      <c r="I81" s="755"/>
      <c r="J81" s="1173"/>
      <c r="K81" s="755"/>
      <c r="L81" s="1290"/>
    </row>
    <row r="82" spans="1:12" ht="15.75">
      <c r="A82" s="67"/>
      <c r="B82" s="290">
        <v>9</v>
      </c>
      <c r="C82" s="1710"/>
      <c r="D82" s="1710"/>
      <c r="E82" s="755"/>
      <c r="F82" s="755"/>
      <c r="G82" s="755"/>
      <c r="H82" s="1173"/>
      <c r="I82" s="755"/>
      <c r="J82" s="1173"/>
      <c r="K82" s="755"/>
      <c r="L82" s="1290"/>
    </row>
    <row r="83" spans="1:12" ht="15.75">
      <c r="A83" s="67"/>
      <c r="B83" s="1278">
        <v>10</v>
      </c>
      <c r="C83" s="1713"/>
      <c r="D83" s="1713"/>
      <c r="E83" s="756"/>
      <c r="F83" s="756"/>
      <c r="G83" s="756"/>
      <c r="H83" s="1174"/>
      <c r="I83" s="756"/>
      <c r="J83" s="1174"/>
      <c r="K83" s="756"/>
      <c r="L83" s="1342"/>
    </row>
    <row r="84" spans="1:12" ht="51" customHeight="1" thickBot="1">
      <c r="A84" s="67"/>
      <c r="B84" t="s">
        <v>558</v>
      </c>
      <c r="E84" s="1343">
        <f>IF(SUM(E74:E83)=E63,SUM(E74:E83),"Total must equal amount in Cell E63 above")</f>
        <v>0</v>
      </c>
      <c r="F84" s="1343">
        <f>IF(SUM(F74:F83)=F63,SUM(F74:F83),"Total must equal amount in Cell E63 above")</f>
        <v>0</v>
      </c>
      <c r="G84" s="1343" t="str">
        <f>IF(SUM(G74:G83)=G63,SUM(G74:G83),"Total must equal amount in Cell E63 above")</f>
        <v>Total must equal amount in Cell E63 above</v>
      </c>
      <c r="H84" s="1414"/>
      <c r="I84" s="1343" t="str">
        <f>IF(SUM(I74:I83)=I63,SUM(I74:I83),"Total must equal amount in Cell E63 above")</f>
        <v>Total must equal amount in Cell E63 above</v>
      </c>
      <c r="J84" s="1414"/>
      <c r="K84" s="1343" t="str">
        <f>IF(SUM(K74:K83)=K63,SUM(K74:K83),"Total must equal amount in Cell E63 above")</f>
        <v>Total must equal amount in Cell E63 above</v>
      </c>
      <c r="L84" s="1342"/>
    </row>
    <row r="85" spans="1:12" ht="16.5" thickTop="1">
      <c r="A85" s="331"/>
      <c r="B85" s="224"/>
      <c r="C85" s="224"/>
      <c r="D85" s="224"/>
      <c r="E85" s="1109"/>
      <c r="F85" s="1109"/>
      <c r="G85" s="225"/>
      <c r="H85" s="225"/>
      <c r="I85" s="1109"/>
      <c r="J85" s="225"/>
      <c r="K85" s="1110"/>
      <c r="L85" s="1290"/>
    </row>
    <row r="86" spans="1:12" ht="15.75">
      <c r="A86" s="331" t="s">
        <v>559</v>
      </c>
      <c r="B86" s="224"/>
      <c r="C86" s="224"/>
      <c r="D86" s="224"/>
      <c r="E86" s="224"/>
      <c r="F86" s="225"/>
      <c r="G86" s="225"/>
      <c r="H86" s="225"/>
      <c r="I86" s="225"/>
      <c r="J86" s="225"/>
      <c r="L86" s="1290"/>
    </row>
    <row r="87" spans="1:12" ht="16.5">
      <c r="A87" s="1314"/>
      <c r="B87" s="1415"/>
      <c r="C87" s="1416" t="s">
        <v>323</v>
      </c>
      <c r="D87" s="1416"/>
      <c r="E87" s="1416"/>
      <c r="F87" s="1416"/>
      <c r="G87" s="1416"/>
      <c r="H87" s="1416"/>
      <c r="I87" s="1416"/>
      <c r="J87" s="1416"/>
      <c r="L87" s="1290"/>
    </row>
    <row r="88" spans="1:12" ht="15.75">
      <c r="A88" s="331"/>
      <c r="B88" s="290">
        <v>1</v>
      </c>
      <c r="C88" s="1712" t="s">
        <v>324</v>
      </c>
      <c r="D88" s="1712"/>
      <c r="E88" s="1206">
        <f>'Budget-Restricted MYP'!F88</f>
        <v>289980</v>
      </c>
      <c r="F88" s="717">
        <v>53183</v>
      </c>
      <c r="G88" s="717">
        <v>256817</v>
      </c>
      <c r="H88" s="49">
        <f>IF(E88&lt;1," ",IF(G88&lt;1," ",(G88-E88)/E88))</f>
        <v>-0.1143630595213463</v>
      </c>
      <c r="I88" s="723">
        <f>246270+30299+19499</f>
        <v>296068</v>
      </c>
      <c r="J88" s="487">
        <f t="shared" ref="J88:J108" si="3">IF(G88&lt;1," ",IF(I88&lt;1," ",(I88-G88)/G88))</f>
        <v>0.15283645553059183</v>
      </c>
      <c r="K88" s="707">
        <f>300692+36994+23810</f>
        <v>361496</v>
      </c>
      <c r="L88" s="1291">
        <f t="shared" ref="L88:L108" si="4">IF(I88&lt;1," ",IF(K88&lt;1," ",(K88-I88)/I88))</f>
        <v>0.22098977261980357</v>
      </c>
    </row>
    <row r="89" spans="1:12" ht="15.75">
      <c r="A89" s="283"/>
      <c r="B89" s="290">
        <v>2</v>
      </c>
      <c r="C89" s="1710" t="s">
        <v>325</v>
      </c>
      <c r="D89" s="1710"/>
      <c r="E89" s="1206">
        <f>'Budget-Restricted MYP'!F89</f>
        <v>112409</v>
      </c>
      <c r="F89" s="717"/>
      <c r="G89" s="717">
        <v>90314</v>
      </c>
      <c r="H89" s="49">
        <f>IF(E89&lt;1," ",IF(G89&lt;1," ",(G89-E89)/E89))</f>
        <v>-0.19655899438657046</v>
      </c>
      <c r="I89" s="723">
        <v>105053.78719999999</v>
      </c>
      <c r="J89" s="487">
        <f t="shared" si="3"/>
        <v>0.16320600571339983</v>
      </c>
      <c r="K89" s="707">
        <v>108321</v>
      </c>
      <c r="L89" s="1291">
        <f t="shared" si="4"/>
        <v>3.1100380929436962E-2</v>
      </c>
    </row>
    <row r="90" spans="1:12" ht="15.75">
      <c r="A90" s="283"/>
      <c r="B90" s="290">
        <v>3</v>
      </c>
      <c r="C90" s="1710" t="s">
        <v>326</v>
      </c>
      <c r="D90" s="1710"/>
      <c r="E90" s="1206"/>
      <c r="F90" s="717">
        <v>101.69</v>
      </c>
      <c r="G90" s="717">
        <v>142965</v>
      </c>
      <c r="H90" s="49"/>
      <c r="I90" s="723">
        <v>175070.53199999998</v>
      </c>
      <c r="J90" s="487"/>
      <c r="K90" s="707">
        <v>180515</v>
      </c>
      <c r="L90" s="1291"/>
    </row>
    <row r="91" spans="1:12" ht="15.75">
      <c r="A91" s="283"/>
      <c r="B91" s="290">
        <v>4</v>
      </c>
      <c r="C91" s="1710" t="s">
        <v>560</v>
      </c>
      <c r="D91" s="1710"/>
      <c r="E91" s="1206"/>
      <c r="F91" s="717"/>
      <c r="G91" s="717">
        <v>392318</v>
      </c>
      <c r="H91" s="49"/>
      <c r="I91" s="723">
        <v>200000</v>
      </c>
      <c r="J91" s="487"/>
      <c r="K91" s="707"/>
      <c r="L91" s="1291"/>
    </row>
    <row r="92" spans="1:12" ht="15.75">
      <c r="A92" s="283"/>
      <c r="B92" s="290">
        <v>5</v>
      </c>
      <c r="C92" s="1261" t="s">
        <v>561</v>
      </c>
      <c r="D92" s="1261"/>
      <c r="E92" s="1206"/>
      <c r="F92" s="717">
        <v>127144</v>
      </c>
      <c r="G92" s="717">
        <v>652858</v>
      </c>
      <c r="H92" s="49"/>
      <c r="I92" s="723"/>
      <c r="J92" s="487"/>
      <c r="K92" s="707"/>
      <c r="L92" s="1291"/>
    </row>
    <row r="93" spans="1:12" ht="15.75">
      <c r="A93" s="283"/>
      <c r="B93" s="290">
        <v>6</v>
      </c>
      <c r="C93" s="1261" t="s">
        <v>562</v>
      </c>
      <c r="D93" s="1261"/>
      <c r="E93" s="1206"/>
      <c r="F93" s="717">
        <v>68887</v>
      </c>
      <c r="G93" s="717"/>
      <c r="H93" s="49"/>
      <c r="I93" s="723"/>
      <c r="J93" s="487"/>
      <c r="K93" s="707"/>
      <c r="L93" s="1291"/>
    </row>
    <row r="94" spans="1:12" ht="15.75">
      <c r="A94" s="283"/>
      <c r="B94" s="290">
        <v>7</v>
      </c>
      <c r="C94" s="1261" t="s">
        <v>563</v>
      </c>
      <c r="D94" s="1261"/>
      <c r="E94" s="1206"/>
      <c r="F94" s="717"/>
      <c r="G94" s="717">
        <v>280696</v>
      </c>
      <c r="H94" s="49"/>
      <c r="I94" s="723"/>
      <c r="J94" s="487"/>
      <c r="K94" s="707"/>
      <c r="L94" s="1291"/>
    </row>
    <row r="95" spans="1:12" ht="15.75">
      <c r="A95" s="283"/>
      <c r="B95" s="290">
        <v>8</v>
      </c>
      <c r="C95" s="1261" t="s">
        <v>564</v>
      </c>
      <c r="D95" s="1261"/>
      <c r="E95" s="1206"/>
      <c r="F95" s="717"/>
      <c r="G95" s="717"/>
      <c r="H95" s="49"/>
      <c r="I95" s="723"/>
      <c r="J95" s="487"/>
      <c r="K95" s="707"/>
      <c r="L95" s="1291"/>
    </row>
    <row r="96" spans="1:12" ht="15.75">
      <c r="A96" s="283"/>
      <c r="B96" s="290">
        <v>9</v>
      </c>
      <c r="C96" s="1261" t="s">
        <v>325</v>
      </c>
      <c r="D96" s="1261"/>
      <c r="E96" s="1206"/>
      <c r="F96" s="717"/>
      <c r="G96" s="717"/>
      <c r="H96" s="49"/>
      <c r="I96" s="723"/>
      <c r="J96" s="487"/>
      <c r="K96" s="707"/>
      <c r="L96" s="1291"/>
    </row>
    <row r="97" spans="1:12" ht="15.75">
      <c r="A97" s="283"/>
      <c r="B97" s="290">
        <v>10</v>
      </c>
      <c r="C97" s="1261" t="s">
        <v>565</v>
      </c>
      <c r="D97" s="1261"/>
      <c r="E97" s="1206"/>
      <c r="F97" s="717">
        <v>-10619</v>
      </c>
      <c r="G97" s="717">
        <v>-10619</v>
      </c>
      <c r="H97" s="49"/>
      <c r="I97" s="723">
        <v>55</v>
      </c>
      <c r="J97" s="487"/>
      <c r="K97" s="707">
        <v>57</v>
      </c>
      <c r="L97" s="1291"/>
    </row>
    <row r="98" spans="1:12" ht="15.75">
      <c r="A98" s="283"/>
      <c r="B98" s="290">
        <v>11</v>
      </c>
      <c r="C98" s="1261"/>
      <c r="D98" s="1261"/>
      <c r="E98" s="1206"/>
      <c r="F98" s="717"/>
      <c r="G98" s="717"/>
      <c r="H98" s="49"/>
      <c r="I98" s="723"/>
      <c r="J98" s="487"/>
      <c r="K98" s="707"/>
      <c r="L98" s="1291"/>
    </row>
    <row r="99" spans="1:12" ht="15.75">
      <c r="A99" s="283"/>
      <c r="B99" s="290">
        <v>12</v>
      </c>
      <c r="C99" s="1261"/>
      <c r="D99" s="1261"/>
      <c r="E99" s="1206"/>
      <c r="F99" s="717"/>
      <c r="G99" s="717"/>
      <c r="H99" s="49"/>
      <c r="I99" s="723"/>
      <c r="J99" s="487"/>
      <c r="K99" s="707"/>
      <c r="L99" s="1291"/>
    </row>
    <row r="100" spans="1:12" ht="15.75">
      <c r="A100" s="283"/>
      <c r="B100" s="290">
        <v>13</v>
      </c>
      <c r="C100" s="1261"/>
      <c r="D100" s="1261"/>
      <c r="E100" s="1206"/>
      <c r="F100" s="717"/>
      <c r="G100" s="717"/>
      <c r="H100" s="49"/>
      <c r="I100" s="723"/>
      <c r="J100" s="487"/>
      <c r="K100" s="707"/>
      <c r="L100" s="1291"/>
    </row>
    <row r="101" spans="1:12" ht="15.75">
      <c r="A101" s="283"/>
      <c r="B101" s="290">
        <v>14</v>
      </c>
      <c r="C101" s="1710" t="s">
        <v>566</v>
      </c>
      <c r="D101" s="1710"/>
      <c r="E101" s="1206">
        <f>'Budget-Restricted MYP'!F90</f>
        <v>142965</v>
      </c>
      <c r="F101" s="717"/>
      <c r="G101" s="717"/>
      <c r="H101" s="49" t="str">
        <f t="shared" ref="H101:H108" si="5">IF(E101&lt;1," ",IF(G101&lt;1," ",(G101-E101)/E101))</f>
        <v xml:space="preserve"> </v>
      </c>
      <c r="I101" s="723"/>
      <c r="J101" s="487" t="str">
        <f t="shared" si="3"/>
        <v xml:space="preserve"> </v>
      </c>
      <c r="K101" s="707"/>
      <c r="L101" s="1291" t="str">
        <f t="shared" si="4"/>
        <v xml:space="preserve"> </v>
      </c>
    </row>
    <row r="102" spans="1:12" ht="15.75">
      <c r="A102" s="283"/>
      <c r="B102" s="290">
        <v>15</v>
      </c>
      <c r="C102" s="1710"/>
      <c r="D102" s="1710"/>
      <c r="E102" s="1206">
        <f>'Budget-Restricted MYP'!F102</f>
        <v>0</v>
      </c>
      <c r="F102" s="717"/>
      <c r="G102" s="717"/>
      <c r="H102" s="49" t="str">
        <f t="shared" si="5"/>
        <v xml:space="preserve"> </v>
      </c>
      <c r="I102" s="723"/>
      <c r="J102" s="487" t="str">
        <f t="shared" si="3"/>
        <v xml:space="preserve"> </v>
      </c>
      <c r="K102" s="707"/>
      <c r="L102" s="1291" t="str">
        <f t="shared" si="4"/>
        <v xml:space="preserve"> </v>
      </c>
    </row>
    <row r="103" spans="1:12" ht="15.75">
      <c r="A103" s="283"/>
      <c r="B103" s="290">
        <v>16</v>
      </c>
      <c r="C103" s="1710"/>
      <c r="D103" s="1710"/>
      <c r="E103" s="1206">
        <f>'Budget-Restricted MYP'!F103</f>
        <v>0</v>
      </c>
      <c r="F103" s="717"/>
      <c r="G103" s="717"/>
      <c r="H103" s="49" t="str">
        <f t="shared" si="5"/>
        <v xml:space="preserve"> </v>
      </c>
      <c r="I103" s="723"/>
      <c r="J103" s="487" t="str">
        <f t="shared" si="3"/>
        <v xml:space="preserve"> </v>
      </c>
      <c r="K103" s="707"/>
      <c r="L103" s="1291" t="str">
        <f t="shared" si="4"/>
        <v xml:space="preserve"> </v>
      </c>
    </row>
    <row r="104" spans="1:12" ht="15.75">
      <c r="A104" s="283"/>
      <c r="B104" s="290">
        <v>17</v>
      </c>
      <c r="C104" s="1713"/>
      <c r="D104" s="1713"/>
      <c r="E104" s="1206">
        <f>'Budget-Restricted MYP'!F104</f>
        <v>0</v>
      </c>
      <c r="F104" s="717"/>
      <c r="G104" s="717"/>
      <c r="H104" s="49" t="str">
        <f t="shared" si="5"/>
        <v xml:space="preserve"> </v>
      </c>
      <c r="I104" s="723"/>
      <c r="J104" s="487" t="str">
        <f t="shared" si="3"/>
        <v xml:space="preserve"> </v>
      </c>
      <c r="K104" s="707"/>
      <c r="L104" s="1291" t="str">
        <f t="shared" si="4"/>
        <v xml:space="preserve"> </v>
      </c>
    </row>
    <row r="105" spans="1:12" ht="15.75">
      <c r="A105" s="283"/>
      <c r="B105" s="290">
        <v>18</v>
      </c>
      <c r="C105" s="1713"/>
      <c r="D105" s="1713"/>
      <c r="E105" s="1206">
        <f>'Budget-Restricted MYP'!F105</f>
        <v>0</v>
      </c>
      <c r="F105" s="717"/>
      <c r="G105" s="717"/>
      <c r="H105" s="49" t="str">
        <f t="shared" si="5"/>
        <v xml:space="preserve"> </v>
      </c>
      <c r="I105" s="723"/>
      <c r="J105" s="487" t="str">
        <f t="shared" si="3"/>
        <v xml:space="preserve"> </v>
      </c>
      <c r="K105" s="707"/>
      <c r="L105" s="1291" t="str">
        <f t="shared" si="4"/>
        <v xml:space="preserve"> </v>
      </c>
    </row>
    <row r="106" spans="1:12" ht="15.75">
      <c r="A106" s="67"/>
      <c r="B106" s="290">
        <v>19</v>
      </c>
      <c r="C106" s="1713"/>
      <c r="D106" s="1713"/>
      <c r="E106" s="1206">
        <f>'Budget-Restricted MYP'!F106</f>
        <v>0</v>
      </c>
      <c r="F106" s="718"/>
      <c r="G106" s="718"/>
      <c r="H106" s="49" t="str">
        <f t="shared" si="5"/>
        <v xml:space="preserve"> </v>
      </c>
      <c r="I106" s="725"/>
      <c r="J106" s="487" t="str">
        <f t="shared" si="3"/>
        <v xml:space="preserve"> </v>
      </c>
      <c r="K106" s="714"/>
      <c r="L106" s="1291" t="str">
        <f t="shared" si="4"/>
        <v xml:space="preserve"> </v>
      </c>
    </row>
    <row r="107" spans="1:12" ht="16.5" thickBot="1">
      <c r="A107" s="67"/>
      <c r="B107" s="290">
        <v>20</v>
      </c>
      <c r="C107" s="1764"/>
      <c r="D107" s="1764"/>
      <c r="E107" s="1206">
        <f>'Budget-Restricted MYP'!F107</f>
        <v>0</v>
      </c>
      <c r="F107" s="719"/>
      <c r="G107" s="719"/>
      <c r="H107" s="49" t="str">
        <f t="shared" si="5"/>
        <v xml:space="preserve"> </v>
      </c>
      <c r="I107" s="831"/>
      <c r="J107" s="488" t="str">
        <f t="shared" si="3"/>
        <v xml:space="preserve"> </v>
      </c>
      <c r="K107" s="708"/>
      <c r="L107" s="1292" t="str">
        <f t="shared" si="4"/>
        <v xml:space="preserve"> </v>
      </c>
    </row>
    <row r="108" spans="1:12" ht="17.25" thickTop="1" thickBot="1">
      <c r="A108" s="67"/>
      <c r="B108" s="936" t="s">
        <v>103</v>
      </c>
      <c r="C108" s="1700" t="s">
        <v>309</v>
      </c>
      <c r="D108" s="1701"/>
      <c r="E108" s="897">
        <f>SUM(E88:E107)</f>
        <v>545354</v>
      </c>
      <c r="F108" s="1205">
        <f>SUM(F88:F107)</f>
        <v>238696.69</v>
      </c>
      <c r="G108" s="897">
        <f>SUM(G88:G107)</f>
        <v>1805349</v>
      </c>
      <c r="H108" s="1119">
        <f t="shared" si="5"/>
        <v>2.3104167201487473</v>
      </c>
      <c r="I108" s="897">
        <f>SUM(I88:I107)</f>
        <v>776247.31920000003</v>
      </c>
      <c r="J108" s="898">
        <f t="shared" si="3"/>
        <v>-0.57002921917036542</v>
      </c>
      <c r="K108" s="897">
        <f>SUM(K88:K107)</f>
        <v>650389</v>
      </c>
      <c r="L108" s="1293">
        <f t="shared" si="4"/>
        <v>-0.16213688097462228</v>
      </c>
    </row>
    <row r="109" spans="1:12" ht="16.5" thickTop="1">
      <c r="A109" s="67"/>
      <c r="B109" s="946"/>
      <c r="C109" s="947"/>
      <c r="D109" s="965"/>
      <c r="E109" s="168"/>
      <c r="F109" s="51"/>
      <c r="G109" s="168"/>
      <c r="H109" s="51"/>
      <c r="I109" s="168"/>
      <c r="J109" s="51"/>
      <c r="K109" s="51"/>
      <c r="L109" s="1294"/>
    </row>
    <row r="110" spans="1:12" ht="15.75">
      <c r="A110" s="67"/>
      <c r="B110" s="1836" t="s">
        <v>332</v>
      </c>
      <c r="C110" s="1837"/>
      <c r="D110" s="1838"/>
      <c r="E110" s="972">
        <f>'Budget-Restricted MYP'!F110</f>
        <v>49</v>
      </c>
      <c r="F110" s="971"/>
      <c r="G110" s="972">
        <f>'1st Interim-Assumptions'!G17</f>
        <v>65</v>
      </c>
      <c r="H110" s="468"/>
      <c r="I110" s="972">
        <f>'1st Interim-Assumptions'!H17</f>
        <v>65</v>
      </c>
      <c r="J110" s="468"/>
      <c r="K110" s="972">
        <f>'1st Interim-Assumptions'!J17</f>
        <v>65</v>
      </c>
      <c r="L110" s="1295"/>
    </row>
    <row r="111" spans="1:12" ht="15.75">
      <c r="A111" s="283"/>
      <c r="B111" s="1836" t="s">
        <v>333</v>
      </c>
      <c r="C111" s="1837"/>
      <c r="D111" s="1838"/>
      <c r="E111" s="975">
        <f>'Budget-Restricted MYP'!F111</f>
        <v>40742.212123199999</v>
      </c>
      <c r="F111" s="971"/>
      <c r="G111" s="975">
        <f>(1.04446*'1st Interim-ADA'!O76)*G110</f>
        <v>45564.985283999995</v>
      </c>
      <c r="H111" s="49">
        <f>IF(E111&lt;1," ",IF(G111&lt;1," ",(G111-E111)/E111))</f>
        <v>0.1183728842758085</v>
      </c>
      <c r="I111" s="975">
        <f>(1.04446*'1st Interim-ADA'!R76)*I110</f>
        <v>54045.791591999994</v>
      </c>
      <c r="J111" s="271">
        <f>IF(G111&lt;1," ",IF(I111&lt;1," ",(I111-G111)/G111))</f>
        <v>0.1861255140354014</v>
      </c>
      <c r="K111" s="975">
        <f>(1.04446*'1st Interim-ADA'!U76)*K110</f>
        <v>54045.791591999994</v>
      </c>
      <c r="L111" s="1296">
        <f>IF(I111&lt;1," ",IF(K111&lt;1," ",(K111-I111)/I111))</f>
        <v>0</v>
      </c>
    </row>
    <row r="112" spans="1:12" ht="15.75">
      <c r="A112" s="67"/>
      <c r="B112" s="360"/>
      <c r="C112" s="360"/>
      <c r="D112" s="966"/>
      <c r="E112" s="967"/>
      <c r="F112" s="51"/>
      <c r="G112" s="51"/>
      <c r="H112" s="968"/>
      <c r="I112" s="51"/>
      <c r="J112" s="968"/>
      <c r="K112" s="51"/>
      <c r="L112" s="1294"/>
    </row>
    <row r="113" spans="1:12" ht="15.75">
      <c r="A113" s="283"/>
      <c r="B113" s="165"/>
      <c r="C113" s="165" t="s">
        <v>334</v>
      </c>
      <c r="D113" s="165"/>
      <c r="E113" s="165"/>
      <c r="F113" s="1706"/>
      <c r="G113" s="1706"/>
      <c r="H113" s="1706"/>
      <c r="I113" s="1706"/>
      <c r="J113" s="1706"/>
      <c r="K113" s="51"/>
      <c r="L113" s="1297"/>
    </row>
    <row r="114" spans="1:12" ht="15.75">
      <c r="A114" s="283"/>
      <c r="B114" s="290">
        <v>1</v>
      </c>
      <c r="C114" s="1261" t="s">
        <v>335</v>
      </c>
      <c r="D114" s="1618"/>
      <c r="E114" s="1207">
        <f>'Budget-Restricted MYP'!F114</f>
        <v>10125</v>
      </c>
      <c r="F114" s="717">
        <v>7.46</v>
      </c>
      <c r="G114" s="717">
        <v>10125</v>
      </c>
      <c r="H114" s="1121">
        <f t="shared" ref="H114:H132" si="6">IF(E114&lt;1," ",IF(G114&lt;1," ",(G114-E114)/E114))</f>
        <v>0</v>
      </c>
      <c r="I114" s="723">
        <v>12756</v>
      </c>
      <c r="J114" s="488">
        <f t="shared" ref="J114:J132" si="7">IF(G114&lt;1," ",IF(I114&lt;1," ",(I114-G114)/G114))</f>
        <v>0.25985185185185183</v>
      </c>
      <c r="K114" s="712">
        <v>13153</v>
      </c>
      <c r="L114" s="1298">
        <f t="shared" ref="L114:L132" si="8">IF(I114&lt;1," ",IF(K114&lt;1," ",(K114-I114)/I114))</f>
        <v>3.1122608968328629E-2</v>
      </c>
    </row>
    <row r="115" spans="1:12" ht="15.75">
      <c r="A115" s="283"/>
      <c r="B115" s="290">
        <v>2</v>
      </c>
      <c r="C115" s="1261" t="s">
        <v>336</v>
      </c>
      <c r="D115" s="1618"/>
      <c r="E115" s="1207">
        <f>'Budget-Restricted MYP'!F115</f>
        <v>897990.66</v>
      </c>
      <c r="F115" s="718"/>
      <c r="G115" s="718">
        <v>735187.59</v>
      </c>
      <c r="H115" s="1121">
        <f t="shared" si="6"/>
        <v>-0.18129706382469507</v>
      </c>
      <c r="I115" s="725">
        <v>831365.85223199986</v>
      </c>
      <c r="J115" s="488">
        <f t="shared" si="7"/>
        <v>0.13082138972449181</v>
      </c>
      <c r="K115" s="714">
        <v>857221.33023641503</v>
      </c>
      <c r="L115" s="1292">
        <f t="shared" si="8"/>
        <v>3.1099999999999968E-2</v>
      </c>
    </row>
    <row r="116" spans="1:12" ht="15.75">
      <c r="A116" s="283"/>
      <c r="B116" s="290">
        <v>3</v>
      </c>
      <c r="C116" s="1261" t="s">
        <v>565</v>
      </c>
      <c r="D116" s="1618"/>
      <c r="E116" s="1207">
        <f>'Budget-Restricted MYP'!F116</f>
        <v>151432.5</v>
      </c>
      <c r="F116" s="718"/>
      <c r="G116" s="718">
        <v>151432.5</v>
      </c>
      <c r="H116" s="1121">
        <f t="shared" si="6"/>
        <v>0</v>
      </c>
      <c r="I116" s="725"/>
      <c r="J116" s="488" t="str">
        <f t="shared" si="7"/>
        <v xml:space="preserve"> </v>
      </c>
      <c r="K116" s="714"/>
      <c r="L116" s="1292" t="str">
        <f t="shared" si="8"/>
        <v xml:space="preserve"> </v>
      </c>
    </row>
    <row r="117" spans="1:12" ht="15.75">
      <c r="A117" s="283"/>
      <c r="B117" s="290">
        <v>4</v>
      </c>
      <c r="C117" s="1261" t="s">
        <v>338</v>
      </c>
      <c r="D117" s="1618"/>
      <c r="E117" s="1207">
        <f>'Budget-Restricted MYP'!F117</f>
        <v>287068.5</v>
      </c>
      <c r="F117" s="717"/>
      <c r="G117" s="717"/>
      <c r="H117" s="1121" t="str">
        <f t="shared" si="6"/>
        <v xml:space="preserve"> </v>
      </c>
      <c r="I117" s="723"/>
      <c r="J117" s="488" t="str">
        <f t="shared" si="7"/>
        <v xml:space="preserve"> </v>
      </c>
      <c r="K117" s="707"/>
      <c r="L117" s="1291" t="str">
        <f t="shared" si="8"/>
        <v xml:space="preserve"> </v>
      </c>
    </row>
    <row r="118" spans="1:12" ht="15.75">
      <c r="A118" s="67"/>
      <c r="B118" s="290">
        <v>5</v>
      </c>
      <c r="C118" s="1261" t="s">
        <v>339</v>
      </c>
      <c r="D118" s="1618"/>
      <c r="E118" s="1207">
        <f>'Budget-Restricted MYP'!F118</f>
        <v>31896.5</v>
      </c>
      <c r="F118" s="735"/>
      <c r="G118" s="735"/>
      <c r="H118" s="1121" t="str">
        <f t="shared" si="6"/>
        <v xml:space="preserve"> </v>
      </c>
      <c r="I118" s="832"/>
      <c r="J118" s="488" t="str">
        <f t="shared" si="7"/>
        <v xml:space="preserve"> </v>
      </c>
      <c r="K118" s="837"/>
      <c r="L118" s="489" t="str">
        <f t="shared" si="8"/>
        <v xml:space="preserve"> </v>
      </c>
    </row>
    <row r="119" spans="1:12" ht="15.75">
      <c r="A119" s="284"/>
      <c r="B119" s="291">
        <v>6</v>
      </c>
      <c r="C119" s="1713" t="s">
        <v>567</v>
      </c>
      <c r="D119" s="1750"/>
      <c r="E119" s="1207">
        <f>'Budget-Restricted MYP'!F119</f>
        <v>0</v>
      </c>
      <c r="F119" s="736">
        <v>16</v>
      </c>
      <c r="G119" s="736"/>
      <c r="H119" s="1120" t="str">
        <f t="shared" si="6"/>
        <v xml:space="preserve"> </v>
      </c>
      <c r="I119" s="833"/>
      <c r="J119" s="487" t="str">
        <f t="shared" si="7"/>
        <v xml:space="preserve"> </v>
      </c>
      <c r="K119" s="838"/>
      <c r="L119" s="486" t="str">
        <f t="shared" si="8"/>
        <v xml:space="preserve"> </v>
      </c>
    </row>
    <row r="120" spans="1:12" ht="15.75">
      <c r="A120" s="284"/>
      <c r="B120" s="291">
        <v>7</v>
      </c>
      <c r="C120" s="1713" t="s">
        <v>568</v>
      </c>
      <c r="D120" s="1750"/>
      <c r="E120" s="1207">
        <f>'Budget-Restricted MYP'!F120</f>
        <v>0</v>
      </c>
      <c r="F120" s="718"/>
      <c r="G120" s="718">
        <v>365951</v>
      </c>
      <c r="H120" s="1120" t="str">
        <f t="shared" si="6"/>
        <v xml:space="preserve"> </v>
      </c>
      <c r="I120" s="725">
        <v>447527</v>
      </c>
      <c r="J120" s="487">
        <f t="shared" si="7"/>
        <v>0.22291508972512714</v>
      </c>
      <c r="K120" s="714">
        <v>461445</v>
      </c>
      <c r="L120" s="486">
        <f t="shared" si="8"/>
        <v>3.1099799565165901E-2</v>
      </c>
    </row>
    <row r="121" spans="1:12" ht="15.75">
      <c r="A121" s="284"/>
      <c r="B121" s="291">
        <v>8</v>
      </c>
      <c r="C121" s="1713" t="s">
        <v>569</v>
      </c>
      <c r="D121" s="1750"/>
      <c r="E121" s="1207">
        <f>'Budget-Restricted MYP'!F121</f>
        <v>0</v>
      </c>
      <c r="F121" s="718"/>
      <c r="G121" s="718">
        <v>168955</v>
      </c>
      <c r="H121" s="1120" t="str">
        <f t="shared" si="6"/>
        <v xml:space="preserve"> </v>
      </c>
      <c r="I121" s="725"/>
      <c r="J121" s="487" t="str">
        <f t="shared" si="7"/>
        <v xml:space="preserve"> </v>
      </c>
      <c r="K121" s="714"/>
      <c r="L121" s="486" t="str">
        <f t="shared" si="8"/>
        <v xml:space="preserve"> </v>
      </c>
    </row>
    <row r="122" spans="1:12" ht="15.75">
      <c r="A122" s="284"/>
      <c r="B122" s="291">
        <v>9</v>
      </c>
      <c r="C122" s="1710"/>
      <c r="D122" s="1711"/>
      <c r="E122" s="1207">
        <f>'Budget-Restricted MYP'!F122</f>
        <v>0</v>
      </c>
      <c r="F122" s="718"/>
      <c r="G122" s="718"/>
      <c r="H122" s="1120" t="str">
        <f t="shared" si="6"/>
        <v xml:space="preserve"> </v>
      </c>
      <c r="I122" s="725"/>
      <c r="J122" s="487" t="str">
        <f t="shared" si="7"/>
        <v xml:space="preserve"> </v>
      </c>
      <c r="K122" s="714"/>
      <c r="L122" s="486" t="str">
        <f t="shared" si="8"/>
        <v xml:space="preserve"> </v>
      </c>
    </row>
    <row r="123" spans="1:12" ht="15.75">
      <c r="A123" s="284"/>
      <c r="B123" s="146">
        <v>10</v>
      </c>
      <c r="C123" s="1713"/>
      <c r="D123" s="1750"/>
      <c r="E123" s="1207">
        <f>'Budget-Restricted MYP'!F123</f>
        <v>0</v>
      </c>
      <c r="F123" s="714"/>
      <c r="G123" s="718"/>
      <c r="H123" s="1120" t="str">
        <f t="shared" si="6"/>
        <v xml:space="preserve"> </v>
      </c>
      <c r="I123" s="725"/>
      <c r="J123" s="487" t="str">
        <f t="shared" si="7"/>
        <v xml:space="preserve"> </v>
      </c>
      <c r="K123" s="714"/>
      <c r="L123" s="486" t="str">
        <f t="shared" si="8"/>
        <v xml:space="preserve"> </v>
      </c>
    </row>
    <row r="124" spans="1:12" ht="15.75">
      <c r="A124" s="67"/>
      <c r="B124" s="146">
        <v>11</v>
      </c>
      <c r="C124" s="1713"/>
      <c r="D124" s="1750"/>
      <c r="E124" s="1207">
        <f>'Budget-Restricted MYP'!F124</f>
        <v>0</v>
      </c>
      <c r="F124" s="839"/>
      <c r="G124" s="728"/>
      <c r="H124" s="1120" t="str">
        <f t="shared" si="6"/>
        <v xml:space="preserve"> </v>
      </c>
      <c r="I124" s="728"/>
      <c r="J124" s="487" t="str">
        <f t="shared" si="7"/>
        <v xml:space="preserve"> </v>
      </c>
      <c r="K124" s="839"/>
      <c r="L124" s="486" t="str">
        <f t="shared" si="8"/>
        <v xml:space="preserve"> </v>
      </c>
    </row>
    <row r="125" spans="1:12" ht="15.75">
      <c r="A125" s="67"/>
      <c r="B125" s="146">
        <v>12</v>
      </c>
      <c r="C125" s="1713"/>
      <c r="D125" s="1750"/>
      <c r="E125" s="1207">
        <f>'Budget-Restricted MYP'!F125</f>
        <v>0</v>
      </c>
      <c r="F125" s="840"/>
      <c r="G125" s="729"/>
      <c r="H125" s="1120" t="str">
        <f t="shared" si="6"/>
        <v xml:space="preserve"> </v>
      </c>
      <c r="I125" s="729"/>
      <c r="J125" s="487" t="str">
        <f t="shared" si="7"/>
        <v xml:space="preserve"> </v>
      </c>
      <c r="K125" s="840"/>
      <c r="L125" s="486" t="str">
        <f t="shared" si="8"/>
        <v xml:space="preserve"> </v>
      </c>
    </row>
    <row r="126" spans="1:12" ht="15.75">
      <c r="A126" s="67"/>
      <c r="B126" s="146">
        <v>13</v>
      </c>
      <c r="C126" s="1713"/>
      <c r="D126" s="1750"/>
      <c r="E126" s="1207">
        <f>'Budget-Restricted MYP'!F126</f>
        <v>0</v>
      </c>
      <c r="F126" s="743"/>
      <c r="G126" s="737"/>
      <c r="H126" s="1120" t="str">
        <f t="shared" si="6"/>
        <v xml:space="preserve"> </v>
      </c>
      <c r="I126" s="834"/>
      <c r="J126" s="487" t="str">
        <f t="shared" si="7"/>
        <v xml:space="preserve"> </v>
      </c>
      <c r="K126" s="743"/>
      <c r="L126" s="486" t="str">
        <f t="shared" si="8"/>
        <v xml:space="preserve"> </v>
      </c>
    </row>
    <row r="127" spans="1:12" ht="15.75">
      <c r="A127" s="67"/>
      <c r="B127" s="146">
        <v>14</v>
      </c>
      <c r="C127" s="1713"/>
      <c r="D127" s="1750"/>
      <c r="E127" s="1207">
        <f>'Budget-Restricted MYP'!F127</f>
        <v>0</v>
      </c>
      <c r="F127" s="744"/>
      <c r="G127" s="738"/>
      <c r="H127" s="1120" t="str">
        <f t="shared" si="6"/>
        <v xml:space="preserve"> </v>
      </c>
      <c r="I127" s="751"/>
      <c r="J127" s="487" t="str">
        <f t="shared" si="7"/>
        <v xml:space="preserve"> </v>
      </c>
      <c r="K127" s="744"/>
      <c r="L127" s="486" t="str">
        <f t="shared" si="8"/>
        <v xml:space="preserve"> </v>
      </c>
    </row>
    <row r="128" spans="1:12" ht="15.75">
      <c r="A128" s="67"/>
      <c r="B128" s="146">
        <v>15</v>
      </c>
      <c r="C128" s="1713"/>
      <c r="D128" s="1750"/>
      <c r="E128" s="1207">
        <f>'Budget-Restricted MYP'!F128</f>
        <v>0</v>
      </c>
      <c r="F128" s="737"/>
      <c r="G128" s="737"/>
      <c r="H128" s="1120" t="str">
        <f t="shared" si="6"/>
        <v xml:space="preserve"> </v>
      </c>
      <c r="I128" s="834"/>
      <c r="J128" s="487" t="str">
        <f t="shared" si="7"/>
        <v xml:space="preserve"> </v>
      </c>
      <c r="K128" s="743"/>
      <c r="L128" s="486" t="str">
        <f t="shared" si="8"/>
        <v xml:space="preserve"> </v>
      </c>
    </row>
    <row r="129" spans="1:12" ht="15.75">
      <c r="A129" s="67"/>
      <c r="B129" s="146">
        <v>16</v>
      </c>
      <c r="C129" s="1713"/>
      <c r="D129" s="1750"/>
      <c r="E129" s="1207">
        <f>'Budget-Restricted MYP'!F129</f>
        <v>0</v>
      </c>
      <c r="F129" s="739"/>
      <c r="G129" s="739"/>
      <c r="H129" s="1120" t="str">
        <f t="shared" si="6"/>
        <v xml:space="preserve"> </v>
      </c>
      <c r="I129" s="835"/>
      <c r="J129" s="487" t="str">
        <f t="shared" si="7"/>
        <v xml:space="preserve"> </v>
      </c>
      <c r="K129" s="745"/>
      <c r="L129" s="486" t="str">
        <f t="shared" si="8"/>
        <v xml:space="preserve"> </v>
      </c>
    </row>
    <row r="130" spans="1:12" ht="15.75">
      <c r="A130" s="67"/>
      <c r="B130" s="146">
        <v>17</v>
      </c>
      <c r="C130" s="1713"/>
      <c r="D130" s="1750"/>
      <c r="E130" s="1207">
        <f>'Budget-Restricted MYP'!F130</f>
        <v>0</v>
      </c>
      <c r="F130" s="740"/>
      <c r="G130" s="740"/>
      <c r="H130" s="1120" t="str">
        <f t="shared" si="6"/>
        <v xml:space="preserve"> </v>
      </c>
      <c r="I130" s="836"/>
      <c r="J130" s="487" t="str">
        <f t="shared" si="7"/>
        <v xml:space="preserve"> </v>
      </c>
      <c r="K130" s="746"/>
      <c r="L130" s="486" t="str">
        <f t="shared" si="8"/>
        <v xml:space="preserve"> </v>
      </c>
    </row>
    <row r="131" spans="1:12" ht="16.5" thickBot="1">
      <c r="A131" s="67"/>
      <c r="B131" s="896">
        <v>18</v>
      </c>
      <c r="C131" s="1755"/>
      <c r="D131" s="1756"/>
      <c r="E131" s="1208">
        <f>'Budget-Restricted MYP'!F131</f>
        <v>0</v>
      </c>
      <c r="F131" s="1209"/>
      <c r="G131" s="734"/>
      <c r="H131" s="333" t="str">
        <f t="shared" si="6"/>
        <v xml:space="preserve"> </v>
      </c>
      <c r="I131" s="734"/>
      <c r="J131" s="602" t="str">
        <f t="shared" si="7"/>
        <v xml:space="preserve"> </v>
      </c>
      <c r="K131" s="841"/>
      <c r="L131" s="603" t="str">
        <f t="shared" si="8"/>
        <v xml:space="preserve"> </v>
      </c>
    </row>
    <row r="132" spans="1:12" ht="17.25" thickTop="1" thickBot="1">
      <c r="A132" s="67"/>
      <c r="B132" s="900"/>
      <c r="C132" s="1700" t="s">
        <v>315</v>
      </c>
      <c r="D132" s="1701"/>
      <c r="E132" s="807">
        <f>SUM(E114:E131)</f>
        <v>1378513.1600000001</v>
      </c>
      <c r="F132" s="807">
        <f>SUM(F114:F131)</f>
        <v>23.46</v>
      </c>
      <c r="G132" s="807">
        <f>SUM(G114:G131)</f>
        <v>1431651.0899999999</v>
      </c>
      <c r="H132" s="1122">
        <f t="shared" si="6"/>
        <v>3.8547277996243211E-2</v>
      </c>
      <c r="I132" s="807">
        <f>SUM(I114:I131)</f>
        <v>1291648.8522319999</v>
      </c>
      <c r="J132" s="585">
        <f t="shared" si="7"/>
        <v>-9.7790752751077084E-2</v>
      </c>
      <c r="K132" s="807">
        <f>SUM(K114:K131)</f>
        <v>1331819.3302364149</v>
      </c>
      <c r="L132" s="485">
        <f t="shared" si="8"/>
        <v>3.1100153834379612E-2</v>
      </c>
    </row>
    <row r="133" spans="1:12" ht="16.5" thickTop="1">
      <c r="A133" s="67"/>
      <c r="B133" s="152"/>
      <c r="C133" s="1830"/>
      <c r="D133" s="1830"/>
      <c r="E133" s="655"/>
      <c r="F133" s="457"/>
      <c r="G133" s="457"/>
      <c r="H133" s="866"/>
      <c r="I133" s="457"/>
      <c r="J133" s="866"/>
      <c r="K133" s="457"/>
      <c r="L133" s="880"/>
    </row>
    <row r="134" spans="1:12" ht="15.75">
      <c r="A134" s="283"/>
      <c r="B134" s="165"/>
      <c r="C134" s="165" t="s">
        <v>341</v>
      </c>
      <c r="D134" s="165"/>
      <c r="E134" s="165"/>
      <c r="F134" s="1706"/>
      <c r="G134" s="1706"/>
      <c r="H134" s="1706"/>
      <c r="I134" s="1706"/>
      <c r="J134" s="1706"/>
      <c r="K134" s="51"/>
      <c r="L134" s="604"/>
    </row>
    <row r="135" spans="1:12" ht="15.75">
      <c r="A135" s="67"/>
      <c r="B135" s="290">
        <v>1</v>
      </c>
      <c r="C135" s="1710" t="s">
        <v>342</v>
      </c>
      <c r="D135" s="1711"/>
      <c r="E135" s="1207">
        <f>'Budget-Restricted MYP'!F135</f>
        <v>7500</v>
      </c>
      <c r="F135" s="1210">
        <v>75</v>
      </c>
      <c r="G135" s="731"/>
      <c r="H135" s="1120" t="str">
        <f t="shared" ref="H135:H141" si="9">IF(E135&lt;1," ",IF(G135&lt;1," ",(G135-E135)/E135))</f>
        <v xml:space="preserve"> </v>
      </c>
      <c r="I135" s="751"/>
      <c r="J135" s="30" t="str">
        <f t="shared" ref="J135:J141" si="10">IF(G135&lt;1," ",IF(I135&lt;1," ",(I135-G135)/G135))</f>
        <v xml:space="preserve"> </v>
      </c>
      <c r="K135" s="842"/>
      <c r="L135" s="641" t="str">
        <f t="shared" ref="L135:L141" si="11">IF(I135&lt;1," ",IF(K135&lt;1," ",(K135-I135)/I135))</f>
        <v xml:space="preserve"> </v>
      </c>
    </row>
    <row r="136" spans="1:12" ht="15.75">
      <c r="A136" s="67"/>
      <c r="B136" s="290">
        <v>2</v>
      </c>
      <c r="C136" s="1710"/>
      <c r="D136" s="1711"/>
      <c r="E136" s="1207">
        <f>'Budget-Restricted MYP'!F136</f>
        <v>0</v>
      </c>
      <c r="F136" s="1211"/>
      <c r="G136" s="749"/>
      <c r="H136" s="79" t="str">
        <f t="shared" si="9"/>
        <v xml:space="preserve"> </v>
      </c>
      <c r="I136" s="749"/>
      <c r="J136" s="79" t="str">
        <f t="shared" si="10"/>
        <v xml:space="preserve"> </v>
      </c>
      <c r="K136" s="843"/>
      <c r="L136" s="642" t="str">
        <f t="shared" si="11"/>
        <v xml:space="preserve"> </v>
      </c>
    </row>
    <row r="137" spans="1:12" ht="15.75">
      <c r="A137" s="67"/>
      <c r="B137" s="290">
        <v>3</v>
      </c>
      <c r="C137" s="1710"/>
      <c r="D137" s="1711"/>
      <c r="E137" s="1207">
        <f>'Budget-Restricted MYP'!F137</f>
        <v>0</v>
      </c>
      <c r="F137" s="841"/>
      <c r="G137" s="734"/>
      <c r="H137" s="333" t="str">
        <f t="shared" si="9"/>
        <v xml:space="preserve"> </v>
      </c>
      <c r="I137" s="752"/>
      <c r="J137" s="333" t="str">
        <f t="shared" si="10"/>
        <v xml:space="preserve"> </v>
      </c>
      <c r="K137" s="844"/>
      <c r="L137" s="643" t="str">
        <f t="shared" si="11"/>
        <v xml:space="preserve"> </v>
      </c>
    </row>
    <row r="138" spans="1:12" ht="15.75">
      <c r="A138" s="67"/>
      <c r="B138" s="290">
        <v>4</v>
      </c>
      <c r="C138" s="1710"/>
      <c r="D138" s="1711"/>
      <c r="E138" s="1207">
        <f>'Budget-Restricted MYP'!F138</f>
        <v>0</v>
      </c>
      <c r="F138" s="744"/>
      <c r="G138" s="731"/>
      <c r="H138" s="1120" t="str">
        <f t="shared" si="9"/>
        <v xml:space="preserve"> </v>
      </c>
      <c r="I138" s="751"/>
      <c r="J138" s="30" t="str">
        <f t="shared" si="10"/>
        <v xml:space="preserve"> </v>
      </c>
      <c r="K138" s="845"/>
      <c r="L138" s="644" t="str">
        <f t="shared" si="11"/>
        <v xml:space="preserve"> </v>
      </c>
    </row>
    <row r="139" spans="1:12" ht="15.75">
      <c r="A139" s="67"/>
      <c r="B139" s="290">
        <v>5</v>
      </c>
      <c r="C139" s="1710"/>
      <c r="D139" s="1711"/>
      <c r="E139" s="1207">
        <f>'Budget-Restricted MYP'!F139</f>
        <v>0</v>
      </c>
      <c r="F139" s="744"/>
      <c r="G139" s="731"/>
      <c r="H139" s="1120" t="str">
        <f t="shared" si="9"/>
        <v xml:space="preserve"> </v>
      </c>
      <c r="I139" s="751"/>
      <c r="J139" s="30" t="str">
        <f t="shared" si="10"/>
        <v xml:space="preserve"> </v>
      </c>
      <c r="K139" s="845"/>
      <c r="L139" s="644" t="str">
        <f t="shared" si="11"/>
        <v xml:space="preserve"> </v>
      </c>
    </row>
    <row r="140" spans="1:12" ht="16.5" thickBot="1">
      <c r="A140" s="67"/>
      <c r="B140" s="935">
        <v>6</v>
      </c>
      <c r="C140" s="1755"/>
      <c r="D140" s="1756"/>
      <c r="E140" s="1208">
        <f>'Budget-Restricted MYP'!F140</f>
        <v>0</v>
      </c>
      <c r="F140" s="1209"/>
      <c r="G140" s="734"/>
      <c r="H140" s="1121" t="str">
        <f t="shared" si="9"/>
        <v xml:space="preserve"> </v>
      </c>
      <c r="I140" s="752"/>
      <c r="J140" s="95" t="str">
        <f t="shared" si="10"/>
        <v xml:space="preserve"> </v>
      </c>
      <c r="K140" s="844"/>
      <c r="L140" s="643" t="str">
        <f t="shared" si="11"/>
        <v xml:space="preserve"> </v>
      </c>
    </row>
    <row r="141" spans="1:12" ht="17.25" thickTop="1" thickBot="1">
      <c r="A141" s="67"/>
      <c r="B141" s="926"/>
      <c r="C141" s="1700" t="s">
        <v>319</v>
      </c>
      <c r="D141" s="1701"/>
      <c r="E141" s="807">
        <f>SUM(E135:E140)</f>
        <v>7500</v>
      </c>
      <c r="F141" s="807">
        <f>SUM(F135:F140)</f>
        <v>75</v>
      </c>
      <c r="G141" s="807">
        <f>SUM(G135:G140)</f>
        <v>0</v>
      </c>
      <c r="H141" s="1122" t="str">
        <f t="shared" si="9"/>
        <v xml:space="preserve"> </v>
      </c>
      <c r="I141" s="807">
        <f>SUM(I135:I140)</f>
        <v>0</v>
      </c>
      <c r="J141" s="585" t="str">
        <f t="shared" si="10"/>
        <v xml:space="preserve"> </v>
      </c>
      <c r="K141" s="807">
        <f>SUM(K135:K140)</f>
        <v>0</v>
      </c>
      <c r="L141" s="485" t="str">
        <f t="shared" si="11"/>
        <v xml:space="preserve"> </v>
      </c>
    </row>
    <row r="142" spans="1:12" ht="16.5" thickTop="1">
      <c r="A142" s="286"/>
      <c r="B142" s="1"/>
      <c r="C142" s="1"/>
      <c r="D142" s="998"/>
      <c r="F142" s="1349"/>
      <c r="G142" s="158"/>
      <c r="H142" s="1349"/>
      <c r="I142" s="158"/>
      <c r="J142" s="1349"/>
      <c r="K142" s="1419"/>
      <c r="L142" s="1420"/>
    </row>
    <row r="143" spans="1:12" ht="15.75">
      <c r="A143" s="331" t="s">
        <v>343</v>
      </c>
      <c r="B143" s="1"/>
      <c r="C143" s="1"/>
      <c r="D143" s="998"/>
      <c r="F143" s="1349"/>
      <c r="G143" s="158"/>
      <c r="H143" s="1349"/>
      <c r="I143" s="158"/>
      <c r="J143" s="1349"/>
      <c r="K143" s="158"/>
      <c r="L143" s="470"/>
    </row>
    <row r="144" spans="1:12" ht="15.75">
      <c r="A144" s="286"/>
      <c r="B144" s="1757" t="s">
        <v>344</v>
      </c>
      <c r="C144" s="1757"/>
      <c r="D144" s="1757"/>
      <c r="E144" s="1429">
        <f>'Budget-Restricted MYP'!E144</f>
        <v>0</v>
      </c>
      <c r="F144" s="1362"/>
      <c r="G144" s="1362"/>
      <c r="H144" s="1421" t="str">
        <f>IF(E144=0,"",IF(G144=0,"",(G144-E144)/E144))</f>
        <v/>
      </c>
      <c r="I144" s="1433"/>
      <c r="J144" s="1421" t="str">
        <f>IF(G144=0,"",IF(I144=0,"",(I144-G144)/G144))</f>
        <v/>
      </c>
      <c r="K144" s="1433"/>
      <c r="L144" s="1422" t="str">
        <f>IF(I144=0,"",IF(K144=0,"",(K144-I144)/I144))</f>
        <v/>
      </c>
    </row>
    <row r="145" spans="1:12" ht="15.75">
      <c r="A145" s="286"/>
      <c r="B145" s="1757" t="s">
        <v>345</v>
      </c>
      <c r="C145" s="1757"/>
      <c r="D145" s="1757"/>
      <c r="E145" s="1363"/>
      <c r="F145" s="1357"/>
      <c r="G145" s="1357"/>
      <c r="H145" s="1357"/>
      <c r="I145" s="1357"/>
      <c r="J145" s="1357"/>
      <c r="K145" s="1357"/>
      <c r="L145" s="1432"/>
    </row>
    <row r="146" spans="1:12" ht="15.75">
      <c r="A146" s="286"/>
      <c r="B146" s="1759" t="s">
        <v>346</v>
      </c>
      <c r="C146" s="1675"/>
      <c r="D146" s="1760"/>
      <c r="E146" s="1354">
        <f>'Budget-Restricted MYP'!E146</f>
        <v>407422</v>
      </c>
      <c r="F146" s="1354">
        <f>F24</f>
        <v>0</v>
      </c>
      <c r="G146" s="1354">
        <f>G24</f>
        <v>0</v>
      </c>
      <c r="H146" s="1421" t="str">
        <f>IF(E146=0,"",IF(G146=0,"",(G146-E146)/E146))</f>
        <v/>
      </c>
      <c r="I146" s="1354">
        <f>I24</f>
        <v>0</v>
      </c>
      <c r="J146" s="1421" t="str">
        <f>IF(G146=0,"",IF(I146=0,"",(I146-G146)/G146))</f>
        <v/>
      </c>
      <c r="K146" s="1404">
        <f>K24</f>
        <v>0</v>
      </c>
      <c r="L146" s="1422" t="str">
        <f>IF(I146=0,"",IF(K146=0,"",(K146-I146)/I146))</f>
        <v/>
      </c>
    </row>
    <row r="147" spans="1:12" ht="15.75">
      <c r="A147" s="286"/>
      <c r="B147" s="1757" t="s">
        <v>347</v>
      </c>
      <c r="C147" s="1757"/>
      <c r="D147" s="1757"/>
      <c r="E147" s="1585">
        <f>'Budget-Restricted MYP'!E147</f>
        <v>0</v>
      </c>
      <c r="F147" s="744"/>
      <c r="G147" s="744"/>
      <c r="H147" s="1586" t="str">
        <f>IF(E147=0,"",IF(G147=0,"",(G147-E147)/E147))</f>
        <v/>
      </c>
      <c r="I147" s="1266"/>
      <c r="J147" s="1421" t="str">
        <f>IF(G147=0,"",IF(I147=0,"",(I147-G147)/G147))</f>
        <v/>
      </c>
      <c r="K147" s="1405"/>
      <c r="L147" s="1422" t="str">
        <f>IF(I147=0,"",IF(K147=0,"",(K147-I147)/I147))</f>
        <v/>
      </c>
    </row>
    <row r="148" spans="1:12" ht="15.75">
      <c r="A148" s="286"/>
      <c r="B148" s="1757" t="s">
        <v>348</v>
      </c>
      <c r="C148" s="1757"/>
      <c r="D148" s="1757"/>
      <c r="E148" s="291">
        <f>'Budget-Restricted MYP'!E148</f>
        <v>0</v>
      </c>
      <c r="F148" s="744"/>
      <c r="G148" s="744"/>
      <c r="H148" s="1587" t="str">
        <f>IF(E148=0,"",IF(G148=0,"",(G148-E148)/E148))</f>
        <v/>
      </c>
      <c r="I148" s="731"/>
      <c r="J148" s="1426" t="str">
        <f>IF(G148=0,"",IF(I148=0,"",(I148-G148)/G148))</f>
        <v/>
      </c>
      <c r="K148" s="738"/>
      <c r="L148" s="1423" t="str">
        <f>IF(I148=0,"",IF(K148=0,"",(K148-I148)/I148))</f>
        <v/>
      </c>
    </row>
    <row r="149" spans="1:12" ht="16.5" thickBot="1">
      <c r="A149" s="286"/>
      <c r="B149" s="146"/>
      <c r="C149" s="1675" t="s">
        <v>349</v>
      </c>
      <c r="D149" s="1760"/>
      <c r="E149" s="1360">
        <f>'Budget-Restricted MYP'!E149</f>
        <v>407422</v>
      </c>
      <c r="F149" s="1360">
        <f>SUM(F146:F148)</f>
        <v>0</v>
      </c>
      <c r="G149" s="1360">
        <f>SUM(G146:G148)</f>
        <v>0</v>
      </c>
      <c r="H149" s="1427" t="str">
        <f>IF(E149=0,"",IF(G149=0,"",(G149-E149)/E149))</f>
        <v/>
      </c>
      <c r="I149" s="1360">
        <f>SUM(I146:I148)</f>
        <v>0</v>
      </c>
      <c r="J149" s="1427" t="str">
        <f>IF(G149=0,"",IF(I149=0,"",(I149-G149)/G149))</f>
        <v/>
      </c>
      <c r="K149" s="1406">
        <f>SUM(K146:K148)</f>
        <v>0</v>
      </c>
      <c r="L149" s="1424" t="str">
        <f>IF(I149=0,"",IF(K149=0,"",(K149-I149)/I149))</f>
        <v/>
      </c>
    </row>
    <row r="150" spans="1:12" ht="17.25" thickTop="1" thickBot="1">
      <c r="A150" s="287"/>
      <c r="B150" s="1758" t="s">
        <v>350</v>
      </c>
      <c r="C150" s="1758"/>
      <c r="D150" s="1758"/>
      <c r="E150" s="1431">
        <f>'Budget-Restricted MYP'!E150</f>
        <v>0</v>
      </c>
      <c r="F150" s="1301"/>
      <c r="G150" s="1301"/>
      <c r="H150" s="1428" t="str">
        <f>IF(E150=0,"",IF(G150=0,"",(G150-E150)/E150))</f>
        <v/>
      </c>
      <c r="I150" s="1301"/>
      <c r="J150" s="1428" t="str">
        <f>IF(G150=0,"",IF(I150=0,"",(I150-G150)/G150))</f>
        <v/>
      </c>
      <c r="K150" s="1301"/>
      <c r="L150" s="1425" t="str">
        <f>IF(I150=0,"",IF(K150=0,"",(K150-I150)/I150))</f>
        <v/>
      </c>
    </row>
    <row r="151" spans="1:12" ht="15.75">
      <c r="A151" s="2"/>
      <c r="B151" s="2"/>
      <c r="C151" s="2"/>
      <c r="D151" s="2"/>
      <c r="E151" s="2"/>
      <c r="F151" s="31"/>
      <c r="G151" s="31"/>
      <c r="H151" s="2"/>
      <c r="I151" s="31"/>
      <c r="J151" s="2"/>
      <c r="K151" s="31"/>
      <c r="L151" s="2"/>
    </row>
    <row r="152" spans="1:12" ht="15.75">
      <c r="A152" s="2"/>
      <c r="B152" s="2"/>
      <c r="C152" s="2"/>
      <c r="D152" s="2"/>
      <c r="E152" s="2"/>
      <c r="F152" s="31"/>
      <c r="G152" s="31"/>
      <c r="H152" s="2"/>
      <c r="I152" s="31"/>
      <c r="J152" s="2"/>
      <c r="K152" s="31"/>
      <c r="L152" s="2"/>
    </row>
    <row r="153" spans="1:12" ht="15.75">
      <c r="A153" s="2"/>
      <c r="B153" s="2"/>
      <c r="C153" s="2"/>
      <c r="D153" s="2"/>
      <c r="E153" s="2"/>
      <c r="F153" s="31"/>
      <c r="G153" s="31"/>
      <c r="H153" s="2"/>
      <c r="I153" s="31"/>
      <c r="J153" s="2"/>
      <c r="K153" s="31"/>
      <c r="L153" s="2"/>
    </row>
    <row r="154" spans="1:12" ht="15.75">
      <c r="A154" s="2"/>
      <c r="B154" s="2"/>
      <c r="C154" s="2"/>
      <c r="D154" s="2"/>
      <c r="E154" s="2"/>
      <c r="F154" s="31"/>
      <c r="G154" s="31"/>
      <c r="H154" s="2"/>
      <c r="I154" s="31"/>
      <c r="J154" s="2"/>
      <c r="K154" s="31"/>
      <c r="L154" s="2"/>
    </row>
    <row r="155" spans="1:12" ht="15.75">
      <c r="A155" s="2"/>
      <c r="B155" s="2"/>
      <c r="C155" s="2"/>
      <c r="D155" s="2"/>
      <c r="E155" s="2"/>
      <c r="F155" s="31"/>
      <c r="G155" s="31"/>
      <c r="H155" s="2"/>
      <c r="I155" s="31"/>
      <c r="J155" s="2"/>
      <c r="K155" s="31"/>
      <c r="L155" s="2"/>
    </row>
    <row r="156" spans="1:12" ht="15.75">
      <c r="A156" s="2"/>
      <c r="B156" s="2"/>
      <c r="C156" s="2"/>
      <c r="D156" s="2"/>
      <c r="E156" s="2"/>
      <c r="F156" s="31"/>
      <c r="G156" s="31"/>
      <c r="H156" s="2"/>
      <c r="I156" s="31"/>
      <c r="J156" s="2"/>
      <c r="K156" s="31"/>
      <c r="L156" s="2"/>
    </row>
    <row r="157" spans="1:12" ht="15.75">
      <c r="A157" s="2"/>
      <c r="B157" s="2"/>
      <c r="C157" s="2"/>
      <c r="D157" s="2"/>
      <c r="E157" s="2"/>
      <c r="F157" s="31"/>
      <c r="G157" s="31"/>
      <c r="H157" s="2"/>
      <c r="I157" s="31"/>
      <c r="J157" s="2"/>
      <c r="K157" s="31"/>
      <c r="L157" s="2"/>
    </row>
    <row r="158" spans="1:12" ht="15.75">
      <c r="A158" s="2"/>
      <c r="B158" s="2"/>
      <c r="C158" s="2"/>
      <c r="D158" s="2"/>
      <c r="E158" s="2"/>
      <c r="F158" s="31"/>
      <c r="G158" s="31"/>
      <c r="H158" s="2"/>
      <c r="I158" s="31"/>
      <c r="J158" s="2"/>
      <c r="K158" s="31"/>
      <c r="L158" s="2"/>
    </row>
    <row r="159" spans="1:12" ht="15.75">
      <c r="A159" s="2"/>
      <c r="B159" s="2"/>
      <c r="C159" s="2"/>
      <c r="D159" s="2"/>
      <c r="E159" s="2"/>
      <c r="F159" s="31"/>
      <c r="G159" s="31"/>
      <c r="H159" s="2"/>
      <c r="I159" s="31"/>
      <c r="J159" s="2"/>
      <c r="K159" s="31"/>
      <c r="L159" s="2"/>
    </row>
    <row r="160" spans="1:12" ht="15.75">
      <c r="A160" s="2"/>
      <c r="B160" s="2"/>
      <c r="C160" s="2"/>
      <c r="D160" s="2"/>
      <c r="E160" s="2"/>
      <c r="F160" s="31"/>
      <c r="G160" s="31"/>
      <c r="H160" s="2"/>
      <c r="I160" s="31"/>
      <c r="J160" s="2"/>
      <c r="K160" s="31"/>
      <c r="L160" s="2"/>
    </row>
    <row r="161" spans="1:12" ht="15.75">
      <c r="A161" s="2"/>
      <c r="B161" s="2"/>
      <c r="C161" s="2"/>
      <c r="D161" s="2"/>
      <c r="E161" s="2"/>
      <c r="F161" s="31"/>
      <c r="G161" s="31"/>
      <c r="H161" s="2"/>
      <c r="I161" s="31"/>
      <c r="J161" s="2"/>
      <c r="K161" s="31"/>
      <c r="L161" s="2"/>
    </row>
    <row r="162" spans="1:12" ht="15.75">
      <c r="A162" s="2"/>
      <c r="B162" s="2"/>
      <c r="C162" s="2"/>
      <c r="D162" s="2"/>
      <c r="E162" s="2"/>
      <c r="F162" s="31"/>
      <c r="G162" s="31"/>
      <c r="H162" s="2"/>
      <c r="I162" s="31"/>
      <c r="J162" s="2"/>
      <c r="K162" s="31"/>
      <c r="L162" s="2"/>
    </row>
    <row r="163" spans="1:12" ht="15.75">
      <c r="A163" s="2"/>
      <c r="B163" s="2"/>
      <c r="C163" s="2"/>
      <c r="D163" s="2"/>
      <c r="E163" s="2"/>
      <c r="F163" s="31"/>
      <c r="G163" s="31"/>
      <c r="H163" s="2"/>
      <c r="I163" s="31"/>
      <c r="J163" s="2"/>
      <c r="K163" s="31"/>
      <c r="L163" s="2"/>
    </row>
    <row r="164" spans="1:12" ht="15.75">
      <c r="A164" s="2"/>
      <c r="B164" s="2"/>
      <c r="C164" s="2"/>
      <c r="D164" s="2"/>
      <c r="E164" s="2"/>
      <c r="F164" s="31"/>
      <c r="G164" s="31"/>
      <c r="H164" s="2"/>
      <c r="I164" s="31"/>
      <c r="J164" s="2"/>
      <c r="K164" s="31"/>
      <c r="L164" s="2"/>
    </row>
    <row r="165" spans="1:12" ht="15.75">
      <c r="A165" s="2"/>
      <c r="B165" s="2"/>
      <c r="C165" s="2"/>
      <c r="D165" s="2"/>
      <c r="E165" s="2"/>
      <c r="F165" s="31"/>
      <c r="G165" s="31"/>
      <c r="H165" s="2"/>
      <c r="I165" s="31"/>
      <c r="J165" s="2"/>
      <c r="K165" s="31"/>
      <c r="L165" s="2"/>
    </row>
    <row r="166" spans="1:12" ht="15.75">
      <c r="A166" s="2"/>
      <c r="B166" s="2"/>
      <c r="C166" s="2"/>
      <c r="D166" s="2"/>
      <c r="E166" s="2"/>
      <c r="F166" s="31"/>
      <c r="G166" s="31"/>
      <c r="H166" s="2"/>
      <c r="I166" s="31"/>
      <c r="J166" s="2"/>
      <c r="K166" s="31"/>
      <c r="L166" s="2"/>
    </row>
    <row r="167" spans="1:12" ht="15.75">
      <c r="A167" s="2"/>
      <c r="B167" s="2"/>
      <c r="C167" s="2"/>
      <c r="D167" s="2"/>
      <c r="E167" s="2"/>
      <c r="F167" s="31"/>
      <c r="G167" s="31"/>
      <c r="H167" s="2"/>
      <c r="I167" s="31"/>
      <c r="J167" s="2"/>
      <c r="K167" s="31"/>
      <c r="L167" s="2"/>
    </row>
    <row r="168" spans="1:12" ht="15.75">
      <c r="A168" s="2"/>
      <c r="B168" s="2"/>
      <c r="C168" s="2"/>
      <c r="D168" s="2"/>
      <c r="E168" s="2"/>
      <c r="F168" s="31"/>
      <c r="G168" s="31"/>
      <c r="H168" s="2"/>
      <c r="I168" s="31"/>
      <c r="J168" s="2"/>
      <c r="K168" s="31"/>
      <c r="L168" s="2"/>
    </row>
    <row r="169" spans="1:12" ht="15.75">
      <c r="A169" s="2"/>
      <c r="B169" s="2"/>
      <c r="C169" s="2"/>
      <c r="D169" s="2"/>
      <c r="E169" s="2"/>
      <c r="F169" s="31"/>
      <c r="G169" s="31"/>
      <c r="H169" s="2"/>
      <c r="I169" s="31"/>
      <c r="J169" s="2"/>
      <c r="K169" s="31"/>
      <c r="L169" s="2"/>
    </row>
    <row r="170" spans="1:12" ht="15.75">
      <c r="A170" s="2"/>
      <c r="B170" s="2"/>
      <c r="C170" s="2"/>
      <c r="D170" s="2"/>
      <c r="E170" s="2"/>
      <c r="F170" s="31"/>
      <c r="G170" s="31"/>
      <c r="H170" s="2"/>
      <c r="I170" s="31"/>
      <c r="J170" s="2"/>
      <c r="K170" s="31"/>
      <c r="L170" s="2"/>
    </row>
    <row r="171" spans="1:12" ht="15.75">
      <c r="A171" s="2"/>
      <c r="B171" s="2"/>
      <c r="C171" s="2"/>
      <c r="D171" s="2"/>
      <c r="E171" s="2"/>
      <c r="F171" s="31"/>
      <c r="G171" s="31"/>
      <c r="H171" s="2"/>
      <c r="I171" s="31"/>
      <c r="J171" s="2"/>
      <c r="K171" s="31"/>
      <c r="L171" s="2"/>
    </row>
    <row r="172" spans="1:12" ht="15.75">
      <c r="A172" s="2"/>
      <c r="B172" s="2"/>
      <c r="C172" s="2"/>
      <c r="D172" s="2"/>
      <c r="E172" s="2"/>
      <c r="F172" s="31"/>
      <c r="G172" s="31"/>
      <c r="H172" s="2"/>
      <c r="I172" s="31"/>
      <c r="J172" s="2"/>
      <c r="K172" s="31"/>
      <c r="L172" s="2"/>
    </row>
    <row r="173" spans="1:12" ht="15.75">
      <c r="A173" s="2"/>
      <c r="B173" s="2"/>
      <c r="C173" s="2"/>
      <c r="D173" s="2"/>
      <c r="E173" s="2"/>
      <c r="F173" s="31"/>
      <c r="G173" s="31"/>
      <c r="H173" s="2"/>
      <c r="I173" s="31"/>
      <c r="J173" s="2"/>
      <c r="K173" s="31"/>
      <c r="L173" s="2"/>
    </row>
    <row r="174" spans="1:12" ht="15.75">
      <c r="A174" s="2"/>
      <c r="B174" s="2"/>
      <c r="C174" s="2"/>
      <c r="D174" s="2"/>
      <c r="E174" s="2"/>
      <c r="F174" s="31"/>
      <c r="G174" s="31"/>
      <c r="H174" s="2"/>
      <c r="I174" s="31"/>
      <c r="J174" s="2"/>
      <c r="K174" s="31"/>
      <c r="L174" s="2"/>
    </row>
    <row r="175" spans="1:12" ht="15.75">
      <c r="A175" s="2"/>
      <c r="B175" s="2"/>
      <c r="C175" s="2"/>
      <c r="D175" s="2"/>
      <c r="E175" s="2"/>
      <c r="F175" s="31"/>
      <c r="G175" s="31"/>
      <c r="H175" s="2"/>
      <c r="I175" s="31"/>
      <c r="J175" s="2"/>
      <c r="K175" s="31"/>
      <c r="L175" s="2"/>
    </row>
    <row r="176" spans="1:12" ht="15.75">
      <c r="A176" s="2"/>
      <c r="B176" s="2"/>
      <c r="C176" s="2"/>
      <c r="D176" s="2"/>
      <c r="E176" s="2"/>
      <c r="F176" s="31"/>
      <c r="G176" s="31"/>
      <c r="H176" s="2"/>
      <c r="I176" s="31"/>
      <c r="J176" s="2"/>
      <c r="K176" s="31"/>
      <c r="L176" s="2"/>
    </row>
    <row r="177" spans="1:12" ht="15.75">
      <c r="A177" s="2"/>
      <c r="B177" s="2"/>
      <c r="C177" s="2"/>
      <c r="D177" s="2"/>
      <c r="E177" s="2"/>
      <c r="F177" s="31"/>
      <c r="G177" s="31"/>
      <c r="H177" s="2"/>
      <c r="I177" s="31"/>
      <c r="J177" s="2"/>
      <c r="K177" s="31"/>
      <c r="L177" s="2"/>
    </row>
    <row r="178" spans="1:12" ht="15.75">
      <c r="A178" s="2"/>
      <c r="B178" s="2"/>
      <c r="C178" s="2"/>
      <c r="D178" s="2"/>
      <c r="E178" s="2"/>
      <c r="F178" s="31"/>
      <c r="G178" s="31"/>
      <c r="H178" s="2"/>
      <c r="I178" s="31"/>
      <c r="J178" s="2"/>
      <c r="K178" s="31"/>
      <c r="L178" s="2"/>
    </row>
    <row r="179" spans="1:12" ht="15.75">
      <c r="A179" s="2"/>
      <c r="B179" s="2"/>
      <c r="C179" s="2"/>
      <c r="D179" s="2"/>
      <c r="E179" s="2"/>
      <c r="F179" s="31"/>
      <c r="G179" s="31"/>
      <c r="H179" s="2"/>
      <c r="I179" s="31"/>
      <c r="J179" s="2"/>
      <c r="K179" s="31"/>
      <c r="L179" s="2"/>
    </row>
    <row r="180" spans="1:12" ht="15.75">
      <c r="A180" s="2"/>
      <c r="B180" s="2"/>
      <c r="C180" s="2"/>
      <c r="D180" s="2"/>
      <c r="E180" s="2"/>
      <c r="F180" s="31"/>
      <c r="G180" s="31"/>
      <c r="H180" s="2"/>
      <c r="I180" s="31"/>
      <c r="J180" s="2"/>
      <c r="K180" s="31"/>
      <c r="L180" s="2"/>
    </row>
    <row r="181" spans="1:12" ht="15.75">
      <c r="A181" s="2"/>
      <c r="B181" s="2"/>
      <c r="C181" s="2"/>
      <c r="D181" s="2"/>
      <c r="E181" s="2"/>
      <c r="F181" s="31"/>
      <c r="G181" s="31"/>
      <c r="H181" s="2"/>
      <c r="I181" s="31"/>
      <c r="J181" s="2"/>
      <c r="K181" s="31"/>
      <c r="L181" s="2"/>
    </row>
    <row r="182" spans="1:12" ht="15.75">
      <c r="A182" s="2"/>
      <c r="B182" s="2"/>
      <c r="C182" s="2"/>
      <c r="D182" s="2"/>
      <c r="E182" s="2"/>
      <c r="F182" s="31"/>
      <c r="G182" s="31"/>
      <c r="H182" s="2"/>
      <c r="I182" s="31"/>
      <c r="J182" s="2"/>
      <c r="K182" s="31"/>
      <c r="L182" s="2"/>
    </row>
    <row r="183" spans="1:12" ht="15.75">
      <c r="A183" s="2"/>
      <c r="B183" s="2"/>
      <c r="C183" s="2"/>
      <c r="D183" s="2"/>
      <c r="E183" s="2"/>
      <c r="F183" s="31"/>
      <c r="G183" s="31"/>
      <c r="H183" s="2"/>
      <c r="I183" s="31"/>
      <c r="J183" s="2"/>
      <c r="K183" s="31"/>
      <c r="L183" s="2"/>
    </row>
    <row r="184" spans="1:12" ht="15.75">
      <c r="A184" s="2"/>
      <c r="B184" s="2"/>
      <c r="C184" s="2"/>
      <c r="D184" s="2"/>
      <c r="E184" s="2"/>
      <c r="F184" s="31"/>
      <c r="G184" s="31"/>
      <c r="H184" s="2"/>
      <c r="I184" s="31"/>
      <c r="J184" s="2"/>
      <c r="K184" s="31"/>
      <c r="L184" s="2"/>
    </row>
    <row r="185" spans="1:12" ht="15.75">
      <c r="A185" s="2"/>
      <c r="B185" s="2"/>
      <c r="C185" s="2"/>
      <c r="D185" s="2"/>
      <c r="E185" s="2"/>
      <c r="F185" s="31"/>
      <c r="G185" s="31"/>
      <c r="H185" s="2"/>
      <c r="I185" s="31"/>
      <c r="J185" s="2"/>
      <c r="K185" s="31"/>
      <c r="L185" s="2"/>
    </row>
    <row r="186" spans="1:12" ht="15.75">
      <c r="A186" s="2"/>
      <c r="B186" s="2"/>
      <c r="C186" s="2"/>
      <c r="D186" s="2"/>
      <c r="E186" s="2"/>
      <c r="F186" s="31"/>
      <c r="G186" s="31"/>
      <c r="H186" s="2"/>
      <c r="I186" s="31"/>
      <c r="J186" s="2"/>
      <c r="K186" s="31"/>
      <c r="L186" s="2"/>
    </row>
    <row r="187" spans="1:12" ht="15.75">
      <c r="A187" s="2"/>
      <c r="B187" s="2"/>
      <c r="C187" s="2"/>
      <c r="D187" s="2"/>
      <c r="E187" s="2"/>
      <c r="F187" s="31"/>
      <c r="G187" s="31"/>
      <c r="H187" s="2"/>
      <c r="I187" s="31"/>
      <c r="J187" s="2"/>
      <c r="K187" s="31"/>
      <c r="L187" s="2"/>
    </row>
    <row r="188" spans="1:12" ht="15.75">
      <c r="A188" s="2"/>
      <c r="B188" s="2"/>
      <c r="C188" s="2"/>
      <c r="D188" s="2"/>
      <c r="E188" s="2"/>
      <c r="F188" s="31"/>
      <c r="G188" s="31"/>
      <c r="H188" s="2"/>
      <c r="I188" s="31"/>
      <c r="J188" s="2"/>
      <c r="K188" s="31"/>
      <c r="L188" s="2"/>
    </row>
    <row r="189" spans="1:12" ht="15.75">
      <c r="A189" s="2"/>
      <c r="B189" s="2"/>
      <c r="C189" s="2"/>
      <c r="D189" s="2"/>
      <c r="E189" s="2"/>
      <c r="F189" s="31"/>
      <c r="G189" s="31"/>
      <c r="H189" s="2"/>
      <c r="I189" s="31"/>
      <c r="J189" s="2"/>
      <c r="K189" s="31"/>
      <c r="L189" s="2"/>
    </row>
    <row r="190" spans="1:12" ht="15.75">
      <c r="A190" s="2"/>
      <c r="B190" s="2"/>
      <c r="C190" s="2"/>
      <c r="D190" s="2"/>
      <c r="E190" s="2"/>
      <c r="F190" s="31"/>
      <c r="G190" s="31"/>
      <c r="H190" s="2"/>
      <c r="I190" s="31"/>
      <c r="J190" s="2"/>
      <c r="K190" s="31"/>
      <c r="L190" s="2"/>
    </row>
    <row r="191" spans="1:12" ht="15.75">
      <c r="A191" s="2"/>
      <c r="B191" s="2"/>
      <c r="C191" s="2"/>
      <c r="D191" s="2"/>
      <c r="E191" s="2"/>
      <c r="F191" s="31"/>
      <c r="G191" s="31"/>
      <c r="H191" s="2"/>
      <c r="I191" s="31"/>
      <c r="J191" s="2"/>
      <c r="K191" s="31"/>
      <c r="L191" s="2"/>
    </row>
    <row r="192" spans="1:12" ht="15.75">
      <c r="A192" s="2"/>
      <c r="B192" s="2"/>
      <c r="C192" s="2"/>
      <c r="D192" s="2"/>
      <c r="E192" s="2"/>
      <c r="F192" s="31"/>
      <c r="G192" s="31"/>
      <c r="H192" s="2"/>
      <c r="I192" s="31"/>
      <c r="J192" s="2"/>
      <c r="K192" s="31"/>
      <c r="L192" s="2"/>
    </row>
    <row r="193" spans="1:12" ht="15.75">
      <c r="A193" s="2"/>
      <c r="B193" s="2"/>
      <c r="C193" s="2"/>
      <c r="D193" s="2"/>
      <c r="E193" s="2"/>
      <c r="F193" s="31"/>
      <c r="G193" s="31"/>
      <c r="H193" s="2"/>
      <c r="I193" s="31"/>
      <c r="J193" s="2"/>
      <c r="K193" s="31"/>
      <c r="L193" s="2"/>
    </row>
    <row r="194" spans="1:12" ht="15.75">
      <c r="A194" s="2"/>
      <c r="B194" s="2"/>
      <c r="C194" s="2"/>
      <c r="D194" s="2"/>
      <c r="E194" s="2"/>
      <c r="F194" s="31"/>
      <c r="G194" s="31"/>
      <c r="H194" s="2"/>
      <c r="I194" s="31"/>
      <c r="J194" s="2"/>
      <c r="K194" s="31"/>
      <c r="L194" s="2"/>
    </row>
    <row r="195" spans="1:12" ht="15.75">
      <c r="A195" s="2"/>
      <c r="B195" s="2"/>
      <c r="C195" s="2"/>
      <c r="D195" s="2"/>
      <c r="E195" s="2"/>
      <c r="F195" s="31"/>
      <c r="G195" s="31"/>
      <c r="H195" s="2"/>
      <c r="I195" s="31"/>
      <c r="J195" s="2"/>
      <c r="K195" s="31"/>
      <c r="L195" s="2"/>
    </row>
    <row r="196" spans="1:12" ht="15.75">
      <c r="A196" s="2"/>
      <c r="B196" s="2"/>
      <c r="C196" s="2"/>
      <c r="D196" s="2"/>
      <c r="E196" s="2"/>
      <c r="F196" s="31"/>
      <c r="G196" s="31"/>
      <c r="H196" s="2"/>
      <c r="I196" s="31"/>
      <c r="J196" s="2"/>
      <c r="K196" s="31"/>
      <c r="L196" s="2"/>
    </row>
    <row r="197" spans="1:12" ht="15.75">
      <c r="A197" s="2"/>
      <c r="B197" s="2"/>
      <c r="C197" s="2"/>
      <c r="D197" s="2"/>
      <c r="E197" s="2"/>
      <c r="F197" s="31"/>
      <c r="G197" s="31"/>
      <c r="H197" s="2"/>
      <c r="I197" s="31"/>
      <c r="J197" s="2"/>
      <c r="K197" s="31"/>
      <c r="L197" s="2"/>
    </row>
    <row r="198" spans="1:12" ht="15.75">
      <c r="A198" s="2"/>
      <c r="B198" s="2"/>
      <c r="C198" s="2"/>
      <c r="D198" s="2"/>
      <c r="E198" s="2"/>
      <c r="F198" s="31"/>
      <c r="G198" s="31"/>
      <c r="H198" s="2"/>
      <c r="I198" s="31"/>
      <c r="J198" s="2"/>
      <c r="K198" s="31"/>
      <c r="L198" s="2"/>
    </row>
    <row r="199" spans="1:12" ht="15.75">
      <c r="A199" s="2"/>
      <c r="B199" s="2"/>
      <c r="C199" s="2"/>
      <c r="D199" s="2"/>
      <c r="E199" s="2"/>
      <c r="F199" s="31"/>
      <c r="G199" s="31"/>
      <c r="H199" s="2"/>
      <c r="I199" s="31"/>
      <c r="J199" s="2"/>
      <c r="K199" s="31"/>
      <c r="L199" s="2"/>
    </row>
    <row r="200" spans="1:12" ht="15.75">
      <c r="A200" s="2"/>
      <c r="B200" s="2"/>
      <c r="C200" s="2"/>
      <c r="D200" s="2"/>
      <c r="E200" s="2"/>
      <c r="F200" s="31"/>
      <c r="G200" s="31"/>
      <c r="H200" s="2"/>
      <c r="I200" s="31"/>
      <c r="J200" s="2"/>
      <c r="K200" s="31"/>
      <c r="L200" s="2"/>
    </row>
    <row r="201" spans="1:12" ht="15.75">
      <c r="A201" s="2"/>
      <c r="B201" s="2"/>
      <c r="C201" s="2"/>
      <c r="D201" s="2"/>
      <c r="E201" s="2"/>
      <c r="F201" s="31"/>
      <c r="G201" s="31"/>
      <c r="H201" s="2"/>
      <c r="I201" s="31"/>
      <c r="J201" s="2"/>
      <c r="K201" s="31"/>
      <c r="L201" s="2"/>
    </row>
    <row r="202" spans="1:12" ht="15.75">
      <c r="A202" s="2"/>
      <c r="B202" s="2"/>
      <c r="C202" s="2"/>
      <c r="D202" s="2"/>
      <c r="E202" s="2"/>
      <c r="F202" s="31"/>
      <c r="G202" s="31"/>
      <c r="H202" s="2"/>
      <c r="I202" s="31"/>
      <c r="J202" s="2"/>
      <c r="K202" s="31"/>
      <c r="L202" s="2"/>
    </row>
    <row r="203" spans="1:12" ht="15.75">
      <c r="A203" s="2"/>
      <c r="B203" s="2"/>
      <c r="C203" s="2"/>
      <c r="D203" s="2"/>
      <c r="E203" s="2"/>
      <c r="F203" s="31"/>
      <c r="G203" s="31"/>
      <c r="H203" s="2"/>
      <c r="I203" s="31"/>
      <c r="J203" s="2"/>
      <c r="K203" s="31"/>
      <c r="L203" s="2"/>
    </row>
    <row r="204" spans="1:12" ht="15.75">
      <c r="A204" s="2"/>
      <c r="B204" s="2"/>
      <c r="C204" s="2"/>
      <c r="D204" s="2"/>
      <c r="E204" s="2"/>
      <c r="F204" s="31"/>
      <c r="G204" s="31"/>
      <c r="H204" s="2"/>
      <c r="I204" s="31"/>
      <c r="J204" s="2"/>
      <c r="K204" s="31"/>
      <c r="L204" s="2"/>
    </row>
    <row r="205" spans="1:12" ht="15.75">
      <c r="A205" s="2"/>
      <c r="B205" s="2"/>
      <c r="C205" s="2"/>
      <c r="D205" s="2"/>
      <c r="E205" s="2"/>
      <c r="F205" s="31"/>
      <c r="G205" s="31"/>
      <c r="H205" s="2"/>
      <c r="I205" s="31"/>
      <c r="J205" s="2"/>
      <c r="K205" s="31"/>
      <c r="L205" s="2"/>
    </row>
    <row r="206" spans="1:12" ht="15.75">
      <c r="A206" s="2"/>
      <c r="B206" s="2"/>
      <c r="C206" s="2"/>
      <c r="D206" s="2"/>
      <c r="E206" s="2"/>
      <c r="F206" s="31"/>
      <c r="G206" s="31"/>
      <c r="H206" s="2"/>
      <c r="I206" s="31"/>
      <c r="J206" s="2"/>
      <c r="K206" s="31"/>
      <c r="L206" s="2"/>
    </row>
    <row r="207" spans="1:12" ht="15.75">
      <c r="A207" s="2"/>
      <c r="B207" s="2"/>
      <c r="C207" s="2"/>
      <c r="D207" s="2"/>
      <c r="E207" s="2"/>
      <c r="F207" s="31"/>
      <c r="G207" s="31"/>
      <c r="H207" s="2"/>
      <c r="I207" s="31"/>
      <c r="J207" s="2"/>
      <c r="K207" s="31"/>
      <c r="L207" s="2"/>
    </row>
    <row r="208" spans="1:12" ht="15.75">
      <c r="A208" s="2"/>
      <c r="B208" s="2"/>
      <c r="C208" s="2"/>
      <c r="D208" s="2"/>
      <c r="E208" s="2"/>
      <c r="F208" s="31"/>
      <c r="G208" s="31"/>
      <c r="H208" s="2"/>
      <c r="I208" s="31"/>
      <c r="J208" s="2"/>
      <c r="K208" s="31"/>
      <c r="L208" s="2"/>
    </row>
    <row r="209" spans="1:12" ht="15.75">
      <c r="A209" s="2"/>
      <c r="B209" s="2"/>
      <c r="C209" s="2"/>
      <c r="D209" s="2"/>
      <c r="E209" s="2"/>
      <c r="F209" s="31"/>
      <c r="G209" s="31"/>
      <c r="H209" s="2"/>
      <c r="I209" s="31"/>
      <c r="J209" s="2"/>
      <c r="K209" s="31"/>
      <c r="L209" s="2"/>
    </row>
    <row r="210" spans="1:12" ht="15.75">
      <c r="A210" s="2"/>
      <c r="B210" s="2"/>
      <c r="C210" s="2"/>
      <c r="D210" s="2"/>
      <c r="E210" s="2"/>
      <c r="F210" s="31"/>
      <c r="G210" s="31"/>
      <c r="H210" s="2"/>
      <c r="I210" s="31"/>
      <c r="J210" s="2"/>
      <c r="K210" s="31"/>
      <c r="L210" s="2"/>
    </row>
    <row r="211" spans="1:12" ht="15.75">
      <c r="A211" s="2"/>
      <c r="B211" s="2"/>
      <c r="C211" s="2"/>
      <c r="D211" s="2"/>
      <c r="E211" s="2"/>
      <c r="F211" s="31"/>
      <c r="G211" s="31"/>
      <c r="H211" s="2"/>
      <c r="I211" s="31"/>
      <c r="J211" s="2"/>
      <c r="K211" s="31"/>
      <c r="L211" s="2"/>
    </row>
    <row r="212" spans="1:12" ht="15.75">
      <c r="A212" s="2"/>
      <c r="B212" s="2"/>
      <c r="C212" s="2"/>
      <c r="D212" s="2"/>
      <c r="E212" s="2"/>
      <c r="F212" s="31"/>
      <c r="G212" s="31"/>
      <c r="H212" s="2"/>
      <c r="I212" s="31"/>
      <c r="J212" s="2"/>
      <c r="K212" s="31"/>
      <c r="L212" s="2"/>
    </row>
    <row r="213" spans="1:12" ht="15.75">
      <c r="A213" s="2"/>
      <c r="B213" s="2"/>
      <c r="C213" s="2"/>
      <c r="D213" s="2"/>
      <c r="E213" s="2"/>
      <c r="F213" s="31"/>
      <c r="G213" s="31"/>
      <c r="H213" s="2"/>
      <c r="I213" s="31"/>
      <c r="J213" s="2"/>
      <c r="K213" s="31"/>
      <c r="L213" s="2"/>
    </row>
    <row r="214" spans="1:12" ht="15.75">
      <c r="A214" s="2"/>
      <c r="B214" s="2"/>
      <c r="C214" s="2"/>
      <c r="D214" s="2"/>
      <c r="E214" s="2"/>
      <c r="F214" s="31"/>
      <c r="G214" s="31"/>
      <c r="H214" s="2"/>
      <c r="I214" s="31"/>
      <c r="J214" s="2"/>
      <c r="K214" s="31"/>
      <c r="L214" s="2"/>
    </row>
    <row r="215" spans="1:12" ht="15.75">
      <c r="A215" s="2"/>
      <c r="B215" s="2"/>
      <c r="C215" s="2"/>
      <c r="D215" s="2"/>
      <c r="E215" s="2"/>
      <c r="F215" s="31"/>
      <c r="G215" s="31"/>
      <c r="H215" s="2"/>
      <c r="I215" s="31"/>
      <c r="J215" s="2"/>
      <c r="K215" s="31"/>
      <c r="L215" s="2"/>
    </row>
    <row r="216" spans="1:12" ht="15.75">
      <c r="A216" s="2"/>
      <c r="B216" s="2"/>
      <c r="C216" s="2"/>
      <c r="D216" s="2"/>
      <c r="E216" s="2"/>
      <c r="F216" s="31"/>
      <c r="G216" s="31"/>
      <c r="H216" s="2"/>
      <c r="I216" s="31"/>
      <c r="J216" s="2"/>
      <c r="K216" s="31"/>
      <c r="L216" s="2"/>
    </row>
    <row r="217" spans="1:12" ht="15.75">
      <c r="A217" s="2"/>
      <c r="B217" s="2"/>
      <c r="C217" s="2"/>
      <c r="D217" s="2"/>
      <c r="E217" s="2"/>
      <c r="F217" s="31"/>
      <c r="G217" s="31"/>
      <c r="H217" s="2"/>
      <c r="I217" s="31"/>
      <c r="J217" s="2"/>
      <c r="K217" s="31"/>
      <c r="L217" s="2"/>
    </row>
    <row r="218" spans="1:12" ht="15.75">
      <c r="A218" s="2"/>
      <c r="B218" s="2"/>
      <c r="C218" s="2"/>
      <c r="D218" s="2"/>
      <c r="E218" s="2"/>
      <c r="F218" s="31"/>
      <c r="G218" s="31"/>
      <c r="H218" s="2"/>
      <c r="I218" s="31"/>
      <c r="J218" s="2"/>
      <c r="K218" s="31"/>
      <c r="L218" s="2"/>
    </row>
    <row r="219" spans="1:12" ht="15.75">
      <c r="A219" s="2"/>
      <c r="B219" s="2"/>
      <c r="C219" s="2"/>
      <c r="D219" s="2"/>
      <c r="E219" s="2"/>
      <c r="F219" s="31"/>
      <c r="G219" s="31"/>
      <c r="H219" s="2"/>
      <c r="I219" s="31"/>
      <c r="J219" s="2"/>
      <c r="K219" s="31"/>
      <c r="L219" s="2"/>
    </row>
    <row r="220" spans="1:12" ht="15.75">
      <c r="A220" s="2"/>
      <c r="B220" s="2"/>
      <c r="C220" s="2"/>
      <c r="D220" s="2"/>
      <c r="E220" s="2"/>
      <c r="F220" s="31"/>
      <c r="G220" s="31"/>
      <c r="H220" s="2"/>
      <c r="I220" s="31"/>
      <c r="J220" s="2"/>
      <c r="K220" s="31"/>
      <c r="L220" s="2"/>
    </row>
    <row r="221" spans="1:12" ht="15.75">
      <c r="A221" s="2"/>
      <c r="B221" s="2"/>
      <c r="C221" s="2"/>
      <c r="D221" s="2"/>
      <c r="E221" s="2"/>
      <c r="F221" s="31"/>
      <c r="G221" s="31"/>
      <c r="H221" s="2"/>
      <c r="I221" s="31"/>
      <c r="J221" s="2"/>
      <c r="K221" s="31"/>
      <c r="L221" s="2"/>
    </row>
    <row r="222" spans="1:12" ht="15.75">
      <c r="A222" s="2"/>
      <c r="B222" s="2"/>
      <c r="C222" s="2"/>
      <c r="D222" s="2"/>
      <c r="E222" s="2"/>
      <c r="F222" s="31"/>
      <c r="G222" s="31"/>
      <c r="H222" s="2"/>
      <c r="I222" s="31"/>
      <c r="J222" s="2"/>
      <c r="K222" s="31"/>
      <c r="L222" s="2"/>
    </row>
    <row r="223" spans="1:12" ht="15.75">
      <c r="A223" s="2"/>
      <c r="B223" s="2"/>
      <c r="C223" s="2"/>
      <c r="D223" s="2"/>
      <c r="E223" s="2"/>
      <c r="F223" s="31"/>
      <c r="G223" s="31"/>
      <c r="H223" s="2"/>
      <c r="I223" s="31"/>
      <c r="J223" s="2"/>
      <c r="K223" s="31"/>
      <c r="L223" s="2"/>
    </row>
    <row r="224" spans="1:12" ht="15.75">
      <c r="A224" s="2"/>
      <c r="B224" s="2"/>
      <c r="C224" s="2"/>
      <c r="D224" s="2"/>
      <c r="E224" s="2"/>
      <c r="F224" s="31"/>
      <c r="G224" s="31"/>
      <c r="H224" s="2"/>
      <c r="I224" s="31"/>
      <c r="J224" s="2"/>
      <c r="K224" s="31"/>
      <c r="L224" s="2"/>
    </row>
    <row r="225" spans="1:12" ht="15.75">
      <c r="A225" s="2"/>
      <c r="B225" s="2"/>
      <c r="C225" s="2"/>
      <c r="D225" s="2"/>
      <c r="E225" s="2"/>
      <c r="F225" s="31"/>
      <c r="G225" s="31"/>
      <c r="H225" s="2"/>
      <c r="I225" s="31"/>
      <c r="J225" s="2"/>
      <c r="K225" s="31"/>
      <c r="L225" s="2"/>
    </row>
    <row r="226" spans="1:12" ht="15.75">
      <c r="A226" s="2"/>
      <c r="B226" s="2"/>
      <c r="C226" s="2"/>
      <c r="D226" s="2"/>
      <c r="E226" s="2"/>
      <c r="F226" s="31"/>
      <c r="G226" s="31"/>
      <c r="H226" s="2"/>
      <c r="I226" s="31"/>
      <c r="J226" s="2"/>
      <c r="K226" s="31"/>
      <c r="L226" s="2"/>
    </row>
    <row r="227" spans="1:12" ht="15.75">
      <c r="A227" s="2"/>
      <c r="B227" s="2"/>
      <c r="C227" s="2"/>
      <c r="D227" s="2"/>
      <c r="E227" s="2"/>
      <c r="F227" s="31"/>
      <c r="G227" s="31"/>
      <c r="H227" s="2"/>
      <c r="I227" s="31"/>
      <c r="J227" s="2"/>
      <c r="K227" s="31"/>
      <c r="L227" s="2"/>
    </row>
    <row r="228" spans="1:12" ht="15.75">
      <c r="A228" s="2"/>
      <c r="B228" s="2"/>
      <c r="C228" s="2"/>
      <c r="D228" s="2"/>
      <c r="E228" s="2"/>
      <c r="F228" s="31"/>
      <c r="G228" s="31"/>
      <c r="H228" s="2"/>
      <c r="I228" s="31"/>
      <c r="J228" s="2"/>
      <c r="K228" s="31"/>
      <c r="L228" s="2"/>
    </row>
    <row r="229" spans="1:12" ht="15.75">
      <c r="A229" s="2"/>
      <c r="B229" s="2"/>
      <c r="C229" s="2"/>
      <c r="D229" s="2"/>
      <c r="E229" s="2"/>
      <c r="F229" s="31"/>
      <c r="G229" s="31"/>
      <c r="H229" s="2"/>
      <c r="I229" s="31"/>
      <c r="J229" s="2"/>
      <c r="K229" s="31"/>
      <c r="L229" s="2"/>
    </row>
    <row r="230" spans="1:12" ht="15.75">
      <c r="A230" s="2"/>
      <c r="B230" s="2"/>
      <c r="C230" s="2"/>
      <c r="D230" s="2"/>
      <c r="E230" s="2"/>
      <c r="F230" s="31"/>
      <c r="G230" s="31"/>
      <c r="H230" s="2"/>
      <c r="I230" s="31"/>
      <c r="J230" s="2"/>
      <c r="K230" s="31"/>
      <c r="L230" s="2"/>
    </row>
    <row r="231" spans="1:12" ht="15.75">
      <c r="A231" s="2"/>
      <c r="B231" s="2"/>
      <c r="C231" s="2"/>
      <c r="D231" s="2"/>
      <c r="E231" s="2"/>
      <c r="F231" s="31"/>
      <c r="G231" s="31"/>
      <c r="H231" s="2"/>
      <c r="I231" s="31"/>
      <c r="J231" s="2"/>
      <c r="K231" s="31"/>
      <c r="L231" s="2"/>
    </row>
    <row r="232" spans="1:12" ht="15.75">
      <c r="A232" s="2"/>
      <c r="B232" s="2"/>
      <c r="C232" s="2"/>
      <c r="D232" s="2"/>
      <c r="E232" s="2"/>
      <c r="F232" s="31"/>
      <c r="G232" s="31"/>
      <c r="H232" s="2"/>
      <c r="I232" s="31"/>
      <c r="J232" s="2"/>
      <c r="K232" s="31"/>
      <c r="L232" s="2"/>
    </row>
    <row r="233" spans="1:12" ht="15.75">
      <c r="A233" s="2"/>
      <c r="B233" s="2"/>
      <c r="C233" s="2"/>
      <c r="D233" s="2"/>
      <c r="E233" s="2"/>
      <c r="F233" s="31"/>
      <c r="G233" s="31"/>
      <c r="H233" s="2"/>
      <c r="I233" s="31"/>
      <c r="J233" s="2"/>
      <c r="K233" s="31"/>
      <c r="L233" s="2"/>
    </row>
    <row r="234" spans="1:12" ht="15.75">
      <c r="A234" s="2"/>
      <c r="B234" s="2"/>
      <c r="C234" s="2"/>
      <c r="D234" s="2"/>
      <c r="E234" s="2"/>
      <c r="F234" s="31"/>
      <c r="G234" s="31"/>
      <c r="H234" s="2"/>
      <c r="I234" s="31"/>
      <c r="J234" s="2"/>
      <c r="K234" s="31"/>
      <c r="L234" s="2"/>
    </row>
    <row r="235" spans="1:12" ht="15.75">
      <c r="A235" s="2"/>
      <c r="B235" s="2"/>
      <c r="C235" s="2"/>
      <c r="D235" s="2"/>
      <c r="E235" s="2"/>
      <c r="F235" s="31"/>
      <c r="G235" s="31"/>
      <c r="H235" s="2"/>
      <c r="I235" s="31"/>
      <c r="J235" s="2"/>
      <c r="K235" s="31"/>
      <c r="L235" s="2"/>
    </row>
    <row r="236" spans="1:12" ht="15.75">
      <c r="A236" s="2"/>
      <c r="B236" s="2"/>
      <c r="C236" s="2"/>
      <c r="D236" s="2"/>
      <c r="E236" s="2"/>
      <c r="F236" s="31"/>
      <c r="G236" s="31"/>
    </row>
    <row r="237" spans="1:12" ht="15.75">
      <c r="A237" s="2"/>
      <c r="B237" s="2"/>
      <c r="C237" s="2"/>
      <c r="D237" s="2"/>
      <c r="E237" s="2"/>
      <c r="F237" s="31"/>
      <c r="G237" s="31"/>
    </row>
    <row r="238" spans="1:12" ht="15.75">
      <c r="A238" s="2"/>
      <c r="B238" s="2"/>
      <c r="C238" s="2"/>
      <c r="D238" s="2"/>
      <c r="E238" s="2"/>
      <c r="F238" s="31"/>
      <c r="G238" s="31"/>
    </row>
    <row r="239" spans="1:12" ht="15.75">
      <c r="A239" s="2"/>
      <c r="B239" s="2"/>
      <c r="C239" s="2"/>
      <c r="D239" s="2"/>
      <c r="E239" s="2"/>
      <c r="F239" s="31"/>
      <c r="G239" s="31"/>
    </row>
    <row r="240" spans="1:12" ht="15.75">
      <c r="A240" s="2"/>
      <c r="B240" s="2"/>
      <c r="C240" s="2"/>
      <c r="D240" s="2"/>
      <c r="E240" s="2"/>
      <c r="F240" s="31"/>
      <c r="G240" s="31"/>
    </row>
    <row r="241" spans="1:7" ht="15.75">
      <c r="A241" s="2"/>
      <c r="B241" s="2"/>
      <c r="C241" s="2"/>
      <c r="D241" s="2"/>
      <c r="E241" s="2"/>
      <c r="F241" s="31"/>
      <c r="G241" s="31"/>
    </row>
    <row r="242" spans="1:7" ht="15.75">
      <c r="A242" s="2"/>
      <c r="B242" s="2"/>
      <c r="C242" s="2"/>
      <c r="D242" s="2"/>
      <c r="E242" s="2"/>
      <c r="F242" s="31"/>
      <c r="G242" s="31"/>
    </row>
    <row r="243" spans="1:7" ht="15.75">
      <c r="A243" s="2"/>
      <c r="B243" s="2"/>
      <c r="C243" s="2"/>
      <c r="D243" s="2"/>
      <c r="E243" s="2"/>
      <c r="F243" s="31"/>
      <c r="G243" s="31"/>
    </row>
    <row r="244" spans="1:7" ht="15.75">
      <c r="A244" s="2"/>
      <c r="B244" s="2"/>
      <c r="C244" s="2"/>
      <c r="D244" s="2"/>
      <c r="E244" s="2"/>
      <c r="F244" s="31"/>
      <c r="G244" s="31"/>
    </row>
    <row r="245" spans="1:7" ht="15.75">
      <c r="A245" s="2"/>
      <c r="B245" s="2"/>
      <c r="C245" s="2"/>
      <c r="D245" s="2"/>
      <c r="E245" s="2"/>
      <c r="F245" s="31"/>
      <c r="G245" s="31"/>
    </row>
    <row r="246" spans="1:7" ht="15.75">
      <c r="A246" s="2"/>
      <c r="B246" s="2"/>
      <c r="C246" s="2"/>
      <c r="D246" s="2"/>
      <c r="E246" s="2"/>
      <c r="F246" s="31"/>
      <c r="G246" s="31"/>
    </row>
    <row r="247" spans="1:7" ht="15.75">
      <c r="A247" s="2"/>
      <c r="B247" s="2"/>
      <c r="C247" s="2"/>
      <c r="D247" s="2"/>
      <c r="E247" s="2"/>
      <c r="F247" s="31"/>
      <c r="G247" s="31"/>
    </row>
    <row r="248" spans="1:7" ht="15.75">
      <c r="A248" s="2"/>
      <c r="B248" s="2"/>
      <c r="C248" s="2"/>
      <c r="D248" s="2"/>
      <c r="E248" s="2"/>
      <c r="F248" s="31"/>
      <c r="G248" s="31"/>
    </row>
    <row r="249" spans="1:7" ht="15.75">
      <c r="A249" s="2"/>
      <c r="B249" s="2"/>
      <c r="C249" s="2"/>
      <c r="D249" s="2"/>
      <c r="E249" s="2"/>
      <c r="F249" s="31"/>
      <c r="G249" s="31"/>
    </row>
    <row r="250" spans="1:7" ht="15.75">
      <c r="A250" s="2"/>
      <c r="B250" s="2"/>
      <c r="C250" s="2"/>
      <c r="D250" s="2"/>
      <c r="E250" s="2"/>
      <c r="F250" s="31"/>
      <c r="G250" s="31"/>
    </row>
    <row r="251" spans="1:7" ht="15.75">
      <c r="A251" s="2"/>
      <c r="B251" s="2"/>
      <c r="C251" s="2"/>
      <c r="D251" s="2"/>
      <c r="E251" s="2"/>
      <c r="F251" s="31"/>
      <c r="G251" s="31"/>
    </row>
    <row r="252" spans="1:7" ht="15.75">
      <c r="A252" s="2"/>
      <c r="B252" s="2"/>
      <c r="C252" s="2"/>
      <c r="D252" s="2"/>
      <c r="E252" s="2"/>
      <c r="F252" s="31"/>
      <c r="G252" s="31"/>
    </row>
    <row r="253" spans="1:7" ht="15.75">
      <c r="A253" s="2"/>
      <c r="B253" s="2"/>
      <c r="C253" s="2"/>
      <c r="D253" s="2"/>
      <c r="E253" s="2"/>
      <c r="F253" s="31"/>
      <c r="G253" s="31"/>
    </row>
    <row r="254" spans="1:7" ht="15.75">
      <c r="A254" s="2"/>
      <c r="B254" s="2"/>
      <c r="C254" s="2"/>
      <c r="D254" s="2"/>
      <c r="E254" s="2"/>
      <c r="F254" s="31"/>
      <c r="G254" s="31"/>
    </row>
    <row r="255" spans="1:7" ht="15.75">
      <c r="A255" s="2"/>
      <c r="B255" s="2"/>
      <c r="C255" s="2"/>
      <c r="D255" s="2"/>
      <c r="E255" s="2"/>
      <c r="F255" s="31"/>
      <c r="G255" s="31"/>
    </row>
    <row r="256" spans="1:7" ht="15.75">
      <c r="A256" s="2"/>
      <c r="B256" s="2"/>
      <c r="C256" s="2"/>
      <c r="D256" s="2"/>
      <c r="E256" s="2"/>
      <c r="F256" s="31"/>
      <c r="G256" s="31"/>
    </row>
    <row r="257" spans="1:7" ht="15.75">
      <c r="A257" s="2"/>
      <c r="B257" s="2"/>
      <c r="C257" s="2"/>
      <c r="D257" s="2"/>
      <c r="E257" s="2"/>
      <c r="F257" s="31"/>
      <c r="G257" s="31"/>
    </row>
    <row r="258" spans="1:7" ht="15.75">
      <c r="A258" s="2"/>
      <c r="B258" s="2"/>
      <c r="C258" s="2"/>
      <c r="D258" s="2"/>
      <c r="E258" s="2"/>
      <c r="F258" s="31"/>
      <c r="G258" s="31"/>
    </row>
    <row r="259" spans="1:7" ht="15.75">
      <c r="A259" s="2"/>
      <c r="B259" s="2"/>
      <c r="C259" s="2"/>
      <c r="D259" s="2"/>
      <c r="E259" s="2"/>
      <c r="F259" s="31"/>
      <c r="G259" s="31"/>
    </row>
    <row r="260" spans="1:7" ht="15.75">
      <c r="A260" s="2"/>
      <c r="B260" s="2"/>
      <c r="C260" s="2"/>
      <c r="D260" s="2"/>
      <c r="E260" s="2"/>
      <c r="F260" s="31"/>
      <c r="G260" s="31"/>
    </row>
    <row r="261" spans="1:7" ht="15.75">
      <c r="A261" s="2"/>
      <c r="B261" s="2"/>
      <c r="C261" s="2"/>
      <c r="D261" s="2"/>
      <c r="E261" s="2"/>
      <c r="F261" s="31"/>
      <c r="G261" s="31"/>
    </row>
    <row r="262" spans="1:7" ht="15.75">
      <c r="A262" s="2"/>
      <c r="B262" s="2"/>
      <c r="C262" s="2"/>
      <c r="D262" s="2"/>
      <c r="E262" s="2"/>
      <c r="F262" s="31"/>
      <c r="G262" s="31"/>
    </row>
    <row r="263" spans="1:7" ht="15.75">
      <c r="A263" s="2"/>
      <c r="B263" s="2"/>
      <c r="C263" s="2"/>
      <c r="D263" s="2"/>
      <c r="E263" s="2"/>
      <c r="F263" s="31"/>
      <c r="G263" s="31"/>
    </row>
  </sheetData>
  <sheetProtection password="CC5F" sheet="1" objects="1" scenarios="1"/>
  <mergeCells count="66">
    <mergeCell ref="B150:D150"/>
    <mergeCell ref="B144:D144"/>
    <mergeCell ref="B145:D145"/>
    <mergeCell ref="B146:D146"/>
    <mergeCell ref="B147:D147"/>
    <mergeCell ref="B148:D148"/>
    <mergeCell ref="C149:D149"/>
    <mergeCell ref="C139:D139"/>
    <mergeCell ref="C140:D140"/>
    <mergeCell ref="C141:D141"/>
    <mergeCell ref="C89:D89"/>
    <mergeCell ref="F48:I48"/>
    <mergeCell ref="C133:D133"/>
    <mergeCell ref="C137:D137"/>
    <mergeCell ref="C138:D138"/>
    <mergeCell ref="C136:D136"/>
    <mergeCell ref="F134:J134"/>
    <mergeCell ref="F113:J113"/>
    <mergeCell ref="F58:I58"/>
    <mergeCell ref="C101:D101"/>
    <mergeCell ref="C102:D102"/>
    <mergeCell ref="C103:D103"/>
    <mergeCell ref="B110:D110"/>
    <mergeCell ref="B111:D111"/>
    <mergeCell ref="C74:D74"/>
    <mergeCell ref="C79:D79"/>
    <mergeCell ref="C80:D80"/>
    <mergeCell ref="C135:D135"/>
    <mergeCell ref="C120:D120"/>
    <mergeCell ref="C121:D121"/>
    <mergeCell ref="C122:D122"/>
    <mergeCell ref="C123:D123"/>
    <mergeCell ref="C124:D124"/>
    <mergeCell ref="C125:D125"/>
    <mergeCell ref="C130:D130"/>
    <mergeCell ref="C131:D131"/>
    <mergeCell ref="C132:D132"/>
    <mergeCell ref="C128:D128"/>
    <mergeCell ref="C129:D129"/>
    <mergeCell ref="C104:D104"/>
    <mergeCell ref="C88:D88"/>
    <mergeCell ref="C90:D90"/>
    <mergeCell ref="C91:D91"/>
    <mergeCell ref="C78:D78"/>
    <mergeCell ref="F27:I27"/>
    <mergeCell ref="C126:D126"/>
    <mergeCell ref="C127:D127"/>
    <mergeCell ref="C105:D105"/>
    <mergeCell ref="C106:D106"/>
    <mergeCell ref="C107:D107"/>
    <mergeCell ref="C108:D108"/>
    <mergeCell ref="C82:D82"/>
    <mergeCell ref="C83:D83"/>
    <mergeCell ref="F28:I28"/>
    <mergeCell ref="F38:I38"/>
    <mergeCell ref="F40:I40"/>
    <mergeCell ref="F41:I41"/>
    <mergeCell ref="F47:I47"/>
    <mergeCell ref="A28:C28"/>
    <mergeCell ref="C119:D119"/>
    <mergeCell ref="F11:I11"/>
    <mergeCell ref="F12:I12"/>
    <mergeCell ref="A1:C1"/>
    <mergeCell ref="A2:C2"/>
    <mergeCell ref="A3:C3"/>
    <mergeCell ref="A8:C8"/>
  </mergeCells>
  <phoneticPr fontId="5" type="noConversion"/>
  <conditionalFormatting sqref="D2:D3">
    <cfRule type="containsText" dxfId="194" priority="9" stopIfTrue="1" operator="containsText" text="Enter">
      <formula>NOT(ISERROR(SEARCH("Enter",D2)))</formula>
    </cfRule>
  </conditionalFormatting>
  <conditionalFormatting sqref="A1:A3">
    <cfRule type="containsText" dxfId="193" priority="8" stopIfTrue="1" operator="containsText" text="Enter">
      <formula>NOT(ISERROR(SEARCH("Enter",A1)))</formula>
    </cfRule>
  </conditionalFormatting>
  <conditionalFormatting sqref="E84:F84 H84 J84">
    <cfRule type="containsText" dxfId="192" priority="2" stopIfTrue="1" operator="containsText" text="Total must equal amount in Cell E63 Above">
      <formula>NOT(ISERROR(SEARCH("Total must equal amount in Cell E63 Above",E84)))</formula>
    </cfRule>
  </conditionalFormatting>
  <conditionalFormatting sqref="K84 I84 G84">
    <cfRule type="containsText" dxfId="191" priority="1" stopIfTrue="1" operator="containsText" text="Total must equal amount in Cell E63 Above">
      <formula>NOT(ISERROR(SEARCH("Total must equal amount in Cell E63 Above",G84)))</formula>
    </cfRule>
  </conditionalFormatting>
  <printOptions horizontalCentered="1"/>
  <pageMargins left="0.25" right="0.25" top="0.5" bottom="0.5" header="0.5" footer="0.5"/>
  <pageSetup scale="54" orientation="landscape" horizontalDpi="200" verticalDpi="200" r:id="rId1"/>
  <headerFooter alignWithMargins="0">
    <oddFooter>Page &amp;P of &amp;N</oddFooter>
  </headerFooter>
  <rowBreaks count="2" manualBreakCount="2">
    <brk id="46" max="16383" man="1"/>
    <brk id="85" max="16383" man="1"/>
  </rowBreaks>
  <customProperties>
    <customPr name="DrillPoint.FROID" r:id="rId2"/>
    <customPr name="DrillPoint.Mode" r:id="rId3"/>
    <customPr name="DrillPoint.Subsheet" r:id="rId4"/>
  </customProperties>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tabColor theme="4"/>
    <pageSetUpPr autoPageBreaks="0" fitToPage="1"/>
  </sheetPr>
  <dimension ref="A1:AL87"/>
  <sheetViews>
    <sheetView showGridLines="0" zoomScaleNormal="100" zoomScaleSheetLayoutView="100" workbookViewId="0">
      <pane xSplit="4" ySplit="10" topLeftCell="E34" activePane="bottomRight" state="frozen"/>
      <selection pane="topRight" activeCell="J13" sqref="J13"/>
      <selection pane="bottomLeft" activeCell="J13" sqref="J13"/>
      <selection pane="bottomRight" activeCell="G51" sqref="G51"/>
    </sheetView>
  </sheetViews>
  <sheetFormatPr defaultColWidth="10.28515625" defaultRowHeight="15.75"/>
  <cols>
    <col min="1" max="1" width="5.42578125" style="2" customWidth="1"/>
    <col min="2" max="2" width="4.5703125" style="2" customWidth="1"/>
    <col min="3" max="3" width="81" style="2" customWidth="1"/>
    <col min="4" max="4" width="10.28515625" style="2"/>
    <col min="5" max="7" width="14.5703125" style="2" customWidth="1"/>
    <col min="8" max="8" width="10.5703125" style="2" customWidth="1"/>
    <col min="9" max="9" width="14.5703125" style="2" customWidth="1"/>
    <col min="10" max="10" width="10.5703125" style="2" customWidth="1"/>
    <col min="11" max="11" width="14.5703125" style="2" customWidth="1"/>
    <col min="12" max="12" width="10.5703125" style="2" customWidth="1"/>
    <col min="13" max="13" width="3.28515625" style="2" customWidth="1"/>
    <col min="14" max="14" width="4.140625" style="2" customWidth="1"/>
    <col min="15" max="15" width="12.7109375" style="2" customWidth="1"/>
    <col min="16" max="16384" width="10.28515625" style="2"/>
  </cols>
  <sheetData>
    <row r="1" spans="1:34">
      <c r="A1" s="1636" t="str">
        <f>IF('INTERIM-CERTIFICATION'!$M$1="","CHARTER NAME: Enter Charter Name on INTERIM-CERTIFICATION Worksheet",(CONCATENATE("CHARTER NAME: ",'INTERIM-CERTIFICATION'!$M$1)))</f>
        <v>CHARTER NAME: Encore High School -</v>
      </c>
      <c r="B1" s="1636"/>
      <c r="C1" s="1636"/>
      <c r="D1" s="11"/>
      <c r="E1" s="11"/>
      <c r="F1" s="11"/>
      <c r="G1" s="11"/>
      <c r="H1" s="157"/>
      <c r="I1" s="11"/>
      <c r="J1" s="156"/>
      <c r="K1" s="1"/>
      <c r="L1" s="158"/>
      <c r="M1" s="158"/>
      <c r="N1" s="1215"/>
      <c r="O1" s="1216"/>
      <c r="P1" s="3"/>
      <c r="Q1" s="3"/>
      <c r="R1" s="3"/>
      <c r="S1" s="3"/>
      <c r="T1" s="3"/>
      <c r="U1" s="1"/>
      <c r="V1" s="1"/>
      <c r="W1" s="1"/>
      <c r="X1" s="1"/>
      <c r="Y1" s="1"/>
      <c r="Z1" s="1"/>
      <c r="AA1" s="1"/>
      <c r="AB1" s="1"/>
      <c r="AC1" s="1"/>
      <c r="AD1" s="1"/>
      <c r="AE1" s="1"/>
      <c r="AF1" s="1"/>
      <c r="AG1" s="1"/>
      <c r="AH1" s="1"/>
    </row>
    <row r="2" spans="1:34">
      <c r="A2" s="1636" t="str">
        <f>IF('INTERIM-CERTIFICATION'!$M$2="","CDS #: Enter Charter CDS # on INTERIM-CERTIFICATION Worksheet",(_xlfn.CONCAT("CDS #: ",'INTERIM-CERTIFICATION'!$M$2)))</f>
        <v>CDS #: 35-75044-01166707</v>
      </c>
      <c r="B2" s="1636"/>
      <c r="C2" s="1636"/>
      <c r="D2" s="9"/>
      <c r="E2" s="9"/>
      <c r="F2" s="11"/>
      <c r="G2" s="81"/>
      <c r="H2" s="157"/>
      <c r="I2" s="81"/>
      <c r="J2" s="157"/>
      <c r="K2" s="1"/>
      <c r="L2" s="158"/>
      <c r="M2" s="158"/>
      <c r="N2" s="1215"/>
      <c r="O2" s="1216"/>
      <c r="P2" s="3"/>
      <c r="Q2" s="3"/>
      <c r="R2" s="3"/>
      <c r="S2" s="3"/>
      <c r="T2" s="3"/>
      <c r="U2" s="1"/>
      <c r="V2" s="1"/>
      <c r="W2" s="1"/>
      <c r="X2" s="1"/>
      <c r="Y2" s="1"/>
      <c r="Z2" s="1"/>
      <c r="AA2" s="1"/>
      <c r="AB2" s="1"/>
      <c r="AC2" s="1"/>
      <c r="AD2" s="1"/>
      <c r="AE2" s="1"/>
      <c r="AF2" s="1"/>
      <c r="AG2" s="1"/>
      <c r="AH2" s="1"/>
    </row>
    <row r="3" spans="1:34">
      <c r="A3" s="1636" t="str">
        <f>IF('INTERIM-CERTIFICATION'!$M$5="","CHARTER #: Enter Charter # on INTERIM-CERTIFICATION Worksheet",(_xlfn.CONCAT("CHARTER #: ",'INTERIM-CERTIFICATION'!$M$5)))</f>
        <v>CHARTER #: 971</v>
      </c>
      <c r="B3" s="1636"/>
      <c r="C3" s="1636"/>
      <c r="D3" s="10"/>
      <c r="E3" s="10"/>
      <c r="F3" s="11"/>
      <c r="G3" s="11"/>
      <c r="H3" s="156"/>
      <c r="I3" s="11"/>
      <c r="J3" s="156"/>
      <c r="K3" s="1"/>
      <c r="L3" s="158"/>
      <c r="M3" s="158"/>
      <c r="N3" s="1215"/>
      <c r="O3" s="1216"/>
      <c r="P3" s="3"/>
      <c r="Q3" s="3"/>
      <c r="R3" s="3"/>
      <c r="S3" s="3"/>
      <c r="T3" s="3"/>
      <c r="U3" s="1"/>
      <c r="V3" s="1"/>
      <c r="W3" s="1"/>
      <c r="X3" s="1"/>
      <c r="Y3" s="1"/>
      <c r="Z3" s="1"/>
      <c r="AA3" s="1"/>
      <c r="AB3" s="1"/>
      <c r="AC3" s="1"/>
      <c r="AD3" s="1"/>
      <c r="AE3" s="1"/>
      <c r="AF3" s="1"/>
      <c r="AG3" s="1"/>
      <c r="AH3" s="1"/>
    </row>
    <row r="4" spans="1:34">
      <c r="B4" s="52"/>
      <c r="C4" s="52"/>
      <c r="D4" s="159" t="str">
        <f>'1st Interim-ADA'!J4</f>
        <v>Fiscal Year 2021-22 First Interim Report</v>
      </c>
      <c r="E4" s="159"/>
      <c r="F4" s="52"/>
      <c r="G4" s="52"/>
      <c r="H4" s="52"/>
      <c r="I4" s="52"/>
      <c r="J4" s="52"/>
      <c r="K4" s="52"/>
      <c r="L4" s="52"/>
      <c r="M4" s="52"/>
      <c r="N4" s="1215"/>
      <c r="O4" s="1216"/>
      <c r="P4" s="3"/>
      <c r="Q4" s="3"/>
      <c r="R4" s="3"/>
      <c r="S4" s="3"/>
      <c r="T4" s="3"/>
      <c r="U4" s="1"/>
      <c r="V4" s="1"/>
      <c r="W4" s="1"/>
      <c r="X4" s="1"/>
      <c r="Y4" s="1"/>
      <c r="Z4" s="1"/>
      <c r="AA4" s="1"/>
      <c r="AB4" s="1"/>
      <c r="AC4" s="1"/>
      <c r="AD4" s="1"/>
      <c r="AE4" s="1"/>
      <c r="AF4" s="1"/>
      <c r="AG4" s="1"/>
      <c r="AH4" s="1"/>
    </row>
    <row r="5" spans="1:34">
      <c r="A5" s="11"/>
      <c r="B5" s="11"/>
      <c r="C5" s="52"/>
      <c r="D5" s="159" t="s">
        <v>351</v>
      </c>
      <c r="E5" s="159"/>
      <c r="F5" s="52"/>
      <c r="G5" s="52"/>
      <c r="H5" s="160"/>
      <c r="I5" s="52"/>
      <c r="J5" s="160"/>
      <c r="K5" s="1"/>
      <c r="L5" s="161"/>
      <c r="M5" s="161"/>
      <c r="N5" s="1215"/>
      <c r="O5" s="1216"/>
      <c r="P5" s="3"/>
      <c r="Q5" s="3"/>
      <c r="R5" s="3"/>
      <c r="S5" s="3"/>
      <c r="T5" s="3"/>
      <c r="U5" s="1"/>
      <c r="V5" s="1"/>
      <c r="W5" s="1"/>
      <c r="X5" s="1"/>
      <c r="Y5" s="1"/>
      <c r="Z5" s="1"/>
      <c r="AA5" s="1"/>
      <c r="AB5" s="1"/>
      <c r="AC5" s="1"/>
      <c r="AD5" s="1"/>
      <c r="AE5" s="1"/>
      <c r="AF5" s="1"/>
      <c r="AG5" s="1"/>
      <c r="AH5" s="1"/>
    </row>
    <row r="6" spans="1:34" ht="16.5" thickBot="1">
      <c r="A6" s="1089" t="str">
        <f>Instructions!H1</f>
        <v>Rev. 5/28/2021</v>
      </c>
      <c r="B6" s="11"/>
      <c r="C6" s="11"/>
      <c r="D6" s="11"/>
      <c r="E6" s="11"/>
      <c r="F6" s="11"/>
      <c r="G6" s="11"/>
      <c r="H6" s="156"/>
      <c r="I6" s="11"/>
      <c r="J6" s="156"/>
      <c r="K6" s="1"/>
      <c r="L6" s="158"/>
      <c r="M6" s="158"/>
      <c r="N6" s="1215"/>
      <c r="O6" s="1216"/>
      <c r="P6" s="3"/>
      <c r="Q6" s="3"/>
      <c r="R6" s="3"/>
      <c r="S6" s="3"/>
      <c r="T6" s="3"/>
      <c r="U6" s="1"/>
      <c r="V6" s="1"/>
      <c r="W6" s="1"/>
      <c r="X6" s="1"/>
      <c r="Y6" s="1"/>
      <c r="Z6" s="1"/>
      <c r="AA6" s="1"/>
      <c r="AB6" s="1"/>
      <c r="AC6" s="1"/>
      <c r="AD6" s="1"/>
      <c r="AE6" s="1"/>
      <c r="AF6" s="1"/>
      <c r="AG6" s="1"/>
      <c r="AH6" s="1"/>
    </row>
    <row r="7" spans="1:34">
      <c r="A7" s="241"/>
      <c r="B7" s="236"/>
      <c r="C7" s="236"/>
      <c r="D7" s="298"/>
      <c r="E7" s="299"/>
      <c r="F7" s="299" t="s">
        <v>549</v>
      </c>
      <c r="G7" s="299" t="str">
        <f>$F$7</f>
        <v>First Interim</v>
      </c>
      <c r="H7" s="300"/>
      <c r="I7" s="299" t="str">
        <f>$F$7</f>
        <v>First Interim</v>
      </c>
      <c r="J7" s="300"/>
      <c r="K7" s="299" t="str">
        <f>$F$7</f>
        <v>First Interim</v>
      </c>
      <c r="L7" s="301"/>
      <c r="M7" s="225"/>
      <c r="N7" s="1215"/>
      <c r="O7" s="1216"/>
      <c r="P7" s="3"/>
      <c r="Q7" s="3"/>
      <c r="R7" s="3"/>
      <c r="S7" s="3"/>
      <c r="T7" s="3"/>
      <c r="U7" s="1"/>
      <c r="V7" s="1"/>
      <c r="W7" s="1"/>
      <c r="X7" s="1"/>
      <c r="Y7" s="1"/>
      <c r="Z7" s="1"/>
      <c r="AA7" s="1"/>
      <c r="AB7" s="1"/>
      <c r="AC7" s="1"/>
      <c r="AD7" s="1"/>
      <c r="AE7" s="1"/>
      <c r="AF7" s="1"/>
      <c r="AG7" s="1"/>
      <c r="AH7" s="1"/>
    </row>
    <row r="8" spans="1:34">
      <c r="A8" s="1696" t="s">
        <v>228</v>
      </c>
      <c r="B8" s="1697"/>
      <c r="C8" s="1697"/>
      <c r="D8" s="53"/>
      <c r="E8" s="13" t="s">
        <v>230</v>
      </c>
      <c r="F8" s="213" t="s">
        <v>550</v>
      </c>
      <c r="G8" s="13" t="s">
        <v>232</v>
      </c>
      <c r="H8" s="162" t="s">
        <v>231</v>
      </c>
      <c r="I8" s="13" t="s">
        <v>232</v>
      </c>
      <c r="J8" s="162" t="s">
        <v>231</v>
      </c>
      <c r="K8" s="13" t="s">
        <v>232</v>
      </c>
      <c r="L8" s="302" t="s">
        <v>231</v>
      </c>
      <c r="M8" s="225"/>
      <c r="N8" s="1215"/>
      <c r="O8" s="1216"/>
      <c r="P8" s="3"/>
      <c r="Q8" s="3"/>
      <c r="R8" s="3"/>
      <c r="S8" s="3"/>
      <c r="T8" s="3"/>
      <c r="U8" s="1"/>
      <c r="V8" s="1"/>
      <c r="W8" s="1"/>
      <c r="X8" s="1"/>
      <c r="Y8" s="1"/>
      <c r="Z8" s="1"/>
      <c r="AA8" s="1"/>
      <c r="AB8" s="1"/>
      <c r="AC8" s="1"/>
      <c r="AD8" s="1"/>
      <c r="AE8" s="1"/>
      <c r="AF8" s="1"/>
      <c r="AG8" s="1"/>
      <c r="AH8" s="1"/>
    </row>
    <row r="9" spans="1:34">
      <c r="A9" s="67"/>
      <c r="B9" s="1"/>
      <c r="C9" s="1"/>
      <c r="D9" s="53"/>
      <c r="E9" s="13" t="s">
        <v>234</v>
      </c>
      <c r="F9" s="13" t="s">
        <v>551</v>
      </c>
      <c r="G9" s="13" t="s">
        <v>234</v>
      </c>
      <c r="H9" s="162" t="s">
        <v>161</v>
      </c>
      <c r="I9" s="13" t="s">
        <v>234</v>
      </c>
      <c r="J9" s="162" t="s">
        <v>161</v>
      </c>
      <c r="K9" s="13" t="s">
        <v>234</v>
      </c>
      <c r="L9" s="302" t="s">
        <v>161</v>
      </c>
      <c r="M9" s="225"/>
      <c r="N9" s="1215"/>
      <c r="O9" s="1216"/>
      <c r="P9" s="3"/>
      <c r="Q9" s="3"/>
      <c r="R9" s="3"/>
      <c r="S9" s="3"/>
      <c r="T9" s="3"/>
      <c r="U9" s="1"/>
      <c r="V9" s="1"/>
      <c r="W9" s="1"/>
      <c r="X9" s="1"/>
      <c r="Y9" s="1"/>
      <c r="Z9" s="1"/>
      <c r="AA9" s="1"/>
      <c r="AB9" s="1"/>
      <c r="AC9" s="1"/>
      <c r="AD9" s="1"/>
      <c r="AE9" s="1"/>
      <c r="AF9" s="1"/>
      <c r="AG9" s="1"/>
      <c r="AH9" s="1"/>
    </row>
    <row r="10" spans="1:34" ht="16.5" thickBot="1">
      <c r="A10" s="303"/>
      <c r="B10" s="163"/>
      <c r="C10" s="163"/>
      <c r="D10" s="54"/>
      <c r="E10" s="207" t="str">
        <f>'1st Interim-Restricted MYP'!E10</f>
        <v>2021-22</v>
      </c>
      <c r="F10" s="206" t="str">
        <f>'1st Interim-Restricted MYP'!F10</f>
        <v>2021</v>
      </c>
      <c r="G10" s="14" t="str">
        <f>'1st Interim-Restricted MYP'!G10</f>
        <v>2021-22</v>
      </c>
      <c r="H10" s="164"/>
      <c r="I10" s="14" t="str">
        <f>'1st Interim-Restricted MYP'!I10</f>
        <v>2022-23</v>
      </c>
      <c r="J10" s="164"/>
      <c r="K10" s="14" t="str">
        <f>'1st Interim-Restricted MYP'!K10</f>
        <v>2023-24</v>
      </c>
      <c r="L10" s="304"/>
      <c r="M10" s="225"/>
      <c r="N10" s="1215"/>
      <c r="O10" s="1216"/>
      <c r="P10" s="3"/>
      <c r="Q10" s="3"/>
      <c r="R10" s="3"/>
      <c r="S10" s="3"/>
      <c r="T10" s="3"/>
      <c r="U10" s="1"/>
      <c r="V10" s="1"/>
      <c r="W10" s="1"/>
      <c r="X10" s="1"/>
      <c r="Y10" s="1"/>
      <c r="Z10" s="1"/>
      <c r="AA10" s="1"/>
      <c r="AB10" s="1"/>
      <c r="AC10" s="1"/>
      <c r="AD10" s="1"/>
      <c r="AE10" s="1"/>
      <c r="AF10" s="1"/>
      <c r="AG10" s="1"/>
      <c r="AH10" s="1"/>
    </row>
    <row r="11" spans="1:34" ht="16.5" thickTop="1">
      <c r="A11" s="305" t="s">
        <v>235</v>
      </c>
      <c r="B11" s="1"/>
      <c r="C11" s="1"/>
      <c r="D11" s="336"/>
      <c r="E11" s="12"/>
      <c r="F11" s="12"/>
      <c r="G11" s="1714"/>
      <c r="H11" s="1714"/>
      <c r="I11" s="1714"/>
      <c r="J11" s="1714"/>
      <c r="K11" s="1714"/>
      <c r="L11" s="1715"/>
      <c r="M11" s="1435"/>
      <c r="N11" s="1215"/>
      <c r="O11" s="1216"/>
      <c r="P11" s="3"/>
      <c r="Q11" s="3"/>
      <c r="R11" s="3"/>
      <c r="S11" s="3"/>
      <c r="T11" s="3"/>
      <c r="U11" s="1"/>
      <c r="V11" s="1"/>
      <c r="W11" s="1"/>
      <c r="X11" s="1"/>
      <c r="Y11" s="1"/>
      <c r="Z11" s="1"/>
      <c r="AA11" s="1"/>
      <c r="AB11" s="1"/>
      <c r="AC11" s="1"/>
      <c r="AD11" s="1"/>
      <c r="AE11" s="1"/>
      <c r="AF11" s="1"/>
      <c r="AG11" s="1"/>
      <c r="AH11" s="1"/>
    </row>
    <row r="12" spans="1:34">
      <c r="A12" s="305"/>
      <c r="B12" s="146" t="s">
        <v>236</v>
      </c>
      <c r="C12" s="140"/>
      <c r="D12" s="140"/>
      <c r="E12" s="364"/>
      <c r="F12" s="364"/>
      <c r="G12" s="1746"/>
      <c r="H12" s="1746"/>
      <c r="I12" s="1746"/>
      <c r="J12" s="1746"/>
      <c r="K12" s="1746"/>
      <c r="L12" s="1747"/>
      <c r="M12" s="1435"/>
      <c r="N12" s="1215"/>
      <c r="O12" s="1216"/>
      <c r="P12" s="3"/>
      <c r="Q12" s="3"/>
      <c r="R12" s="3"/>
      <c r="S12" s="3"/>
      <c r="T12" s="3"/>
      <c r="U12" s="1"/>
      <c r="V12" s="1"/>
      <c r="W12" s="1"/>
      <c r="X12" s="1"/>
      <c r="Y12" s="1"/>
      <c r="Z12" s="1"/>
      <c r="AA12" s="1"/>
      <c r="AB12" s="1"/>
      <c r="AC12" s="1"/>
      <c r="AD12" s="1"/>
      <c r="AE12" s="1"/>
      <c r="AF12" s="1"/>
      <c r="AG12" s="1"/>
      <c r="AH12" s="1"/>
    </row>
    <row r="13" spans="1:34">
      <c r="A13" s="305"/>
      <c r="B13" s="146"/>
      <c r="C13" s="279" t="s">
        <v>237</v>
      </c>
      <c r="D13" s="345">
        <v>8011</v>
      </c>
      <c r="E13" s="758">
        <f>'1st Interim-Unrestricted MYP'!E13+'1st Interim-Restricted MYP'!E13</f>
        <v>6570869</v>
      </c>
      <c r="F13" s="758">
        <f>'1st Interim-Unrestricted MYP'!F13+'1st Interim-Restricted MYP'!F13</f>
        <v>1304810</v>
      </c>
      <c r="G13" s="767">
        <f>'1st Interim-Unrestricted MYP'!G13+'1st Interim-Restricted MYP'!G13</f>
        <v>7115528</v>
      </c>
      <c r="H13" s="49">
        <f>IF(E13&lt;1," ",IF(G13&lt;1," ",(G13-E13)/E13))</f>
        <v>8.2889949563748719E-2</v>
      </c>
      <c r="I13" s="761">
        <f>'1st Interim-Unrestricted MYP'!I13+'1st Interim-Restricted MYP'!I13</f>
        <v>8634091</v>
      </c>
      <c r="J13" s="49">
        <f>IF(G13&lt;1," ",IF(I13&lt;1," ",(I13-G13)/G13))</f>
        <v>0.21341536425687596</v>
      </c>
      <c r="K13" s="761">
        <f>'1st Interim-Unrestricted MYP'!K13+'1st Interim-Restricted MYP'!K13</f>
        <v>9025809</v>
      </c>
      <c r="L13" s="365">
        <f>IF(I13&lt;1," ",IF(K13&lt;1," ",(K13-I13)/I13))</f>
        <v>4.5368759722361048E-2</v>
      </c>
      <c r="M13" s="1434"/>
      <c r="N13" s="1215"/>
      <c r="O13" s="1216"/>
      <c r="P13" s="3" t="s">
        <v>521</v>
      </c>
      <c r="Q13" s="3"/>
      <c r="R13" s="3"/>
      <c r="S13" s="3"/>
      <c r="T13" s="3"/>
      <c r="U13" s="1"/>
      <c r="V13" s="1"/>
      <c r="W13" s="1"/>
      <c r="X13" s="1"/>
      <c r="Y13" s="1"/>
      <c r="Z13" s="1"/>
      <c r="AA13" s="1"/>
      <c r="AB13" s="1"/>
      <c r="AC13" s="1"/>
      <c r="AD13" s="1"/>
      <c r="AE13" s="1"/>
      <c r="AF13" s="1"/>
      <c r="AG13" s="1"/>
      <c r="AH13" s="1"/>
    </row>
    <row r="14" spans="1:34">
      <c r="A14" s="305"/>
      <c r="B14" s="146"/>
      <c r="C14" s="279" t="s">
        <v>239</v>
      </c>
      <c r="D14" s="345">
        <v>8012</v>
      </c>
      <c r="E14" s="758">
        <f>'1st Interim-Unrestricted MYP'!E14+'1st Interim-Restricted MYP'!E14</f>
        <v>1743325</v>
      </c>
      <c r="F14" s="758">
        <f>'1st Interim-Unrestricted MYP'!F14+'1st Interim-Restricted MYP'!F14</f>
        <v>609490</v>
      </c>
      <c r="G14" s="767">
        <f>'1st Interim-Unrestricted MYP'!G14+'1st Interim-Restricted MYP'!G14</f>
        <v>0</v>
      </c>
      <c r="H14" s="49" t="str">
        <f>IF(E14&lt;1," ",IF(G14&lt;1," ",(G14-E14)/E14))</f>
        <v xml:space="preserve"> </v>
      </c>
      <c r="I14" s="761">
        <f>'1st Interim-Unrestricted MYP'!I14+'1st Interim-Restricted MYP'!I14</f>
        <v>0</v>
      </c>
      <c r="J14" s="49" t="str">
        <f>IF(G14&lt;1," ",IF(I14&lt;1," ",(I14-G14)/G14))</f>
        <v xml:space="preserve"> </v>
      </c>
      <c r="K14" s="762">
        <f>'1st Interim-Unrestricted MYP'!K14+'1st Interim-Restricted MYP'!K14</f>
        <v>0</v>
      </c>
      <c r="L14" s="365" t="str">
        <f>IF(I14&lt;1," ",IF(K14&lt;1," ",(K14-I14)/I14))</f>
        <v xml:space="preserve"> </v>
      </c>
      <c r="M14" s="1434"/>
      <c r="N14" s="1215"/>
      <c r="O14" s="1216"/>
      <c r="P14" s="3"/>
      <c r="Q14" s="3"/>
      <c r="R14" s="3"/>
      <c r="S14" s="3"/>
      <c r="T14" s="3"/>
      <c r="U14" s="1"/>
      <c r="V14" s="1"/>
      <c r="W14" s="1"/>
      <c r="X14" s="1"/>
      <c r="Y14" s="1"/>
      <c r="Z14" s="1"/>
      <c r="AA14" s="1"/>
      <c r="AB14" s="1"/>
      <c r="AC14" s="1"/>
      <c r="AD14" s="1"/>
      <c r="AE14" s="1"/>
      <c r="AF14" s="1"/>
      <c r="AG14" s="1"/>
      <c r="AH14" s="1"/>
    </row>
    <row r="15" spans="1:34">
      <c r="A15" s="67"/>
      <c r="B15" s="146"/>
      <c r="C15" s="279" t="s">
        <v>240</v>
      </c>
      <c r="D15" s="345">
        <v>8019</v>
      </c>
      <c r="E15" s="758">
        <f>'1st Interim-Unrestricted MYP'!E15+'1st Interim-Restricted MYP'!E15</f>
        <v>0</v>
      </c>
      <c r="F15" s="758">
        <f>'1st Interim-Unrestricted MYP'!F15+'1st Interim-Restricted MYP'!F15</f>
        <v>0</v>
      </c>
      <c r="G15" s="767">
        <f>'1st Interim-Unrestricted MYP'!G15+'1st Interim-Restricted MYP'!G15</f>
        <v>0</v>
      </c>
      <c r="H15" s="49" t="str">
        <f>IF(E15&lt;1," ",IF(G15&lt;1," ",(G15-E15)/E15))</f>
        <v xml:space="preserve"> </v>
      </c>
      <c r="I15" s="761">
        <f>'1st Interim-Unrestricted MYP'!I15+'1st Interim-Restricted MYP'!I15</f>
        <v>0</v>
      </c>
      <c r="J15" s="49" t="str">
        <f>IF(G15&lt;1," ",IF(I15&lt;1," ",(I15-G15)/G15))</f>
        <v xml:space="preserve"> </v>
      </c>
      <c r="K15" s="762">
        <f>'1st Interim-Unrestricted MYP'!K15+'1st Interim-Restricted MYP'!K15</f>
        <v>0</v>
      </c>
      <c r="L15" s="365" t="str">
        <f>IF(I15&lt;1," ",IF(K15&lt;1," ",(K15-I15)/I15))</f>
        <v xml:space="preserve"> </v>
      </c>
      <c r="M15" s="1434"/>
      <c r="N15" s="1215"/>
      <c r="O15" s="1216"/>
      <c r="P15" s="3"/>
      <c r="Q15" s="3"/>
      <c r="R15" s="3"/>
      <c r="S15" s="3"/>
      <c r="T15" s="3"/>
      <c r="U15" s="1"/>
      <c r="V15" s="1"/>
      <c r="W15" s="1"/>
      <c r="X15" s="1"/>
      <c r="Y15" s="1"/>
      <c r="Z15" s="1"/>
      <c r="AA15" s="1"/>
      <c r="AB15" s="1"/>
      <c r="AC15" s="1"/>
      <c r="AD15" s="1"/>
      <c r="AE15" s="1"/>
      <c r="AF15" s="1"/>
      <c r="AG15" s="1"/>
      <c r="AH15" s="1"/>
    </row>
    <row r="16" spans="1:34">
      <c r="A16" s="67"/>
      <c r="B16" s="146"/>
      <c r="C16" s="279" t="s">
        <v>241</v>
      </c>
      <c r="D16" s="345">
        <v>8096</v>
      </c>
      <c r="E16" s="758">
        <f>'1st Interim-Unrestricted MYP'!E16+'1st Interim-Restricted MYP'!E16</f>
        <v>295369</v>
      </c>
      <c r="F16" s="758">
        <f>'1st Interim-Unrestricted MYP'!F16+'1st Interim-Restricted MYP'!F16</f>
        <v>0</v>
      </c>
      <c r="G16" s="767">
        <f>'1st Interim-Unrestricted MYP'!G16+'1st Interim-Restricted MYP'!G16</f>
        <v>0</v>
      </c>
      <c r="H16" s="49" t="str">
        <f>IF(E16&lt;1," ",IF(G16&lt;1," ",(G16-E16)/E16))</f>
        <v xml:space="preserve"> </v>
      </c>
      <c r="I16" s="762">
        <f>'1st Interim-Unrestricted MYP'!I16+'1st Interim-Restricted MYP'!I16</f>
        <v>0</v>
      </c>
      <c r="J16" s="30" t="str">
        <f>IF(G16&lt;1," ",IF(I16&lt;1," ",(I16-G16)/G16))</f>
        <v xml:space="preserve"> </v>
      </c>
      <c r="K16" s="762">
        <f>'1st Interim-Unrestricted MYP'!K16+'1st Interim-Restricted MYP'!K16</f>
        <v>0</v>
      </c>
      <c r="L16" s="310" t="str">
        <f>IF(I16&lt;1," ",IF(K16&lt;1," ",(K16-I16)/I16))</f>
        <v xml:space="preserve"> </v>
      </c>
      <c r="M16" s="1236"/>
      <c r="N16" s="1215"/>
      <c r="O16" s="1216"/>
      <c r="P16" s="3"/>
      <c r="Q16" s="3"/>
      <c r="R16" s="3"/>
      <c r="S16" s="3"/>
      <c r="T16" s="3"/>
      <c r="U16" s="1"/>
      <c r="V16" s="1"/>
      <c r="W16" s="1"/>
      <c r="X16" s="1"/>
      <c r="Y16" s="1"/>
      <c r="Z16" s="1"/>
      <c r="AA16" s="1"/>
      <c r="AB16" s="1"/>
      <c r="AC16" s="1"/>
      <c r="AD16" s="1"/>
      <c r="AE16" s="1"/>
      <c r="AF16" s="1"/>
      <c r="AG16" s="1"/>
      <c r="AH16" s="1"/>
    </row>
    <row r="17" spans="1:34">
      <c r="A17" s="67"/>
      <c r="B17" s="146" t="s">
        <v>242</v>
      </c>
      <c r="C17" s="279"/>
      <c r="D17" s="345" t="s">
        <v>243</v>
      </c>
      <c r="E17" s="758">
        <f>'1st Interim-Unrestricted MYP'!E17+'1st Interim-Restricted MYP'!E17</f>
        <v>1235086</v>
      </c>
      <c r="F17" s="758">
        <f>'1st Interim-Unrestricted MYP'!F17+'1st Interim-Restricted MYP'!F17</f>
        <v>238696.69</v>
      </c>
      <c r="G17" s="976">
        <f>'1st Interim-Unrestricted MYP'!G17+'1st Interim-Restricted MYP'!G17</f>
        <v>1805349</v>
      </c>
      <c r="H17" s="49">
        <f>IF(E17&lt;1," ",IF(G17&lt;1," ",(G17-E17)/E17))</f>
        <v>0.4617192648932949</v>
      </c>
      <c r="I17" s="758">
        <f>'1st Interim-Unrestricted MYP'!I17+'1st Interim-Restricted MYP'!I17</f>
        <v>776247.31920000003</v>
      </c>
      <c r="J17" s="30">
        <f>IF(G17&lt;1," ",IF(I17&lt;1," ",(I17-G17)/G17))</f>
        <v>-0.57002921917036542</v>
      </c>
      <c r="K17" s="758">
        <f>'1st Interim-Unrestricted MYP'!K17+'1st Interim-Restricted MYP'!K17</f>
        <v>650389</v>
      </c>
      <c r="L17" s="310">
        <f>IF(I17&lt;1," ",IF(K17&lt;1," ",(K17-I17)/I17))</f>
        <v>-0.16213688097462228</v>
      </c>
      <c r="M17" s="1236"/>
      <c r="N17" s="1215"/>
      <c r="O17" s="1216"/>
      <c r="P17" s="3"/>
      <c r="Q17" s="3"/>
      <c r="R17" s="3"/>
      <c r="S17" s="3"/>
      <c r="T17" s="3"/>
      <c r="U17" s="1"/>
      <c r="V17" s="1"/>
      <c r="W17" s="1"/>
      <c r="X17" s="1"/>
      <c r="Y17" s="1"/>
      <c r="Z17" s="1"/>
      <c r="AA17" s="1"/>
      <c r="AB17" s="1"/>
      <c r="AC17" s="1"/>
      <c r="AD17" s="1"/>
      <c r="AE17" s="1"/>
      <c r="AF17" s="1"/>
      <c r="AG17" s="1"/>
      <c r="AH17" s="1"/>
    </row>
    <row r="18" spans="1:34">
      <c r="A18" s="67"/>
      <c r="B18" s="146" t="s">
        <v>244</v>
      </c>
      <c r="C18" s="140"/>
      <c r="D18" s="140"/>
      <c r="E18" s="829"/>
      <c r="F18" s="829"/>
      <c r="G18" s="873"/>
      <c r="H18" s="504"/>
      <c r="I18" s="829"/>
      <c r="J18" s="504"/>
      <c r="K18" s="829"/>
      <c r="L18" s="505"/>
      <c r="M18" s="1236"/>
      <c r="N18" s="1215"/>
      <c r="O18" s="1216"/>
      <c r="P18" s="3"/>
      <c r="Q18" s="3"/>
      <c r="R18" s="3"/>
      <c r="S18" s="3"/>
      <c r="T18" s="3"/>
      <c r="U18" s="1"/>
      <c r="V18" s="1"/>
      <c r="W18" s="1"/>
      <c r="X18" s="1"/>
      <c r="Y18" s="1"/>
      <c r="Z18" s="1"/>
      <c r="AA18" s="1"/>
      <c r="AB18" s="1"/>
      <c r="AC18" s="1"/>
      <c r="AD18" s="1"/>
      <c r="AE18" s="1"/>
      <c r="AF18" s="1"/>
      <c r="AG18" s="1"/>
      <c r="AH18" s="1"/>
    </row>
    <row r="19" spans="1:34">
      <c r="A19" s="67"/>
      <c r="B19" s="146"/>
      <c r="C19" s="279" t="s">
        <v>245</v>
      </c>
      <c r="D19" s="345">
        <v>8560</v>
      </c>
      <c r="E19" s="758">
        <f>'1st Interim-Unrestricted MYP'!E19+'1st Interim-Restricted MYP'!E19</f>
        <v>124721.05751999999</v>
      </c>
      <c r="F19" s="758">
        <f>'1st Interim-Unrestricted MYP'!F19+'1st Interim-Restricted MYP'!F19</f>
        <v>0</v>
      </c>
      <c r="G19" s="767">
        <f>'1st Interim-Unrestricted MYP'!G19+'1st Interim-Restricted MYP'!G19</f>
        <v>114262.96309679998</v>
      </c>
      <c r="H19" s="49">
        <f>IF(E19&lt;1," ",IF(G19&lt;1," ",(G19-E19)/E19))</f>
        <v>-8.3851874183499181E-2</v>
      </c>
      <c r="I19" s="764">
        <f>'1st Interim-Unrestricted MYP'!I19+'1st Interim-Restricted MYP'!I19</f>
        <v>135530.21583839998</v>
      </c>
      <c r="J19" s="30">
        <f>IF(G19&lt;1," ",IF(I19&lt;1," ",(I19-G19)/G19))</f>
        <v>0.18612551403540137</v>
      </c>
      <c r="K19" s="762">
        <f>'1st Interim-Unrestricted MYP'!K19+'1st Interim-Restricted MYP'!K19</f>
        <v>135530.21583839998</v>
      </c>
      <c r="L19" s="310">
        <f>IF(I19&lt;1," ",IF(K19&lt;1," ",(K19-I19)/I19))</f>
        <v>0</v>
      </c>
      <c r="M19" s="1236"/>
      <c r="N19" s="1215"/>
      <c r="O19" s="1216"/>
      <c r="P19" s="3"/>
      <c r="Q19" s="3"/>
      <c r="R19" s="3"/>
      <c r="S19" s="3"/>
      <c r="T19" s="3"/>
      <c r="U19" s="1"/>
      <c r="V19" s="1"/>
      <c r="W19" s="1"/>
      <c r="X19" s="1"/>
      <c r="Y19" s="1"/>
      <c r="Z19" s="1"/>
      <c r="AA19" s="1"/>
      <c r="AB19" s="1"/>
      <c r="AC19" s="1"/>
      <c r="AD19" s="1"/>
      <c r="AE19" s="1"/>
      <c r="AF19" s="1"/>
      <c r="AG19" s="1"/>
      <c r="AH19" s="1"/>
    </row>
    <row r="20" spans="1:34">
      <c r="A20" s="67"/>
      <c r="B20" s="146"/>
      <c r="C20" s="279" t="s">
        <v>246</v>
      </c>
      <c r="D20" s="345">
        <v>8560</v>
      </c>
      <c r="E20" s="763">
        <f>'1st Interim-Unrestricted MYP'!E20+'1st Interim-Restricted MYP'!E20</f>
        <v>40742.212123199999</v>
      </c>
      <c r="F20" s="763">
        <f>'1st Interim-Unrestricted MYP'!F20+'1st Interim-Restricted MYP'!F20</f>
        <v>0</v>
      </c>
      <c r="G20" s="976">
        <f>'1st Interim-Unrestricted MYP'!G20+'1st Interim-Restricted MYP'!G20</f>
        <v>45564.985283999995</v>
      </c>
      <c r="H20" s="30">
        <f>IF(E20&lt;1," ",IF(G20&lt;1," ",(G20-E20)/E20))</f>
        <v>0.1183728842758085</v>
      </c>
      <c r="I20" s="764">
        <f>'1st Interim-Unrestricted MYP'!I20+'1st Interim-Restricted MYP'!I20</f>
        <v>54045.791591999994</v>
      </c>
      <c r="J20" s="30">
        <f>IF(G20&lt;1," ",IF(I20&lt;1," ",(I20-G20)/G20))</f>
        <v>0.1861255140354014</v>
      </c>
      <c r="K20" s="762">
        <f>'1st Interim-Unrestricted MYP'!K20+'1st Interim-Restricted MYP'!K20</f>
        <v>54045.791591999994</v>
      </c>
      <c r="L20" s="310">
        <f>IF(I20&lt;1," ",IF(K20&lt;1," ",(K20-I20)/I20))</f>
        <v>0</v>
      </c>
      <c r="M20" s="1236"/>
      <c r="N20" s="1215"/>
      <c r="O20" s="1216"/>
      <c r="P20" s="3"/>
      <c r="Q20" s="3"/>
      <c r="R20" s="3"/>
      <c r="S20" s="3"/>
      <c r="T20" s="3"/>
      <c r="U20" s="1"/>
      <c r="V20" s="1"/>
      <c r="W20" s="1"/>
      <c r="X20" s="1"/>
      <c r="Y20" s="1"/>
      <c r="Z20" s="1"/>
      <c r="AA20" s="1"/>
      <c r="AB20" s="1"/>
      <c r="AC20" s="1"/>
      <c r="AD20" s="1"/>
      <c r="AE20" s="1"/>
      <c r="AF20" s="1"/>
      <c r="AG20" s="1"/>
      <c r="AH20" s="1"/>
    </row>
    <row r="21" spans="1:34">
      <c r="A21" s="67"/>
      <c r="B21" s="146"/>
      <c r="C21" s="279" t="s">
        <v>247</v>
      </c>
      <c r="D21" s="345" t="s">
        <v>248</v>
      </c>
      <c r="E21" s="758">
        <f>'1st Interim-Unrestricted MYP'!E21+'1st Interim-Restricted MYP'!E21</f>
        <v>1411056.1600000001</v>
      </c>
      <c r="F21" s="758">
        <f>'1st Interim-Unrestricted MYP'!F21+'1st Interim-Restricted MYP'!F21</f>
        <v>23.46</v>
      </c>
      <c r="G21" s="767">
        <f>'1st Interim-Unrestricted MYP'!G21+'1st Interim-Restricted MYP'!G21</f>
        <v>1464194.0899999999</v>
      </c>
      <c r="H21" s="49">
        <f>IF(E21&lt;1," ",IF(G21&lt;1," ",(G21-E21)/E21))</f>
        <v>3.7658267265563476E-2</v>
      </c>
      <c r="I21" s="761">
        <f>'1st Interim-Unrestricted MYP'!I21+'1st Interim-Restricted MYP'!I21</f>
        <v>1324998.8522319999</v>
      </c>
      <c r="J21" s="30">
        <f>IF(G21&lt;1," ",IF(I21&lt;1," ",(I21-G21)/G21))</f>
        <v>-9.5066110919762012E-2</v>
      </c>
      <c r="K21" s="762">
        <f>'1st Interim-Unrestricted MYP'!K21+'1st Interim-Restricted MYP'!K21</f>
        <v>1366206.3302364149</v>
      </c>
      <c r="L21" s="310">
        <f>IF(I21&lt;1," ",IF(K21&lt;1," ",(K21-I21)/I21))</f>
        <v>3.110001033963149E-2</v>
      </c>
      <c r="M21" s="1236"/>
      <c r="N21" s="1215"/>
      <c r="O21" s="1216"/>
      <c r="P21" s="3"/>
      <c r="Q21" s="3"/>
      <c r="R21" s="3"/>
      <c r="S21" s="3"/>
      <c r="T21" s="3"/>
      <c r="U21" s="1"/>
      <c r="V21" s="1"/>
      <c r="W21" s="1"/>
      <c r="X21" s="1"/>
      <c r="Y21" s="1"/>
      <c r="Z21" s="1"/>
      <c r="AA21" s="1"/>
      <c r="AB21" s="1"/>
      <c r="AC21" s="1"/>
      <c r="AD21" s="1"/>
      <c r="AE21" s="1"/>
      <c r="AF21" s="1"/>
      <c r="AG21" s="1"/>
      <c r="AH21" s="1"/>
    </row>
    <row r="22" spans="1:34">
      <c r="A22" s="67"/>
      <c r="B22" s="146" t="s">
        <v>249</v>
      </c>
      <c r="C22" s="140"/>
      <c r="D22" s="140"/>
      <c r="E22" s="829"/>
      <c r="F22" s="829"/>
      <c r="G22" s="873"/>
      <c r="H22" s="504"/>
      <c r="I22" s="829"/>
      <c r="J22" s="504"/>
      <c r="K22" s="829"/>
      <c r="L22" s="505"/>
      <c r="M22" s="1236"/>
      <c r="N22" s="1215"/>
      <c r="O22" s="1216"/>
      <c r="P22" s="3"/>
      <c r="Q22" s="3"/>
      <c r="R22" s="3"/>
      <c r="S22" s="3"/>
      <c r="T22" s="3"/>
      <c r="U22" s="1"/>
      <c r="V22" s="1"/>
      <c r="W22" s="1"/>
      <c r="X22" s="1"/>
      <c r="Y22" s="1"/>
      <c r="Z22" s="1"/>
      <c r="AA22" s="1"/>
      <c r="AB22" s="1"/>
      <c r="AC22" s="1"/>
      <c r="AD22" s="1"/>
      <c r="AE22" s="1"/>
      <c r="AF22" s="1"/>
      <c r="AG22" s="1"/>
      <c r="AH22" s="1"/>
    </row>
    <row r="23" spans="1:34">
      <c r="A23" s="67"/>
      <c r="B23" s="146"/>
      <c r="C23" s="279" t="s">
        <v>250</v>
      </c>
      <c r="D23" s="345">
        <v>8660</v>
      </c>
      <c r="E23" s="758">
        <f>'1st Interim-Unrestricted MYP'!E23+'1st Interim-Restricted MYP'!E23</f>
        <v>0</v>
      </c>
      <c r="F23" s="758">
        <f>'1st Interim-Unrestricted MYP'!F23+'1st Interim-Restricted MYP'!F23</f>
        <v>0</v>
      </c>
      <c r="G23" s="976">
        <f>'1st Interim-Unrestricted MYP'!G23+'1st Interim-Restricted MYP'!G23</f>
        <v>0</v>
      </c>
      <c r="H23" s="49" t="str">
        <f>IF(E23&lt;1," ",IF(G23&lt;1," ",(G23-E23)/E23))</f>
        <v xml:space="preserve"> </v>
      </c>
      <c r="I23" s="761">
        <f>'1st Interim-Unrestricted MYP'!I23+'1st Interim-Restricted MYP'!I23</f>
        <v>0</v>
      </c>
      <c r="J23" s="30" t="str">
        <f>IF(G23&lt;1," ",IF(I23&lt;1," ",(I23-G23)/G23))</f>
        <v xml:space="preserve"> </v>
      </c>
      <c r="K23" s="762">
        <f>'1st Interim-Unrestricted MYP'!K23+'1st Interim-Restricted MYP'!K23</f>
        <v>0</v>
      </c>
      <c r="L23" s="310" t="str">
        <f>IF(I23&lt;1," ",IF(K23&lt;1," ",(K23-I23)/I23))</f>
        <v xml:space="preserve"> </v>
      </c>
      <c r="M23" s="1236"/>
      <c r="N23" s="1215"/>
      <c r="O23" s="1216"/>
      <c r="P23" s="3"/>
      <c r="Q23" s="3"/>
      <c r="R23" s="3"/>
      <c r="S23" s="3"/>
      <c r="T23" s="3"/>
      <c r="U23" s="1"/>
      <c r="V23" s="1"/>
      <c r="W23" s="1"/>
      <c r="X23" s="1"/>
      <c r="Y23" s="1"/>
      <c r="Z23" s="1"/>
      <c r="AA23" s="1"/>
      <c r="AB23" s="1"/>
      <c r="AC23" s="1"/>
      <c r="AD23" s="1"/>
      <c r="AE23" s="1"/>
      <c r="AF23" s="1"/>
      <c r="AG23" s="1"/>
      <c r="AH23" s="1"/>
    </row>
    <row r="24" spans="1:34">
      <c r="A24" s="67"/>
      <c r="B24" s="146"/>
      <c r="C24" s="279" t="s">
        <v>251</v>
      </c>
      <c r="D24" s="345">
        <v>8792</v>
      </c>
      <c r="E24" s="758">
        <f>'1st Interim-Unrestricted MYP'!E24+'1st Interim-Restricted MYP'!E24</f>
        <v>497550</v>
      </c>
      <c r="F24" s="758">
        <f>'1st Interim-Unrestricted MYP'!F24+'1st Interim-Restricted MYP'!F24</f>
        <v>0</v>
      </c>
      <c r="G24" s="977">
        <f>'1st Interim-Unrestricted MYP'!G24+'1st Interim-Restricted MYP'!G24</f>
        <v>0</v>
      </c>
      <c r="H24" s="30" t="str">
        <f>IF(E24&lt;1," ",IF(G24&lt;1," ",(G24-E24)/E24))</f>
        <v xml:space="preserve"> </v>
      </c>
      <c r="I24" s="761">
        <f>'1st Interim-Unrestricted MYP'!I24+'1st Interim-Restricted MYP'!I24</f>
        <v>0</v>
      </c>
      <c r="J24" s="30" t="str">
        <f>IF(G24&lt;1," ",IF(I24&lt;1," ",(I24-G24)/G24))</f>
        <v xml:space="preserve"> </v>
      </c>
      <c r="K24" s="762">
        <f>'1st Interim-Unrestricted MYP'!K24+'1st Interim-Restricted MYP'!K24</f>
        <v>0</v>
      </c>
      <c r="L24" s="310" t="str">
        <f>IF(I24&lt;1," ",IF(K24&lt;1," ",(K24-I24)/I24))</f>
        <v xml:space="preserve"> </v>
      </c>
      <c r="M24" s="1236"/>
      <c r="N24" s="1215"/>
      <c r="O24" s="1216"/>
      <c r="P24" s="3"/>
      <c r="Q24" s="3"/>
      <c r="R24" s="3"/>
      <c r="S24" s="3"/>
      <c r="T24" s="3"/>
      <c r="U24" s="1"/>
      <c r="V24" s="1"/>
      <c r="W24" s="1"/>
      <c r="X24" s="1"/>
      <c r="Y24" s="1"/>
      <c r="Z24" s="1"/>
      <c r="AA24" s="1"/>
      <c r="AB24" s="1"/>
      <c r="AC24" s="1"/>
      <c r="AD24" s="1"/>
      <c r="AE24" s="1"/>
      <c r="AF24" s="1"/>
      <c r="AG24" s="1"/>
      <c r="AH24" s="1"/>
    </row>
    <row r="25" spans="1:34" ht="16.5" thickBot="1">
      <c r="A25" s="67"/>
      <c r="B25" s="896"/>
      <c r="C25" s="929" t="s">
        <v>252</v>
      </c>
      <c r="D25" s="930" t="s">
        <v>253</v>
      </c>
      <c r="E25" s="766">
        <f>'1st Interim-Unrestricted MYP'!E25+'1st Interim-Restricted MYP'!E25</f>
        <v>2007500</v>
      </c>
      <c r="F25" s="892">
        <f>'1st Interim-Unrestricted MYP'!F25+'1st Interim-Restricted MYP'!F25</f>
        <v>12194</v>
      </c>
      <c r="G25" s="978">
        <f>'1st Interim-Unrestricted MYP'!G25+'1st Interim-Restricted MYP'!G25</f>
        <v>2012869</v>
      </c>
      <c r="H25" s="593">
        <f>IF(E25&lt;1," ",IF(G25&lt;1," ",(G25-E25)/E25))</f>
        <v>2.6744707347447073E-3</v>
      </c>
      <c r="I25" s="766">
        <f>'1st Interim-Unrestricted MYP'!I25+'1st Interim-Restricted MYP'!I25</f>
        <v>62789</v>
      </c>
      <c r="J25" s="95">
        <f>IF(G25&lt;1," ",IF(I25&lt;1," ",(I25-G25)/G25))</f>
        <v>-0.96880621640057052</v>
      </c>
      <c r="K25" s="766">
        <f>'1st Interim-Unrestricted MYP'!K25+'1st Interim-Restricted MYP'!K25</f>
        <v>64742</v>
      </c>
      <c r="L25" s="311">
        <f>IF(I25&lt;1," ",IF(K25&lt;1," ",(K25-I25)/I25))</f>
        <v>3.1104174298045836E-2</v>
      </c>
      <c r="M25" s="1236"/>
      <c r="N25" s="1215"/>
      <c r="O25" s="1216"/>
      <c r="P25" s="3"/>
      <c r="Q25" s="3"/>
      <c r="R25" s="3"/>
      <c r="S25" s="3"/>
      <c r="T25" s="3"/>
      <c r="U25" s="1"/>
      <c r="V25" s="1"/>
      <c r="W25" s="1"/>
      <c r="X25" s="1"/>
      <c r="Y25" s="1"/>
      <c r="Z25" s="1"/>
      <c r="AA25" s="1"/>
      <c r="AB25" s="1"/>
      <c r="AC25" s="1"/>
      <c r="AD25" s="1"/>
      <c r="AE25" s="1"/>
      <c r="AF25" s="1"/>
      <c r="AG25" s="1"/>
      <c r="AH25" s="1"/>
    </row>
    <row r="26" spans="1:34" ht="17.25" thickTop="1" thickBot="1">
      <c r="A26" s="67"/>
      <c r="B26" s="909" t="s">
        <v>254</v>
      </c>
      <c r="C26" s="954"/>
      <c r="D26" s="928"/>
      <c r="E26" s="897">
        <f>SUM(E13:E25)</f>
        <v>13926218.429643201</v>
      </c>
      <c r="F26" s="897">
        <f>SUM(F13:F25)</f>
        <v>2165214.15</v>
      </c>
      <c r="G26" s="897">
        <f>SUM(G13:G25)</f>
        <v>12557768.0383808</v>
      </c>
      <c r="H26" s="898">
        <f>IF(E26&lt;1," ",IF(G26&lt;1," ",(G26-E26)/E26))</f>
        <v>-9.826432050997648E-2</v>
      </c>
      <c r="I26" s="897">
        <f>SUM(I13:I25)</f>
        <v>10987702.1788624</v>
      </c>
      <c r="J26" s="898">
        <f>IF(G26&lt;1," ",IF(I26&lt;1," ",(I26-G26)/G26))</f>
        <v>-0.12502746146606192</v>
      </c>
      <c r="K26" s="897">
        <f>SUM(K13:K25)</f>
        <v>11296722.337666815</v>
      </c>
      <c r="L26" s="899">
        <f>IF(I26&lt;1," ",IF(K26&lt;1," ",(K26-I26)/I26))</f>
        <v>2.8124184089999504E-2</v>
      </c>
      <c r="M26" s="1236"/>
      <c r="N26" s="1215"/>
      <c r="O26" s="1216"/>
      <c r="P26" s="3"/>
      <c r="Q26" s="3"/>
      <c r="R26" s="3"/>
      <c r="S26" s="3"/>
      <c r="T26" s="3"/>
      <c r="U26" s="1"/>
      <c r="V26" s="1"/>
      <c r="W26" s="1"/>
      <c r="X26" s="1"/>
      <c r="Y26" s="1"/>
      <c r="Z26" s="1"/>
      <c r="AA26" s="1"/>
      <c r="AB26" s="1"/>
      <c r="AC26" s="1"/>
      <c r="AD26" s="1"/>
      <c r="AE26" s="1"/>
      <c r="AF26" s="1"/>
      <c r="AG26" s="1"/>
      <c r="AH26" s="1"/>
    </row>
    <row r="27" spans="1:34" ht="16.5" thickTop="1">
      <c r="A27" s="67"/>
      <c r="B27" s="1"/>
      <c r="C27" s="1"/>
      <c r="D27" s="1"/>
      <c r="E27" s="268"/>
      <c r="F27" s="268"/>
      <c r="G27" s="1723"/>
      <c r="H27" s="1723"/>
      <c r="I27" s="1723"/>
      <c r="J27" s="1723"/>
      <c r="K27" s="1723"/>
      <c r="L27" s="1724"/>
      <c r="M27" s="1435"/>
      <c r="N27" s="1215"/>
      <c r="O27" s="1216"/>
      <c r="P27" s="3"/>
      <c r="Q27" s="3"/>
      <c r="R27" s="3"/>
      <c r="S27" s="3"/>
      <c r="T27" s="3"/>
      <c r="U27" s="1"/>
      <c r="V27" s="1"/>
      <c r="W27" s="1"/>
      <c r="X27" s="1"/>
      <c r="Y27" s="1"/>
      <c r="Z27" s="1"/>
      <c r="AA27" s="1"/>
      <c r="AB27" s="1"/>
      <c r="AC27" s="1"/>
      <c r="AD27" s="1"/>
      <c r="AE27" s="1"/>
      <c r="AF27" s="1"/>
      <c r="AG27" s="1"/>
      <c r="AH27" s="1"/>
    </row>
    <row r="28" spans="1:34">
      <c r="A28" s="1739" t="s">
        <v>255</v>
      </c>
      <c r="B28" s="1740"/>
      <c r="C28" s="1740"/>
      <c r="D28" s="154"/>
      <c r="E28" s="82"/>
      <c r="F28" s="82"/>
      <c r="G28" s="1721"/>
      <c r="H28" s="1721"/>
      <c r="I28" s="1721"/>
      <c r="J28" s="1721"/>
      <c r="K28" s="1721"/>
      <c r="L28" s="1722"/>
      <c r="M28" s="1435"/>
      <c r="N28" s="1215"/>
      <c r="O28" s="1216"/>
      <c r="P28" s="3"/>
      <c r="Q28" s="3"/>
      <c r="R28" s="3"/>
      <c r="S28" s="3"/>
      <c r="T28" s="3"/>
      <c r="U28" s="1"/>
      <c r="V28" s="1"/>
      <c r="W28" s="1"/>
      <c r="X28" s="1"/>
      <c r="Y28" s="1"/>
      <c r="Z28" s="1"/>
      <c r="AA28" s="1"/>
      <c r="AB28" s="1"/>
      <c r="AC28" s="1"/>
      <c r="AD28" s="1"/>
      <c r="AE28" s="1"/>
      <c r="AF28" s="1"/>
      <c r="AG28" s="1"/>
      <c r="AH28" s="1"/>
    </row>
    <row r="29" spans="1:34">
      <c r="A29" s="67"/>
      <c r="B29" s="146" t="s">
        <v>256</v>
      </c>
      <c r="C29" s="279"/>
      <c r="D29" s="278" t="s">
        <v>257</v>
      </c>
      <c r="E29" s="758">
        <f>'1st Interim-Unrestricted MYP'!E29+'1st Interim-Restricted MYP'!E29</f>
        <v>3107137.0799999996</v>
      </c>
      <c r="F29" s="758">
        <f>'1st Interim-Unrestricted MYP'!F29+'1st Interim-Restricted MYP'!F29</f>
        <v>608931.24999999953</v>
      </c>
      <c r="G29" s="768">
        <f>'1st Interim-Unrestricted MYP'!G29+'1st Interim-Restricted MYP'!G29</f>
        <v>2912955.128</v>
      </c>
      <c r="H29" s="30">
        <f t="shared" ref="H29:H37" si="0">IF(E29&lt;1," ",IF(G29&lt;1," ",(G29-E29)/E29))</f>
        <v>-6.2495457072012928E-2</v>
      </c>
      <c r="I29" s="762">
        <f>'1st Interim-Unrestricted MYP'!I29+'1st Interim-Restricted MYP'!I29</f>
        <v>2615148.1986910012</v>
      </c>
      <c r="J29" s="30">
        <f t="shared" ref="J29:J37" si="1">IF(G29&lt;1," ",IF(I29&lt;1," ",(I29-G29)/G29))</f>
        <v>-0.10223533017944891</v>
      </c>
      <c r="K29" s="762">
        <f>'1st Interim-Unrestricted MYP'!K29+'1st Interim-Restricted MYP'!K29</f>
        <v>2676865.6961801089</v>
      </c>
      <c r="L29" s="310">
        <f t="shared" ref="L29:L37" si="2">IF(I29&lt;1," ",IF(K29&lt;1," ",(K29-I29)/I29))</f>
        <v>2.3600000000000055E-2</v>
      </c>
      <c r="M29" s="1236"/>
      <c r="N29" s="1215"/>
      <c r="O29" s="1216"/>
      <c r="P29" s="3"/>
      <c r="Q29" s="3"/>
      <c r="R29" s="3"/>
      <c r="S29" s="3"/>
      <c r="T29" s="3"/>
      <c r="U29" s="1"/>
      <c r="V29" s="1"/>
      <c r="W29" s="1"/>
      <c r="X29" s="1"/>
      <c r="Y29" s="1"/>
      <c r="Z29" s="1"/>
      <c r="AA29" s="1"/>
      <c r="AB29" s="1"/>
      <c r="AC29" s="1"/>
      <c r="AD29" s="1"/>
      <c r="AE29" s="1"/>
      <c r="AF29" s="1"/>
      <c r="AG29" s="1"/>
      <c r="AH29" s="1"/>
    </row>
    <row r="30" spans="1:34">
      <c r="A30" s="67"/>
      <c r="B30" s="146" t="s">
        <v>258</v>
      </c>
      <c r="C30" s="279"/>
      <c r="D30" s="278" t="s">
        <v>259</v>
      </c>
      <c r="E30" s="758">
        <f>'1st Interim-Unrestricted MYP'!E30+'1st Interim-Restricted MYP'!E30</f>
        <v>2000593.7250000001</v>
      </c>
      <c r="F30" s="758">
        <f>'1st Interim-Unrestricted MYP'!F30+'1st Interim-Restricted MYP'!F30</f>
        <v>590041.90999999992</v>
      </c>
      <c r="G30" s="768">
        <f>'1st Interim-Unrestricted MYP'!G30+'1st Interim-Restricted MYP'!G30</f>
        <v>2347300.4649999999</v>
      </c>
      <c r="H30" s="30">
        <f t="shared" si="0"/>
        <v>0.17330192315783643</v>
      </c>
      <c r="I30" s="762">
        <f>'1st Interim-Unrestricted MYP'!I30+'1st Interim-Restricted MYP'!I30</f>
        <v>1609503.9273225002</v>
      </c>
      <c r="J30" s="30">
        <f t="shared" si="1"/>
        <v>-0.31431704150303558</v>
      </c>
      <c r="K30" s="762">
        <f>'1st Interim-Unrestricted MYP'!K30+'1st Interim-Restricted MYP'!K30</f>
        <v>1647488.2200073113</v>
      </c>
      <c r="L30" s="310">
        <f t="shared" si="2"/>
        <v>2.36000000000001E-2</v>
      </c>
      <c r="M30" s="1236"/>
      <c r="N30" s="1215"/>
      <c r="O30" s="1216"/>
      <c r="P30" s="3"/>
      <c r="Q30" s="3"/>
      <c r="R30" s="3"/>
      <c r="S30" s="3"/>
      <c r="T30" s="3"/>
      <c r="U30" s="1"/>
      <c r="V30" s="1"/>
      <c r="W30" s="1"/>
      <c r="X30" s="1"/>
      <c r="Y30" s="1"/>
      <c r="Z30" s="1"/>
      <c r="AA30" s="1"/>
      <c r="AB30" s="1"/>
      <c r="AC30" s="1"/>
      <c r="AD30" s="1"/>
      <c r="AE30" s="1"/>
      <c r="AF30" s="1"/>
      <c r="AG30" s="1"/>
      <c r="AH30" s="1"/>
    </row>
    <row r="31" spans="1:34">
      <c r="A31" s="67"/>
      <c r="B31" s="146" t="s">
        <v>260</v>
      </c>
      <c r="C31" s="279"/>
      <c r="D31" s="278" t="s">
        <v>261</v>
      </c>
      <c r="E31" s="758">
        <f>'1st Interim-Unrestricted MYP'!E31+'1st Interim-Restricted MYP'!E31</f>
        <v>1932412.9765118002</v>
      </c>
      <c r="F31" s="758">
        <f>'1st Interim-Unrestricted MYP'!F31+'1st Interim-Restricted MYP'!F31</f>
        <v>481976.13999999897</v>
      </c>
      <c r="G31" s="768">
        <f>'1st Interim-Unrestricted MYP'!G31+'1st Interim-Restricted MYP'!G31</f>
        <v>2107110.9999999995</v>
      </c>
      <c r="H31" s="30">
        <f t="shared" si="0"/>
        <v>9.0404083191133841E-2</v>
      </c>
      <c r="I31" s="762">
        <f>'1st Interim-Unrestricted MYP'!I31+'1st Interim-Restricted MYP'!I31</f>
        <v>1882210.4774808935</v>
      </c>
      <c r="J31" s="30">
        <f t="shared" si="1"/>
        <v>-0.10673406503933874</v>
      </c>
      <c r="K31" s="762">
        <f>'1st Interim-Unrestricted MYP'!K31+'1st Interim-Restricted MYP'!K31</f>
        <v>1943105.5269495163</v>
      </c>
      <c r="L31" s="310">
        <f t="shared" si="2"/>
        <v>3.2352943625158906E-2</v>
      </c>
      <c r="M31" s="1236"/>
      <c r="N31" s="1215"/>
      <c r="O31" s="1216"/>
      <c r="P31" s="3"/>
      <c r="Q31" s="3"/>
      <c r="R31" s="3"/>
      <c r="S31" s="3"/>
      <c r="T31" s="3"/>
      <c r="U31" s="1"/>
      <c r="V31" s="1"/>
      <c r="W31" s="1"/>
      <c r="X31" s="1"/>
      <c r="Y31" s="1"/>
      <c r="Z31" s="1"/>
      <c r="AA31" s="1"/>
      <c r="AB31" s="1"/>
      <c r="AC31" s="1"/>
      <c r="AD31" s="1"/>
      <c r="AE31" s="1"/>
      <c r="AF31" s="1"/>
      <c r="AG31" s="1"/>
      <c r="AH31" s="1"/>
    </row>
    <row r="32" spans="1:34">
      <c r="A32" s="67"/>
      <c r="B32" s="146" t="s">
        <v>262</v>
      </c>
      <c r="C32" s="279"/>
      <c r="D32" s="278" t="s">
        <v>263</v>
      </c>
      <c r="E32" s="758">
        <f>'1st Interim-Unrestricted MYP'!E32+'1st Interim-Restricted MYP'!E32</f>
        <v>741252.35</v>
      </c>
      <c r="F32" s="758">
        <f>'1st Interim-Unrestricted MYP'!F32+'1st Interim-Restricted MYP'!F32</f>
        <v>524593.58000000007</v>
      </c>
      <c r="G32" s="768">
        <f>'1st Interim-Unrestricted MYP'!G32+'1st Interim-Restricted MYP'!G32</f>
        <v>741149.85</v>
      </c>
      <c r="H32" s="30">
        <f t="shared" si="0"/>
        <v>-1.382794941560725E-4</v>
      </c>
      <c r="I32" s="762">
        <f>'1st Interim-Unrestricted MYP'!I32+'1st Interim-Restricted MYP'!I32</f>
        <v>507532.84700000001</v>
      </c>
      <c r="J32" s="30">
        <f t="shared" si="1"/>
        <v>-0.31520886498189266</v>
      </c>
      <c r="K32" s="762">
        <f>'1st Interim-Unrestricted MYP'!K32+'1st Interim-Restricted MYP'!K32</f>
        <v>517683.50393999997</v>
      </c>
      <c r="L32" s="310">
        <f t="shared" si="2"/>
        <v>1.9999999999999914E-2</v>
      </c>
      <c r="M32" s="1236"/>
      <c r="N32" s="1215"/>
      <c r="O32" s="1216"/>
      <c r="P32" s="3"/>
      <c r="Q32" s="3"/>
      <c r="R32" s="3"/>
      <c r="S32" s="3"/>
      <c r="T32" s="3"/>
      <c r="U32" s="1"/>
      <c r="V32" s="1"/>
      <c r="W32" s="1"/>
      <c r="X32" s="1"/>
      <c r="Y32" s="1"/>
      <c r="Z32" s="1"/>
      <c r="AA32" s="1"/>
      <c r="AB32" s="1"/>
      <c r="AC32" s="1"/>
      <c r="AD32" s="1"/>
      <c r="AE32" s="1"/>
      <c r="AF32" s="1"/>
      <c r="AG32" s="1"/>
      <c r="AH32" s="1"/>
    </row>
    <row r="33" spans="1:34">
      <c r="A33" s="67"/>
      <c r="B33" s="146" t="s">
        <v>264</v>
      </c>
      <c r="C33" s="279"/>
      <c r="D33" s="278" t="s">
        <v>265</v>
      </c>
      <c r="E33" s="758">
        <f>'1st Interim-Unrestricted MYP'!E33+'1st Interim-Restricted MYP'!E33</f>
        <v>4365488.45</v>
      </c>
      <c r="F33" s="758">
        <f>'1st Interim-Unrestricted MYP'!F33+'1st Interim-Restricted MYP'!F33</f>
        <v>1464263.3299999991</v>
      </c>
      <c r="G33" s="768">
        <f>'1st Interim-Unrestricted MYP'!G33+'1st Interim-Restricted MYP'!G33</f>
        <v>4271314.0199999996</v>
      </c>
      <c r="H33" s="30">
        <f t="shared" si="0"/>
        <v>-2.1572484059601767E-2</v>
      </c>
      <c r="I33" s="762">
        <f>'1st Interim-Unrestricted MYP'!I33+'1st Interim-Restricted MYP'!I33</f>
        <v>4036740.3003999996</v>
      </c>
      <c r="J33" s="30">
        <f t="shared" si="1"/>
        <v>-5.491839712595048E-2</v>
      </c>
      <c r="K33" s="762">
        <f>'1st Interim-Unrestricted MYP'!K33+'1st Interim-Restricted MYP'!K33</f>
        <v>4092475.1064079995</v>
      </c>
      <c r="L33" s="310">
        <f t="shared" si="2"/>
        <v>1.3806884233419024E-2</v>
      </c>
      <c r="M33" s="1236"/>
      <c r="N33" s="1215"/>
      <c r="O33" s="1216"/>
      <c r="P33" s="3"/>
      <c r="Q33" s="3"/>
      <c r="R33" s="3"/>
      <c r="S33" s="3"/>
      <c r="T33" s="3"/>
      <c r="U33" s="1"/>
      <c r="V33" s="1"/>
      <c r="W33" s="1"/>
      <c r="X33" s="1"/>
      <c r="Y33" s="1"/>
      <c r="Z33" s="1"/>
      <c r="AA33" s="1"/>
      <c r="AB33" s="1"/>
      <c r="AC33" s="1"/>
      <c r="AD33" s="1"/>
      <c r="AE33" s="1"/>
      <c r="AF33" s="1"/>
      <c r="AG33" s="1"/>
      <c r="AH33" s="1"/>
    </row>
    <row r="34" spans="1:34">
      <c r="A34" s="67"/>
      <c r="B34" s="146" t="s">
        <v>266</v>
      </c>
      <c r="C34" s="279"/>
      <c r="D34" s="278" t="s">
        <v>267</v>
      </c>
      <c r="E34" s="758">
        <f>'1st Interim-Unrestricted MYP'!E34+'1st Interim-Restricted MYP'!E34</f>
        <v>204240.28571428571</v>
      </c>
      <c r="F34" s="758">
        <f>'1st Interim-Unrestricted MYP'!F34+'1st Interim-Restricted MYP'!F34</f>
        <v>0</v>
      </c>
      <c r="G34" s="768">
        <f>'1st Interim-Unrestricted MYP'!G34+'1st Interim-Restricted MYP'!G34</f>
        <v>204240.28571428571</v>
      </c>
      <c r="H34" s="30">
        <f t="shared" si="0"/>
        <v>0</v>
      </c>
      <c r="I34" s="762">
        <f>'1st Interim-Unrestricted MYP'!I34+'1st Interim-Restricted MYP'!I34</f>
        <v>208325.09142857144</v>
      </c>
      <c r="J34" s="30">
        <f t="shared" si="1"/>
        <v>2.000000000000007E-2</v>
      </c>
      <c r="K34" s="762">
        <f>'1st Interim-Unrestricted MYP'!K34+'1st Interim-Restricted MYP'!K34</f>
        <v>212491.59325714287</v>
      </c>
      <c r="L34" s="310">
        <f t="shared" si="2"/>
        <v>2.0000000000000018E-2</v>
      </c>
      <c r="M34" s="1236"/>
      <c r="N34" s="1215"/>
      <c r="O34" s="1216"/>
      <c r="P34" s="3"/>
      <c r="Q34" s="3"/>
      <c r="R34" s="3"/>
      <c r="S34" s="3"/>
      <c r="T34" s="3"/>
      <c r="U34" s="1"/>
      <c r="V34" s="1"/>
      <c r="W34" s="1"/>
      <c r="X34" s="1"/>
      <c r="Y34" s="1"/>
      <c r="Z34" s="1"/>
      <c r="AA34" s="1"/>
      <c r="AB34" s="1"/>
      <c r="AC34" s="1"/>
      <c r="AD34" s="1"/>
      <c r="AE34" s="1"/>
      <c r="AF34" s="1"/>
      <c r="AG34" s="1"/>
      <c r="AH34" s="1"/>
    </row>
    <row r="35" spans="1:34">
      <c r="A35" s="67"/>
      <c r="B35" s="146" t="s">
        <v>268</v>
      </c>
      <c r="C35" s="279"/>
      <c r="D35" s="278" t="s">
        <v>269</v>
      </c>
      <c r="E35" s="758">
        <f>'1st Interim-Unrestricted MYP'!E35+'1st Interim-Restricted MYP'!E35</f>
        <v>0</v>
      </c>
      <c r="F35" s="758">
        <f>'1st Interim-Unrestricted MYP'!F35+'1st Interim-Restricted MYP'!F35</f>
        <v>0</v>
      </c>
      <c r="G35" s="768">
        <f>'1st Interim-Unrestricted MYP'!G35+'1st Interim-Restricted MYP'!G35</f>
        <v>0</v>
      </c>
      <c r="H35" s="30" t="str">
        <f t="shared" si="0"/>
        <v xml:space="preserve"> </v>
      </c>
      <c r="I35" s="762">
        <f>'1st Interim-Unrestricted MYP'!I35+'1st Interim-Restricted MYP'!I35</f>
        <v>0</v>
      </c>
      <c r="J35" s="30" t="str">
        <f t="shared" si="1"/>
        <v xml:space="preserve"> </v>
      </c>
      <c r="K35" s="762">
        <f>'1st Interim-Unrestricted MYP'!K35+'1st Interim-Restricted MYP'!K35</f>
        <v>0</v>
      </c>
      <c r="L35" s="310" t="str">
        <f t="shared" si="2"/>
        <v xml:space="preserve"> </v>
      </c>
      <c r="M35" s="1236"/>
      <c r="N35" s="1215"/>
      <c r="O35" s="1216"/>
      <c r="P35" s="3"/>
      <c r="Q35" s="3"/>
      <c r="R35" s="3"/>
      <c r="S35" s="3"/>
      <c r="T35" s="3"/>
      <c r="U35" s="1"/>
      <c r="V35" s="1"/>
      <c r="W35" s="1"/>
      <c r="X35" s="1"/>
      <c r="Y35" s="1"/>
      <c r="Z35" s="1"/>
      <c r="AA35" s="1"/>
      <c r="AB35" s="1"/>
      <c r="AC35" s="1"/>
      <c r="AD35" s="1"/>
      <c r="AE35" s="1"/>
      <c r="AF35" s="1"/>
      <c r="AG35" s="1"/>
      <c r="AH35" s="1"/>
    </row>
    <row r="36" spans="1:34" ht="16.5" thickBot="1">
      <c r="A36" s="67"/>
      <c r="B36" s="896" t="s">
        <v>270</v>
      </c>
      <c r="C36" s="929"/>
      <c r="D36" s="626" t="s">
        <v>271</v>
      </c>
      <c r="E36" s="892">
        <f>'1st Interim-Unrestricted MYP'!E36+'1st Interim-Restricted MYP'!E36</f>
        <v>52147</v>
      </c>
      <c r="F36" s="892">
        <f>'1st Interim-Unrestricted MYP'!F36+'1st Interim-Restricted MYP'!F36</f>
        <v>0</v>
      </c>
      <c r="G36" s="939">
        <f>'1st Interim-Unrestricted MYP'!G36+'1st Interim-Restricted MYP'!G36</f>
        <v>52147.24</v>
      </c>
      <c r="H36" s="95">
        <f t="shared" si="0"/>
        <v>4.6023740579124921E-6</v>
      </c>
      <c r="I36" s="812">
        <f>'1st Interim-Unrestricted MYP'!I36+'1st Interim-Restricted MYP'!I36</f>
        <v>53190</v>
      </c>
      <c r="J36" s="95">
        <f t="shared" si="1"/>
        <v>1.9996456188285366E-2</v>
      </c>
      <c r="K36" s="812">
        <f>'1st Interim-Unrestricted MYP'!K36+'1st Interim-Restricted MYP'!K36</f>
        <v>54254</v>
      </c>
      <c r="L36" s="311">
        <f t="shared" si="2"/>
        <v>2.0003760105282948E-2</v>
      </c>
      <c r="M36" s="1236"/>
      <c r="N36" s="1215"/>
      <c r="O36" s="1216"/>
      <c r="P36" s="3"/>
      <c r="Q36" s="3"/>
      <c r="R36" s="3"/>
      <c r="S36" s="3"/>
      <c r="T36" s="3"/>
      <c r="U36" s="1"/>
      <c r="V36" s="1"/>
      <c r="W36" s="1"/>
      <c r="X36" s="1"/>
      <c r="Y36" s="1"/>
      <c r="Z36" s="1"/>
      <c r="AA36" s="1"/>
      <c r="AB36" s="1"/>
      <c r="AC36" s="1"/>
      <c r="AD36" s="1"/>
      <c r="AE36" s="1"/>
      <c r="AF36" s="1"/>
      <c r="AG36" s="1"/>
      <c r="AH36" s="1"/>
    </row>
    <row r="37" spans="1:34" ht="17.25" thickTop="1" thickBot="1">
      <c r="A37" s="67"/>
      <c r="B37" s="909" t="s">
        <v>272</v>
      </c>
      <c r="C37" s="954"/>
      <c r="D37" s="955"/>
      <c r="E37" s="897">
        <f>ROUND(SUM(E29:E36),0)</f>
        <v>12403272</v>
      </c>
      <c r="F37" s="897">
        <f>SUM(F29:F36)</f>
        <v>3669806.2099999976</v>
      </c>
      <c r="G37" s="897">
        <f>SUM(G29:G36)</f>
        <v>12636217.988714285</v>
      </c>
      <c r="H37" s="898">
        <f t="shared" si="0"/>
        <v>1.8781011068231449E-2</v>
      </c>
      <c r="I37" s="897">
        <f>SUM(I29:I36)</f>
        <v>10912650.842322966</v>
      </c>
      <c r="J37" s="898">
        <f t="shared" si="1"/>
        <v>-0.13639897221864003</v>
      </c>
      <c r="K37" s="897">
        <f>SUM(K29:K36)</f>
        <v>11144363.646742079</v>
      </c>
      <c r="L37" s="899">
        <f t="shared" si="2"/>
        <v>2.1233411365133428E-2</v>
      </c>
      <c r="M37" s="1236"/>
      <c r="N37" s="1215"/>
      <c r="O37" s="1216"/>
      <c r="P37" s="3"/>
      <c r="Q37" s="3"/>
      <c r="R37" s="3"/>
      <c r="S37" s="3"/>
      <c r="T37" s="3"/>
      <c r="U37" s="1"/>
      <c r="V37" s="1"/>
      <c r="W37" s="1"/>
      <c r="X37" s="1"/>
      <c r="Y37" s="1"/>
      <c r="Z37" s="1"/>
      <c r="AA37" s="1"/>
      <c r="AB37" s="1"/>
      <c r="AC37" s="1"/>
      <c r="AD37" s="1"/>
      <c r="AE37" s="1"/>
      <c r="AF37" s="1"/>
      <c r="AG37" s="1"/>
      <c r="AH37" s="1"/>
    </row>
    <row r="38" spans="1:34" ht="17.25" thickTop="1" thickBot="1">
      <c r="A38" s="67"/>
      <c r="B38" s="1"/>
      <c r="C38" s="1"/>
      <c r="D38" s="167"/>
      <c r="E38" s="276"/>
      <c r="F38" s="276"/>
      <c r="G38" s="1748"/>
      <c r="H38" s="1748"/>
      <c r="I38" s="1748"/>
      <c r="J38" s="1748"/>
      <c r="K38" s="1748"/>
      <c r="L38" s="1749"/>
      <c r="M38" s="1436"/>
      <c r="N38" s="1215"/>
      <c r="O38" s="1216"/>
      <c r="P38" s="3"/>
      <c r="Q38" s="3"/>
      <c r="R38" s="3"/>
      <c r="S38" s="3"/>
      <c r="T38" s="3"/>
      <c r="U38" s="1"/>
      <c r="V38" s="1"/>
      <c r="W38" s="1"/>
      <c r="X38" s="1"/>
      <c r="Y38" s="1"/>
      <c r="Z38" s="1"/>
      <c r="AA38" s="1"/>
      <c r="AB38" s="1"/>
      <c r="AC38" s="1"/>
      <c r="AD38" s="1"/>
      <c r="AE38" s="1"/>
      <c r="AF38" s="1"/>
      <c r="AG38" s="1"/>
      <c r="AH38" s="1"/>
    </row>
    <row r="39" spans="1:34" ht="17.25" thickTop="1" thickBot="1">
      <c r="A39" s="912" t="s">
        <v>273</v>
      </c>
      <c r="B39" s="913"/>
      <c r="C39" s="917"/>
      <c r="D39" s="918"/>
      <c r="E39" s="914">
        <f>SUM(E26-E37)</f>
        <v>1522946.4296432007</v>
      </c>
      <c r="F39" s="914">
        <f>SUM(F26-F37)</f>
        <v>-1504592.0599999977</v>
      </c>
      <c r="G39" s="914">
        <f>SUM(G26-G37)</f>
        <v>-78449.95033348538</v>
      </c>
      <c r="H39" s="915" t="str">
        <f>IF(E39&lt;1," ",IF(G39&lt;1," ",(G39-E39)/E39))</f>
        <v xml:space="preserve"> </v>
      </c>
      <c r="I39" s="914">
        <f>SUM(I26-I37)</f>
        <v>75051.336539434269</v>
      </c>
      <c r="J39" s="915" t="str">
        <f>IF(G39&lt;1," ",IF(I39&lt;1," ",(I39-G39)/G39))</f>
        <v xml:space="preserve"> </v>
      </c>
      <c r="K39" s="914">
        <f>SUM(K26-K37)</f>
        <v>152358.69092473574</v>
      </c>
      <c r="L39" s="916">
        <f>IF(I39&lt;1," ",IF(K39&lt;1," ",(K39-I39)/I39))</f>
        <v>1.0300596624909115</v>
      </c>
      <c r="M39" s="1236"/>
      <c r="N39" s="1215"/>
      <c r="O39" s="1216"/>
      <c r="P39" s="3"/>
      <c r="Q39" s="3"/>
      <c r="R39" s="3"/>
      <c r="S39" s="3"/>
      <c r="T39" s="3"/>
      <c r="U39" s="1"/>
      <c r="V39" s="1"/>
      <c r="W39" s="1"/>
      <c r="X39" s="1"/>
      <c r="Y39" s="1"/>
      <c r="Z39" s="1"/>
      <c r="AA39" s="1"/>
      <c r="AB39" s="1"/>
      <c r="AC39" s="1"/>
      <c r="AD39" s="1"/>
      <c r="AE39" s="1"/>
      <c r="AF39" s="1"/>
      <c r="AG39" s="1"/>
      <c r="AH39" s="1"/>
    </row>
    <row r="40" spans="1:34" ht="16.5" thickTop="1">
      <c r="A40" s="67"/>
      <c r="B40" s="1"/>
      <c r="C40" s="1"/>
      <c r="D40" s="343"/>
      <c r="E40" s="83"/>
      <c r="F40" s="83"/>
      <c r="G40" s="1719"/>
      <c r="H40" s="1719"/>
      <c r="I40" s="1719"/>
      <c r="J40" s="1719"/>
      <c r="K40" s="1719"/>
      <c r="L40" s="1720"/>
      <c r="M40" s="1435"/>
      <c r="N40" s="1215"/>
      <c r="O40" s="1216"/>
      <c r="P40" s="3"/>
      <c r="Q40" s="3"/>
      <c r="R40" s="3"/>
      <c r="S40" s="3"/>
      <c r="T40" s="3"/>
      <c r="U40" s="1"/>
      <c r="V40" s="1"/>
      <c r="W40" s="1"/>
      <c r="X40" s="1"/>
      <c r="Y40" s="1"/>
      <c r="Z40" s="1"/>
      <c r="AA40" s="1"/>
      <c r="AB40" s="1"/>
      <c r="AC40" s="1"/>
      <c r="AD40" s="1"/>
      <c r="AE40" s="1"/>
      <c r="AF40" s="1"/>
      <c r="AG40" s="1"/>
      <c r="AH40" s="1"/>
    </row>
    <row r="41" spans="1:34">
      <c r="A41" s="305" t="s">
        <v>274</v>
      </c>
      <c r="B41" s="1"/>
      <c r="C41" s="154"/>
      <c r="D41" s="344"/>
      <c r="E41" s="82"/>
      <c r="F41" s="82"/>
      <c r="G41" s="1721"/>
      <c r="H41" s="1721"/>
      <c r="I41" s="1721"/>
      <c r="J41" s="1721"/>
      <c r="K41" s="1721"/>
      <c r="L41" s="1722"/>
      <c r="M41" s="1435"/>
      <c r="N41" s="1215"/>
      <c r="O41" s="1216"/>
      <c r="P41" s="3"/>
      <c r="Q41" s="3"/>
      <c r="R41" s="3"/>
      <c r="S41" s="3"/>
      <c r="T41" s="3"/>
      <c r="U41" s="1"/>
      <c r="V41" s="1"/>
      <c r="W41" s="1"/>
      <c r="X41" s="1"/>
      <c r="Y41" s="1"/>
      <c r="Z41" s="1"/>
      <c r="AA41" s="1"/>
      <c r="AB41" s="1"/>
      <c r="AC41" s="1"/>
      <c r="AD41" s="1"/>
      <c r="AE41" s="1"/>
      <c r="AF41" s="1"/>
      <c r="AG41" s="1"/>
      <c r="AH41" s="1"/>
    </row>
    <row r="42" spans="1:34">
      <c r="A42" s="67"/>
      <c r="B42" s="146" t="s">
        <v>275</v>
      </c>
      <c r="C42" s="279"/>
      <c r="D42" s="309">
        <v>8900</v>
      </c>
      <c r="E42" s="762">
        <f>'1st Interim-Unrestricted MYP'!E42+'1st Interim-Restricted MYP'!E42</f>
        <v>0</v>
      </c>
      <c r="F42" s="762">
        <f>'1st Interim-Unrestricted MYP'!F42+'1st Interim-Restricted MYP'!F42</f>
        <v>0</v>
      </c>
      <c r="G42" s="762">
        <f>'1st Interim-Unrestricted MYP'!G42+'1st Interim-Restricted MYP'!G42</f>
        <v>0</v>
      </c>
      <c r="H42" s="30" t="str">
        <f>IF(E42&lt;1," ",IF(G42&lt;1," ",(G42-E42)/E42))</f>
        <v xml:space="preserve"> </v>
      </c>
      <c r="I42" s="762">
        <f>'1st Interim-Unrestricted MYP'!I42+'1st Interim-Restricted MYP'!I42</f>
        <v>0</v>
      </c>
      <c r="J42" s="30" t="str">
        <f>IF(G42&lt;1," ",IF(I42&lt;1," ",(I42-G42)/G42))</f>
        <v xml:space="preserve"> </v>
      </c>
      <c r="K42" s="762">
        <f>'1st Interim-Unrestricted MYP'!K42+'1st Interim-Restricted MYP'!K42</f>
        <v>0</v>
      </c>
      <c r="L42" s="310" t="str">
        <f>IF(I42&lt;1," ",IF(K42&lt;1," ",(K42-I42)/I42))</f>
        <v xml:space="preserve"> </v>
      </c>
      <c r="M42" s="1236"/>
      <c r="N42" s="1215"/>
      <c r="O42" s="1216"/>
      <c r="P42" s="3"/>
      <c r="Q42" s="3"/>
      <c r="R42" s="3"/>
      <c r="S42" s="3"/>
      <c r="T42" s="3"/>
      <c r="U42" s="1"/>
      <c r="V42" s="1"/>
      <c r="W42" s="1"/>
      <c r="X42" s="1"/>
      <c r="Y42" s="1"/>
      <c r="Z42" s="1"/>
      <c r="AA42" s="1"/>
      <c r="AB42" s="1"/>
      <c r="AC42" s="1"/>
      <c r="AD42" s="1"/>
      <c r="AE42" s="1"/>
      <c r="AF42" s="1"/>
      <c r="AG42" s="1"/>
      <c r="AH42" s="1"/>
    </row>
    <row r="43" spans="1:34" ht="16.5" thickBot="1">
      <c r="A43" s="67"/>
      <c r="B43" s="896" t="s">
        <v>276</v>
      </c>
      <c r="C43" s="929"/>
      <c r="D43" s="925">
        <v>7600</v>
      </c>
      <c r="E43" s="812">
        <f>'1st Interim-Unrestricted MYP'!E43+'1st Interim-Restricted MYP'!E43</f>
        <v>0</v>
      </c>
      <c r="F43" s="812">
        <f>'1st Interim-Unrestricted MYP'!F43+'1st Interim-Restricted MYP'!F43</f>
        <v>0</v>
      </c>
      <c r="G43" s="812">
        <f>'1st Interim-Unrestricted MYP'!G43+'1st Interim-Restricted MYP'!G43</f>
        <v>0</v>
      </c>
      <c r="H43" s="95" t="str">
        <f>IF(E43&lt;1," ",IF(G43&lt;1," ",(G43-E43)/E43))</f>
        <v xml:space="preserve"> </v>
      </c>
      <c r="I43" s="812">
        <f>'1st Interim-Unrestricted MYP'!I43+'1st Interim-Restricted MYP'!I43</f>
        <v>0</v>
      </c>
      <c r="J43" s="95" t="str">
        <f>IF(G43&lt;1," ",IF(I43&lt;1," ",(I43-G43)/G43))</f>
        <v xml:space="preserve"> </v>
      </c>
      <c r="K43" s="812">
        <f>'1st Interim-Unrestricted MYP'!K43+'1st Interim-Restricted MYP'!K43</f>
        <v>0</v>
      </c>
      <c r="L43" s="311" t="str">
        <f>IF(I43&lt;1," ",IF(K43&lt;1," ",(K43-I43)/I43))</f>
        <v xml:space="preserve"> </v>
      </c>
      <c r="M43" s="1236"/>
      <c r="N43" s="1215"/>
      <c r="O43" s="1216"/>
      <c r="P43" s="3"/>
      <c r="Q43" s="3"/>
      <c r="R43" s="3"/>
      <c r="S43" s="3"/>
      <c r="T43" s="3"/>
      <c r="U43" s="1"/>
      <c r="V43" s="1"/>
      <c r="W43" s="1"/>
      <c r="X43" s="1"/>
      <c r="Y43" s="1"/>
      <c r="Z43" s="1"/>
      <c r="AA43" s="1"/>
      <c r="AB43" s="1"/>
      <c r="AC43" s="1"/>
      <c r="AD43" s="1"/>
      <c r="AE43" s="1"/>
      <c r="AF43" s="1"/>
      <c r="AG43" s="1"/>
      <c r="AH43" s="1"/>
    </row>
    <row r="44" spans="1:34" ht="17.25" thickTop="1" thickBot="1">
      <c r="A44" s="67"/>
      <c r="B44" s="909" t="s">
        <v>277</v>
      </c>
      <c r="C44" s="954"/>
      <c r="D44" s="955"/>
      <c r="E44" s="897">
        <f>'1st Interim-Unrestricted MYP'!E44+'1st Interim-Restricted MYP'!E44</f>
        <v>0</v>
      </c>
      <c r="F44" s="897">
        <f>F42-F43</f>
        <v>0</v>
      </c>
      <c r="G44" s="897">
        <f>G42-G43</f>
        <v>0</v>
      </c>
      <c r="H44" s="898" t="str">
        <f>IF(E44&lt;1," ",IF(G44&lt;1," ",(G44-E44)/E44))</f>
        <v xml:space="preserve"> </v>
      </c>
      <c r="I44" s="897">
        <f>I42-I43</f>
        <v>0</v>
      </c>
      <c r="J44" s="898" t="str">
        <f>IF(G44&lt;1," ",IF(I44&lt;1," ",(I44-G44)/G44))</f>
        <v xml:space="preserve"> </v>
      </c>
      <c r="K44" s="897">
        <f>K42-K43</f>
        <v>0</v>
      </c>
      <c r="L44" s="899" t="str">
        <f>IF(I44&lt;1," ",IF(K44&lt;1," ",(K44-I44)/I44))</f>
        <v xml:space="preserve"> </v>
      </c>
      <c r="M44" s="1236"/>
      <c r="N44" s="1215"/>
      <c r="O44" s="1216"/>
      <c r="P44" s="3"/>
      <c r="Q44" s="3"/>
      <c r="R44" s="3"/>
      <c r="S44" s="3"/>
      <c r="T44" s="3"/>
      <c r="U44" s="1"/>
      <c r="V44" s="1"/>
      <c r="W44" s="1"/>
      <c r="X44" s="1"/>
      <c r="Y44" s="1"/>
      <c r="Z44" s="1"/>
      <c r="AA44" s="1"/>
      <c r="AB44" s="1"/>
      <c r="AC44" s="1"/>
      <c r="AD44" s="1"/>
      <c r="AE44" s="1"/>
      <c r="AF44" s="1"/>
      <c r="AG44" s="1"/>
      <c r="AH44" s="1"/>
    </row>
    <row r="45" spans="1:34" ht="17.25" thickTop="1" thickBot="1">
      <c r="A45" s="67"/>
      <c r="B45" s="1"/>
      <c r="C45" s="1"/>
      <c r="D45" s="167"/>
      <c r="E45" s="268"/>
      <c r="F45" s="268"/>
      <c r="G45" s="268"/>
      <c r="H45" s="51"/>
      <c r="I45" s="268"/>
      <c r="J45" s="51"/>
      <c r="K45" s="268"/>
      <c r="L45" s="312"/>
      <c r="M45" s="1236"/>
      <c r="N45" s="1215"/>
      <c r="O45" s="1216"/>
      <c r="P45" s="3"/>
      <c r="Q45" s="3"/>
      <c r="R45" s="3"/>
      <c r="S45" s="3"/>
      <c r="T45" s="3"/>
      <c r="U45" s="1"/>
      <c r="V45" s="1"/>
      <c r="W45" s="1"/>
      <c r="X45" s="1"/>
      <c r="Y45" s="1"/>
      <c r="Z45" s="1"/>
      <c r="AA45" s="1"/>
      <c r="AB45" s="1"/>
      <c r="AC45" s="1"/>
      <c r="AD45" s="1"/>
      <c r="AE45" s="1"/>
      <c r="AF45" s="1"/>
      <c r="AG45" s="1"/>
      <c r="AH45" s="1"/>
    </row>
    <row r="46" spans="1:34" ht="17.25" thickTop="1" thickBot="1">
      <c r="A46" s="912" t="s">
        <v>278</v>
      </c>
      <c r="B46" s="913"/>
      <c r="C46" s="917"/>
      <c r="D46" s="918"/>
      <c r="E46" s="914">
        <f>ROUND(E39+E44,0)</f>
        <v>1522946</v>
      </c>
      <c r="F46" s="914">
        <f>F39+F44</f>
        <v>-1504592.0599999977</v>
      </c>
      <c r="G46" s="914">
        <f>G39+G44</f>
        <v>-78449.95033348538</v>
      </c>
      <c r="H46" s="915" t="str">
        <f>IF(E46&lt;1," ",IF(G46&lt;1," ",(G46-E46)/E46))</f>
        <v xml:space="preserve"> </v>
      </c>
      <c r="I46" s="914">
        <f>I39+I44</f>
        <v>75051.336539434269</v>
      </c>
      <c r="J46" s="915" t="str">
        <f>IF(G46&lt;1," ",IF(I46&lt;1," ",(I46-G46)/G46))</f>
        <v xml:space="preserve"> </v>
      </c>
      <c r="K46" s="914">
        <f>K39+K44</f>
        <v>152358.69092473574</v>
      </c>
      <c r="L46" s="916">
        <f>IF(I46&lt;1," ",IF(K46&lt;1," ",(K46-I46)/I46))</f>
        <v>1.0300596624909115</v>
      </c>
      <c r="M46" s="1236"/>
      <c r="N46" s="1215"/>
      <c r="O46" s="1216"/>
      <c r="P46" s="3"/>
      <c r="Q46" s="3"/>
      <c r="R46" s="3"/>
      <c r="S46" s="3"/>
      <c r="T46" s="3"/>
      <c r="U46" s="1"/>
      <c r="V46" s="1"/>
      <c r="W46" s="1"/>
      <c r="X46" s="1"/>
      <c r="Y46" s="1"/>
      <c r="Z46" s="1"/>
      <c r="AA46" s="1"/>
      <c r="AB46" s="1"/>
      <c r="AC46" s="1"/>
      <c r="AD46" s="1"/>
      <c r="AE46" s="1"/>
      <c r="AF46" s="1"/>
      <c r="AG46" s="1"/>
      <c r="AH46" s="1"/>
    </row>
    <row r="47" spans="1:34" ht="16.5" thickTop="1">
      <c r="A47" s="305"/>
      <c r="B47" s="1"/>
      <c r="C47" s="1"/>
      <c r="D47" s="167"/>
      <c r="E47" s="268"/>
      <c r="F47" s="268"/>
      <c r="G47" s="1723"/>
      <c r="H47" s="1723"/>
      <c r="I47" s="1723"/>
      <c r="J47" s="1723"/>
      <c r="K47" s="1723"/>
      <c r="L47" s="1724"/>
      <c r="M47" s="1435"/>
      <c r="N47" s="1215"/>
      <c r="O47" s="1216"/>
      <c r="P47" s="3"/>
      <c r="Q47" s="3"/>
      <c r="R47" s="3"/>
      <c r="S47" s="3"/>
      <c r="T47" s="3"/>
      <c r="U47" s="1"/>
      <c r="V47" s="1"/>
      <c r="W47" s="1"/>
      <c r="X47" s="1"/>
      <c r="Y47" s="1"/>
      <c r="Z47" s="1"/>
      <c r="AA47" s="1"/>
      <c r="AB47" s="1"/>
      <c r="AC47" s="1"/>
      <c r="AD47" s="1"/>
      <c r="AE47" s="1"/>
      <c r="AF47" s="1"/>
      <c r="AG47" s="1"/>
      <c r="AH47" s="1"/>
    </row>
    <row r="48" spans="1:34">
      <c r="A48" s="305" t="s">
        <v>279</v>
      </c>
      <c r="B48" s="1"/>
      <c r="C48" s="154"/>
      <c r="D48" s="344"/>
      <c r="E48" s="268"/>
      <c r="F48" s="268"/>
      <c r="G48" s="1723"/>
      <c r="H48" s="1723"/>
      <c r="I48" s="1723"/>
      <c r="J48" s="1723"/>
      <c r="K48" s="1723"/>
      <c r="L48" s="1724"/>
      <c r="M48" s="1435"/>
      <c r="N48" s="1215"/>
      <c r="O48" s="1216"/>
      <c r="P48" s="3"/>
      <c r="Q48" s="3"/>
      <c r="R48" s="3"/>
      <c r="S48" s="3"/>
      <c r="T48" s="3"/>
      <c r="U48" s="1"/>
      <c r="V48" s="1"/>
      <c r="W48" s="1"/>
      <c r="X48" s="1"/>
      <c r="Y48" s="1"/>
      <c r="Z48" s="1"/>
      <c r="AA48" s="1"/>
      <c r="AB48" s="1"/>
      <c r="AC48" s="1"/>
      <c r="AD48" s="1"/>
      <c r="AE48" s="1"/>
      <c r="AF48" s="1"/>
      <c r="AG48" s="1"/>
      <c r="AH48" s="1"/>
    </row>
    <row r="49" spans="1:38">
      <c r="A49" s="67"/>
      <c r="B49" s="292" t="s">
        <v>280</v>
      </c>
      <c r="C49" s="293"/>
      <c r="D49" s="294">
        <v>9791</v>
      </c>
      <c r="E49" s="762">
        <f>'1st Interim-Unrestricted MYP'!E49+'1st Interim-Restricted MYP'!E49</f>
        <v>2088155.2500000005</v>
      </c>
      <c r="F49" s="762">
        <f>'1st Interim-Unrestricted MYP'!F49+'1st Interim-Restricted MYP'!F49</f>
        <v>2088155.2500000005</v>
      </c>
      <c r="G49" s="762">
        <f>'1st Interim-Unrestricted MYP'!G49+'1st Interim-Restricted MYP'!G49</f>
        <v>2088155.2500000005</v>
      </c>
      <c r="H49" s="1223">
        <f>IF(E49&lt;1," ",IF(G49&lt;1," ",(G49-E49)/E49))</f>
        <v>0</v>
      </c>
      <c r="I49" s="1094"/>
      <c r="J49" s="1097" t="str">
        <f>IF(G49&lt;1," ",IF(I49&lt;1," ",(I49-G49)/G49))</f>
        <v xml:space="preserve"> </v>
      </c>
      <c r="K49" s="1095"/>
      <c r="L49" s="1098" t="str">
        <f>IF(I49&lt;1," ",IF(K49&lt;1," ",(K49-I49)/I49))</f>
        <v xml:space="preserve"> </v>
      </c>
      <c r="M49" s="1434"/>
      <c r="N49" s="1215"/>
      <c r="O49" s="1216"/>
      <c r="P49" s="3"/>
      <c r="Q49" s="3"/>
      <c r="R49" s="3"/>
      <c r="S49" s="3"/>
      <c r="T49" s="3"/>
      <c r="U49" s="1"/>
      <c r="V49" s="1"/>
      <c r="W49" s="1"/>
      <c r="X49" s="1"/>
      <c r="Y49" s="1"/>
      <c r="Z49" s="1"/>
      <c r="AA49" s="1"/>
      <c r="AB49" s="1"/>
      <c r="AC49" s="1"/>
      <c r="AD49" s="1"/>
      <c r="AE49" s="1"/>
      <c r="AF49" s="1"/>
      <c r="AG49" s="1"/>
      <c r="AH49" s="1"/>
    </row>
    <row r="50" spans="1:38">
      <c r="A50" s="67"/>
      <c r="B50" s="314" t="s">
        <v>281</v>
      </c>
      <c r="C50" s="315"/>
      <c r="D50" s="316">
        <v>9792</v>
      </c>
      <c r="E50" s="874"/>
      <c r="F50" s="762">
        <f>'1st Interim-Unrestricted MYP'!F50+'1st Interim-Restricted MYP'!F50</f>
        <v>37475.299999999988</v>
      </c>
      <c r="G50" s="762">
        <f>'1st Interim-Unrestricted MYP'!G50+'1st Interim-Restricted MYP'!G50</f>
        <v>37475.299999999988</v>
      </c>
      <c r="H50" s="621"/>
      <c r="I50" s="797"/>
      <c r="J50" s="594"/>
      <c r="K50" s="795"/>
      <c r="L50" s="596"/>
      <c r="M50" s="1434"/>
      <c r="N50" s="1215"/>
      <c r="O50" s="1216"/>
      <c r="P50" s="3"/>
      <c r="Q50" s="3"/>
      <c r="R50" s="3"/>
      <c r="S50" s="3"/>
      <c r="T50" s="3"/>
      <c r="U50" s="1"/>
      <c r="V50" s="1"/>
      <c r="W50" s="1"/>
      <c r="X50" s="1"/>
      <c r="Y50" s="1"/>
      <c r="Z50" s="1"/>
      <c r="AA50" s="1"/>
      <c r="AB50" s="1"/>
      <c r="AC50" s="1"/>
      <c r="AD50" s="1"/>
      <c r="AE50" s="1"/>
      <c r="AF50" s="1"/>
      <c r="AG50" s="1"/>
      <c r="AH50" s="1"/>
    </row>
    <row r="51" spans="1:38">
      <c r="A51" s="67"/>
      <c r="B51" s="314" t="str">
        <f>'Budget-Restricted MYP'!B51</f>
        <v xml:space="preserve">  Beg Fund Balance at Unaudited Actuals</v>
      </c>
      <c r="C51" s="315"/>
      <c r="D51" s="962"/>
      <c r="E51" s="874"/>
      <c r="F51" s="762">
        <f>'1st Interim-Unrestricted MYP'!F51+'1st Interim-Restricted MYP'!F51</f>
        <v>2125630.5500000003</v>
      </c>
      <c r="G51" s="762">
        <f>'1st Interim-Unrestricted MYP'!G51+'1st Interim-Restricted MYP'!G51</f>
        <v>2125630.5500000003</v>
      </c>
      <c r="H51" s="621"/>
      <c r="I51" s="797"/>
      <c r="J51" s="594"/>
      <c r="K51" s="795"/>
      <c r="L51" s="596"/>
      <c r="M51" s="1434"/>
      <c r="N51" s="1215"/>
      <c r="O51" s="1216"/>
      <c r="P51" s="3"/>
      <c r="Q51" s="3"/>
      <c r="R51" s="3"/>
      <c r="S51" s="3"/>
      <c r="T51" s="3"/>
      <c r="U51" s="1"/>
      <c r="V51" s="1"/>
      <c r="W51" s="1"/>
      <c r="X51" s="1"/>
      <c r="Y51" s="1"/>
      <c r="Z51" s="1"/>
      <c r="AA51" s="1"/>
      <c r="AB51" s="1"/>
      <c r="AC51" s="1"/>
      <c r="AD51" s="1"/>
      <c r="AE51" s="1"/>
      <c r="AF51" s="1"/>
      <c r="AG51" s="1"/>
      <c r="AH51" s="1"/>
    </row>
    <row r="52" spans="1:38">
      <c r="A52" s="67"/>
      <c r="B52" s="314" t="s">
        <v>283</v>
      </c>
      <c r="C52" s="315"/>
      <c r="D52" s="316">
        <v>9793</v>
      </c>
      <c r="E52" s="874"/>
      <c r="F52" s="762">
        <f>'1st Interim-Unrestricted MYP'!F52+'1st Interim-Restricted MYP'!F52</f>
        <v>0</v>
      </c>
      <c r="G52" s="762">
        <f>'1st Interim-Unrestricted MYP'!G52+'1st Interim-Restricted MYP'!G52</f>
        <v>0</v>
      </c>
      <c r="H52" s="621"/>
      <c r="I52" s="1007"/>
      <c r="J52" s="594"/>
      <c r="K52" s="795"/>
      <c r="L52" s="596"/>
      <c r="M52" s="1434"/>
      <c r="N52" s="1215"/>
      <c r="O52" s="1216"/>
      <c r="P52" s="3"/>
      <c r="Q52" s="3"/>
      <c r="R52" s="3"/>
      <c r="S52" s="3"/>
      <c r="T52" s="3"/>
      <c r="U52" s="1"/>
      <c r="V52" s="1"/>
      <c r="W52" s="1"/>
      <c r="X52" s="1"/>
      <c r="Y52" s="1"/>
      <c r="Z52" s="1"/>
      <c r="AA52" s="1"/>
      <c r="AB52" s="1"/>
      <c r="AC52" s="1"/>
      <c r="AD52" s="1"/>
      <c r="AE52" s="1"/>
      <c r="AF52" s="1"/>
      <c r="AG52" s="1"/>
      <c r="AH52" s="1"/>
    </row>
    <row r="53" spans="1:38">
      <c r="A53" s="67"/>
      <c r="B53" s="314" t="s">
        <v>284</v>
      </c>
      <c r="C53" s="315"/>
      <c r="D53" s="316">
        <v>9795</v>
      </c>
      <c r="E53" s="762">
        <f>'1st Interim-Unrestricted MYP'!E53+'1st Interim-Restricted MYP'!E53</f>
        <v>0</v>
      </c>
      <c r="F53" s="762">
        <f>'1st Interim-Unrestricted MYP'!F53+'1st Interim-Restricted MYP'!F53</f>
        <v>0</v>
      </c>
      <c r="G53" s="762">
        <f>'1st Interim-Unrestricted MYP'!G53+'1st Interim-Restricted MYP'!G53</f>
        <v>0</v>
      </c>
      <c r="H53" s="621"/>
      <c r="I53" s="798"/>
      <c r="J53" s="595"/>
      <c r="K53" s="796"/>
      <c r="L53" s="597"/>
      <c r="M53" s="1434"/>
      <c r="N53" s="1215"/>
      <c r="O53" s="1216"/>
      <c r="P53" s="3"/>
      <c r="Q53" s="3"/>
      <c r="R53" s="3"/>
      <c r="S53" s="3"/>
      <c r="T53" s="3"/>
      <c r="U53" s="1"/>
      <c r="V53" s="1"/>
      <c r="W53" s="1"/>
      <c r="X53" s="1"/>
      <c r="Y53" s="1"/>
      <c r="Z53" s="1"/>
      <c r="AA53" s="1"/>
      <c r="AB53" s="1"/>
      <c r="AC53" s="1"/>
      <c r="AD53" s="1"/>
      <c r="AE53" s="1"/>
      <c r="AF53" s="1"/>
      <c r="AG53" s="1"/>
      <c r="AH53" s="1"/>
    </row>
    <row r="54" spans="1:38" ht="16.5" thickBot="1">
      <c r="A54" s="67"/>
      <c r="B54" s="907" t="str">
        <f>'Budget-Restricted MYP'!B54</f>
        <v xml:space="preserve">  Beginning Fund Balance as per Audit Report +/- Restatements</v>
      </c>
      <c r="C54" s="501"/>
      <c r="D54" s="908"/>
      <c r="E54" s="812">
        <f>'1st Interim-Unrestricted MYP'!E54+'1st Interim-Restricted MYP'!E54</f>
        <v>0</v>
      </c>
      <c r="F54" s="812">
        <f>'1st Interim-Unrestricted MYP'!F54+'1st Interim-Restricted MYP'!F54</f>
        <v>2125630.5500000003</v>
      </c>
      <c r="G54" s="812">
        <f>'1st Interim-Unrestricted MYP'!G54+'1st Interim-Restricted MYP'!G54</f>
        <v>2125630.5500000003</v>
      </c>
      <c r="H54" s="1224" t="str">
        <f>IF(E54&lt;1," ",IF(G54&lt;1," ",(G54-E54)/E54))</f>
        <v xml:space="preserve"> </v>
      </c>
      <c r="I54" s="1117">
        <f>'1st Interim-Unrestricted MYP'!I54+'1st Interim-Restricted MYP'!I54</f>
        <v>2047180.2471289167</v>
      </c>
      <c r="J54" s="1221">
        <f>IF(G54&lt;1," ",IF(I54&lt;1," ",(I54-G54)/G54))</f>
        <v>-3.690683824199064E-2</v>
      </c>
      <c r="K54" s="1118">
        <f>'1st Interim-Unrestricted MYP'!K54+'1st Interim-Restricted MYP'!K54</f>
        <v>2122231.8434490208</v>
      </c>
      <c r="L54" s="1222">
        <f>IF(I54&lt;1," ",IF(K54&lt;1," ",(K54-I54)/I54))</f>
        <v>3.666096154716262E-2</v>
      </c>
      <c r="M54" s="1434"/>
      <c r="N54" s="1215"/>
      <c r="O54" s="1216"/>
      <c r="P54" s="3"/>
      <c r="Q54" s="3"/>
      <c r="R54" s="3"/>
      <c r="S54" s="3"/>
      <c r="T54" s="3"/>
      <c r="U54" s="1"/>
      <c r="V54" s="1"/>
      <c r="W54" s="1"/>
      <c r="X54" s="1"/>
      <c r="Y54" s="1"/>
      <c r="Z54" s="1"/>
      <c r="AA54" s="1"/>
      <c r="AB54" s="1"/>
      <c r="AC54" s="1"/>
      <c r="AD54" s="1"/>
      <c r="AE54" s="1"/>
      <c r="AF54" s="1"/>
      <c r="AG54" s="1"/>
      <c r="AH54" s="1"/>
      <c r="AI54" s="1"/>
      <c r="AJ54" s="1"/>
      <c r="AK54" s="1"/>
      <c r="AL54" s="1"/>
    </row>
    <row r="55" spans="1:38" ht="17.25" thickTop="1" thickBot="1">
      <c r="A55" s="67"/>
      <c r="B55" s="909" t="s">
        <v>286</v>
      </c>
      <c r="C55" s="910"/>
      <c r="D55" s="911">
        <v>9790</v>
      </c>
      <c r="E55" s="897">
        <f>'1st Interim-Unrestricted MYP'!E55+'1st Interim-Restricted MYP'!E55</f>
        <v>3611101.6578057152</v>
      </c>
      <c r="F55" s="897">
        <f>'1st Interim-Unrestricted MYP'!F55+'1st Interim-Restricted MYP'!F55</f>
        <v>621038.41000000178</v>
      </c>
      <c r="G55" s="897">
        <f>'1st Interim-Unrestricted MYP'!G55+'1st Interim-Restricted MYP'!G55</f>
        <v>2047180.2471289167</v>
      </c>
      <c r="H55" s="585">
        <f>IF(E55&lt;1," ",IF(G55&lt;1," ",(G55-E55)/E55))</f>
        <v>-0.43308706286244925</v>
      </c>
      <c r="I55" s="897">
        <f>'1st Interim-Unrestricted MYP'!I55+'1st Interim-Restricted MYP'!I55</f>
        <v>2122231.8434490208</v>
      </c>
      <c r="J55" s="585">
        <f>IF(G55&lt;1," ",IF(I55&lt;1," ",(I55-G55)/G55))</f>
        <v>3.666096154716262E-2</v>
      </c>
      <c r="K55" s="897">
        <f>'1st Interim-Unrestricted MYP'!K55+'1st Interim-Restricted MYP'!K55</f>
        <v>2274590.8018988334</v>
      </c>
      <c r="L55" s="588">
        <f>IF(I55&lt;1," ",IF(K55&lt;1," ",(K55-I55)/I55))</f>
        <v>7.1791853901410227E-2</v>
      </c>
      <c r="M55" s="1434"/>
      <c r="N55" s="1215"/>
      <c r="O55" s="1216"/>
      <c r="P55" s="3"/>
      <c r="Q55" s="3"/>
      <c r="R55" s="3"/>
      <c r="S55" s="3"/>
      <c r="T55" s="3"/>
      <c r="U55" s="1"/>
      <c r="V55" s="1"/>
      <c r="W55" s="1"/>
      <c r="X55" s="1"/>
      <c r="Y55" s="1"/>
      <c r="Z55" s="1"/>
      <c r="AA55" s="1"/>
      <c r="AB55" s="1"/>
      <c r="AC55" s="1"/>
      <c r="AD55" s="1"/>
      <c r="AE55" s="1"/>
      <c r="AF55" s="1"/>
      <c r="AG55" s="1"/>
      <c r="AH55" s="1"/>
    </row>
    <row r="56" spans="1:38" ht="16.5" thickTop="1">
      <c r="A56" s="67"/>
      <c r="B56" s="1"/>
      <c r="C56" s="1"/>
      <c r="D56" s="167"/>
      <c r="E56" s="168"/>
      <c r="F56" s="168"/>
      <c r="G56" s="168"/>
      <c r="H56" s="51"/>
      <c r="I56" s="168"/>
      <c r="J56" s="51"/>
      <c r="K56" s="168"/>
      <c r="L56" s="312"/>
      <c r="M56" s="1236"/>
      <c r="N56" s="1215"/>
      <c r="O56" s="1216"/>
      <c r="P56" s="3"/>
      <c r="Q56" s="3"/>
      <c r="R56" s="3"/>
      <c r="S56" s="3"/>
      <c r="T56" s="3"/>
      <c r="U56" s="1"/>
      <c r="V56" s="1"/>
      <c r="W56" s="1"/>
      <c r="X56" s="1"/>
      <c r="Y56" s="1"/>
      <c r="Z56" s="1"/>
      <c r="AA56" s="1"/>
      <c r="AB56" s="1"/>
      <c r="AC56" s="1"/>
      <c r="AD56" s="1"/>
      <c r="AE56" s="1"/>
      <c r="AF56" s="1"/>
      <c r="AG56" s="1"/>
      <c r="AH56" s="1"/>
    </row>
    <row r="57" spans="1:38">
      <c r="A57" s="323" t="s">
        <v>287</v>
      </c>
      <c r="B57"/>
      <c r="C57" s="98"/>
      <c r="D57" s="554" t="s">
        <v>103</v>
      </c>
      <c r="E57" s="455"/>
      <c r="F57" s="268"/>
      <c r="G57" s="268"/>
      <c r="H57" s="51"/>
      <c r="I57" s="268"/>
      <c r="J57" s="51"/>
      <c r="K57" s="268"/>
      <c r="L57" s="312"/>
      <c r="M57" s="1236"/>
      <c r="N57" s="1215"/>
      <c r="O57" s="1216"/>
      <c r="P57" s="3"/>
      <c r="Q57" s="3"/>
      <c r="R57" s="3"/>
      <c r="S57" s="3"/>
      <c r="T57" s="3"/>
      <c r="U57" s="1"/>
      <c r="V57" s="1"/>
      <c r="W57" s="1"/>
      <c r="X57" s="1"/>
      <c r="Y57" s="1"/>
      <c r="Z57" s="1"/>
      <c r="AA57" s="1"/>
      <c r="AB57" s="1"/>
      <c r="AC57" s="1"/>
      <c r="AD57" s="1"/>
      <c r="AE57" s="1"/>
      <c r="AF57" s="1"/>
      <c r="AG57" s="1"/>
      <c r="AH57" s="1"/>
    </row>
    <row r="58" spans="1:38">
      <c r="A58" s="67"/>
      <c r="B58" s="507" t="s">
        <v>288</v>
      </c>
      <c r="C58" s="508" t="s">
        <v>289</v>
      </c>
      <c r="D58" s="353"/>
      <c r="E58" s="354"/>
      <c r="F58" s="354"/>
      <c r="G58" s="1762"/>
      <c r="H58" s="1762"/>
      <c r="I58" s="1762"/>
      <c r="J58" s="1762"/>
      <c r="K58" s="1762"/>
      <c r="L58" s="1763"/>
      <c r="M58" s="1435"/>
      <c r="N58" s="1215"/>
      <c r="O58" s="1216"/>
      <c r="P58" s="3"/>
      <c r="Q58" s="3"/>
      <c r="R58" s="3"/>
      <c r="S58" s="3"/>
      <c r="T58" s="3"/>
      <c r="U58" s="1"/>
      <c r="V58" s="1"/>
      <c r="W58" s="1"/>
      <c r="X58" s="1"/>
      <c r="Y58" s="1"/>
      <c r="Z58" s="1"/>
      <c r="AA58" s="1"/>
      <c r="AB58" s="1"/>
      <c r="AC58" s="1"/>
      <c r="AD58" s="1"/>
      <c r="AE58" s="1"/>
      <c r="AF58" s="1"/>
      <c r="AG58" s="1"/>
      <c r="AH58" s="1"/>
    </row>
    <row r="59" spans="1:38">
      <c r="A59" s="67"/>
      <c r="B59" s="1620"/>
      <c r="C59" s="348" t="s">
        <v>290</v>
      </c>
      <c r="D59" s="288">
        <v>9711</v>
      </c>
      <c r="E59" s="762">
        <f>'1st Interim-Unrestricted MYP'!E59+'1st Interim-Restricted MYP'!E59</f>
        <v>0</v>
      </c>
      <c r="F59" s="762">
        <f>'1st Interim-Unrestricted MYP'!F59+'1st Interim-Restricted MYP'!F59</f>
        <v>0</v>
      </c>
      <c r="G59" s="762">
        <f>'1st Interim-Unrestricted MYP'!G59+'1st Interim-Restricted MYP'!G59</f>
        <v>0</v>
      </c>
      <c r="H59" s="30" t="str">
        <f>IF(E59&lt;1," ",IF(G59&lt;1," ",(G59-E59)/E59))</f>
        <v xml:space="preserve"> </v>
      </c>
      <c r="I59" s="762">
        <f>'1st Interim-Unrestricted MYP'!I59+'1st Interim-Restricted MYP'!I59</f>
        <v>0</v>
      </c>
      <c r="J59" s="30" t="str">
        <f>IF(G59&lt;1," ",IF(I59&lt;1," ",(I59-G59)/G59))</f>
        <v xml:space="preserve"> </v>
      </c>
      <c r="K59" s="762">
        <f>'1st Interim-Unrestricted MYP'!K59+'1st Interim-Restricted MYP'!K59</f>
        <v>0</v>
      </c>
      <c r="L59" s="310" t="str">
        <f>IF(I59&lt;1," ",IF(K59&lt;1," ",(K59-I59)/I59))</f>
        <v xml:space="preserve"> </v>
      </c>
      <c r="M59" s="1236"/>
      <c r="N59" s="1215"/>
      <c r="O59" s="1216"/>
      <c r="P59" s="3"/>
      <c r="Q59" s="3"/>
      <c r="R59" s="3"/>
      <c r="S59" s="3"/>
      <c r="T59" s="3"/>
      <c r="U59" s="1"/>
      <c r="V59" s="1"/>
      <c r="W59" s="1"/>
      <c r="X59" s="1"/>
      <c r="Y59" s="1"/>
      <c r="Z59" s="1"/>
      <c r="AA59" s="1"/>
      <c r="AB59" s="1"/>
      <c r="AC59" s="1"/>
      <c r="AD59" s="1"/>
      <c r="AE59" s="1"/>
      <c r="AF59" s="1"/>
      <c r="AG59" s="1"/>
      <c r="AH59" s="1"/>
    </row>
    <row r="60" spans="1:38">
      <c r="A60" s="67"/>
      <c r="B60" s="347"/>
      <c r="C60" s="348" t="s">
        <v>291</v>
      </c>
      <c r="D60" s="288">
        <v>9712</v>
      </c>
      <c r="E60" s="762">
        <f>'1st Interim-Unrestricted MYP'!E60+'1st Interim-Restricted MYP'!E60</f>
        <v>0</v>
      </c>
      <c r="F60" s="762">
        <f>'1st Interim-Unrestricted MYP'!F60+'1st Interim-Restricted MYP'!F60</f>
        <v>0</v>
      </c>
      <c r="G60" s="762">
        <f>'1st Interim-Unrestricted MYP'!G60+'1st Interim-Restricted MYP'!G60</f>
        <v>0</v>
      </c>
      <c r="H60" s="30" t="str">
        <f>IF(E60&lt;1," ",IF(G60&lt;1," ",(G60-E60)/E60))</f>
        <v xml:space="preserve"> </v>
      </c>
      <c r="I60" s="762">
        <f>'1st Interim-Unrestricted MYP'!I60+'1st Interim-Restricted MYP'!I60</f>
        <v>0</v>
      </c>
      <c r="J60" s="30" t="str">
        <f>IF(G60&lt;1," ",IF(I60&lt;1," ",(I60-G60)/G60))</f>
        <v xml:space="preserve"> </v>
      </c>
      <c r="K60" s="762">
        <f>'1st Interim-Unrestricted MYP'!K60+'1st Interim-Restricted MYP'!K60</f>
        <v>0</v>
      </c>
      <c r="L60" s="310" t="str">
        <f>IF(I60&lt;1," ",IF(K60&lt;1," ",(K60-I60)/I60))</f>
        <v xml:space="preserve"> </v>
      </c>
      <c r="M60" s="1236"/>
      <c r="N60" s="1215"/>
      <c r="O60" s="1216"/>
      <c r="P60" s="3"/>
      <c r="Q60" s="3"/>
      <c r="R60" s="3"/>
      <c r="S60" s="3"/>
      <c r="T60" s="3"/>
      <c r="U60" s="1"/>
      <c r="V60" s="1"/>
      <c r="W60" s="1"/>
      <c r="X60" s="1"/>
      <c r="Y60" s="1"/>
      <c r="Z60" s="1"/>
      <c r="AA60" s="1"/>
      <c r="AB60" s="1"/>
      <c r="AC60" s="1"/>
      <c r="AD60" s="1"/>
      <c r="AE60" s="1"/>
      <c r="AF60" s="1"/>
      <c r="AG60" s="1"/>
      <c r="AH60" s="1"/>
    </row>
    <row r="61" spans="1:38">
      <c r="A61" s="67"/>
      <c r="B61" s="347"/>
      <c r="C61" s="348" t="s">
        <v>292</v>
      </c>
      <c r="D61" s="288">
        <v>9713</v>
      </c>
      <c r="E61" s="762">
        <f>'1st Interim-Unrestricted MYP'!E61+'1st Interim-Restricted MYP'!E61</f>
        <v>0</v>
      </c>
      <c r="F61" s="762">
        <f>'1st Interim-Unrestricted MYP'!F61+'1st Interim-Restricted MYP'!F61</f>
        <v>0</v>
      </c>
      <c r="G61" s="762">
        <f>'1st Interim-Unrestricted MYP'!G61+'1st Interim-Restricted MYP'!G61</f>
        <v>0</v>
      </c>
      <c r="H61" s="30" t="str">
        <f>IF(E61&lt;1," ",IF(G61&lt;1," ",(G61-E61)/E61))</f>
        <v xml:space="preserve"> </v>
      </c>
      <c r="I61" s="762">
        <f>'1st Interim-Unrestricted MYP'!I61+'1st Interim-Restricted MYP'!I61</f>
        <v>0</v>
      </c>
      <c r="J61" s="30" t="str">
        <f>IF(G61&lt;1," ",IF(I61&lt;1," ",(I61-G61)/G61))</f>
        <v xml:space="preserve"> </v>
      </c>
      <c r="K61" s="762">
        <f>'1st Interim-Unrestricted MYP'!K61+'1st Interim-Restricted MYP'!K61</f>
        <v>0</v>
      </c>
      <c r="L61" s="310" t="str">
        <f>IF(I61&lt;1," ",IF(K61&lt;1," ",(K61-I61)/I61))</f>
        <v xml:space="preserve"> </v>
      </c>
      <c r="M61" s="1236"/>
      <c r="N61" s="1215"/>
      <c r="O61" s="1216"/>
      <c r="P61" s="3"/>
      <c r="Q61" s="3"/>
      <c r="R61" s="3"/>
      <c r="S61" s="3"/>
      <c r="T61" s="3"/>
      <c r="U61" s="1"/>
      <c r="V61" s="1"/>
      <c r="W61" s="1"/>
      <c r="X61" s="1"/>
      <c r="Y61" s="1"/>
      <c r="Z61" s="1"/>
      <c r="AA61" s="1"/>
      <c r="AB61" s="1"/>
      <c r="AC61" s="1"/>
      <c r="AD61" s="1"/>
      <c r="AE61" s="1"/>
      <c r="AF61" s="1"/>
      <c r="AG61" s="1"/>
      <c r="AH61" s="1"/>
    </row>
    <row r="62" spans="1:38">
      <c r="A62" s="67"/>
      <c r="B62" s="347"/>
      <c r="C62" s="348" t="s">
        <v>293</v>
      </c>
      <c r="D62" s="288">
        <v>9719</v>
      </c>
      <c r="E62" s="762">
        <f>'1st Interim-Unrestricted MYP'!E62+'1st Interim-Restricted MYP'!E62</f>
        <v>0</v>
      </c>
      <c r="F62" s="762">
        <f>'1st Interim-Unrestricted MYP'!F62+'1st Interim-Restricted MYP'!F62</f>
        <v>0</v>
      </c>
      <c r="G62" s="762">
        <f>'1st Interim-Unrestricted MYP'!G62+'1st Interim-Restricted MYP'!G62</f>
        <v>0</v>
      </c>
      <c r="H62" s="30" t="str">
        <f>IF(E62&lt;1," ",IF(G62&lt;1," ",(G62-E62)/E62))</f>
        <v xml:space="preserve"> </v>
      </c>
      <c r="I62" s="762">
        <f>'1st Interim-Unrestricted MYP'!I62+'1st Interim-Restricted MYP'!I62</f>
        <v>0</v>
      </c>
      <c r="J62" s="30" t="str">
        <f>IF(G62&lt;1," ",IF(I62&lt;1," ",(I62-G62)/G62))</f>
        <v xml:space="preserve"> </v>
      </c>
      <c r="K62" s="762">
        <f>'1st Interim-Unrestricted MYP'!K62+'1st Interim-Restricted MYP'!K62</f>
        <v>0</v>
      </c>
      <c r="L62" s="310" t="str">
        <f>IF(I62&lt;1," ",IF(K62&lt;1," ",(K62-I62)/I62))</f>
        <v xml:space="preserve"> </v>
      </c>
      <c r="M62" s="1236"/>
      <c r="N62" s="1215"/>
      <c r="O62" s="1216"/>
      <c r="P62" s="3"/>
      <c r="Q62" s="3"/>
      <c r="R62" s="3"/>
      <c r="S62" s="3"/>
      <c r="T62" s="3"/>
      <c r="U62" s="1"/>
      <c r="V62" s="1"/>
      <c r="W62" s="1"/>
      <c r="X62" s="1"/>
      <c r="Y62" s="1"/>
      <c r="Z62" s="1"/>
      <c r="AA62" s="1"/>
      <c r="AB62" s="1"/>
      <c r="AC62" s="1"/>
      <c r="AD62" s="1"/>
      <c r="AE62" s="1"/>
      <c r="AF62" s="1"/>
      <c r="AG62" s="1"/>
      <c r="AH62" s="1"/>
    </row>
    <row r="63" spans="1:38">
      <c r="A63" s="67"/>
      <c r="B63" s="347" t="s">
        <v>294</v>
      </c>
      <c r="C63" s="349" t="s">
        <v>295</v>
      </c>
      <c r="D63" s="288">
        <v>9740</v>
      </c>
      <c r="E63" s="762">
        <f>'1st Interim-Unrestricted MYP'!E63+'1st Interim-Restricted MYP'!E63</f>
        <v>0</v>
      </c>
      <c r="F63" s="762">
        <f>'1st Interim-Unrestricted MYP'!F63+'1st Interim-Restricted MYP'!F63</f>
        <v>0</v>
      </c>
      <c r="G63" s="762">
        <f>'1st Interim-Unrestricted MYP'!G63+'1st Interim-Restricted MYP'!G63</f>
        <v>734169</v>
      </c>
      <c r="H63" s="30" t="str">
        <f>IF(E63&lt;1," ",IF(G63&lt;1," ",(G63-E63)/E63))</f>
        <v xml:space="preserve"> </v>
      </c>
      <c r="I63" s="762">
        <f>'1st Interim-Unrestricted MYP'!I63+'1st Interim-Restricted MYP'!I63</f>
        <v>591889</v>
      </c>
      <c r="J63" s="30">
        <f>IF(G63&lt;1," ",IF(I63&lt;1," ",(I63-G63)/G63))</f>
        <v>-0.19379734093921155</v>
      </c>
      <c r="K63" s="762">
        <f>'1st Interim-Unrestricted MYP'!K63+'1st Interim-Restricted MYP'!K63</f>
        <v>304669</v>
      </c>
      <c r="L63" s="310">
        <f>IF(I63&lt;1," ",IF(K63&lt;1," ",(K63-I63)/I63))</f>
        <v>-0.48525990515113476</v>
      </c>
      <c r="M63" s="1236"/>
      <c r="N63" s="1215"/>
      <c r="O63" s="1216"/>
      <c r="P63" s="3"/>
      <c r="Q63" s="3"/>
      <c r="R63" s="3"/>
      <c r="S63" s="3"/>
      <c r="T63" s="3"/>
      <c r="U63" s="1"/>
      <c r="V63" s="1"/>
      <c r="W63" s="1"/>
      <c r="X63" s="1"/>
      <c r="Y63" s="1"/>
      <c r="Z63" s="1"/>
      <c r="AA63" s="1"/>
      <c r="AB63" s="1"/>
      <c r="AC63" s="1"/>
      <c r="AD63" s="1"/>
      <c r="AE63" s="1"/>
      <c r="AF63" s="1"/>
      <c r="AG63" s="1"/>
      <c r="AH63" s="1"/>
    </row>
    <row r="64" spans="1:38">
      <c r="A64" s="67"/>
      <c r="B64" s="347" t="s">
        <v>296</v>
      </c>
      <c r="C64" s="352" t="s">
        <v>297</v>
      </c>
      <c r="D64" s="986"/>
      <c r="E64" s="769"/>
      <c r="F64" s="829"/>
      <c r="G64" s="829"/>
      <c r="H64" s="80"/>
      <c r="I64" s="829"/>
      <c r="J64" s="633"/>
      <c r="K64" s="876"/>
      <c r="L64" s="862"/>
      <c r="M64" s="979"/>
      <c r="N64" s="1215"/>
      <c r="O64" s="1216"/>
      <c r="P64" s="3"/>
      <c r="Q64" s="3"/>
      <c r="R64" s="3"/>
      <c r="S64" s="3"/>
      <c r="T64" s="3"/>
      <c r="U64" s="1"/>
      <c r="V64" s="1"/>
      <c r="W64" s="1"/>
      <c r="X64" s="1"/>
      <c r="Y64" s="1"/>
      <c r="Z64" s="1"/>
      <c r="AA64" s="1"/>
      <c r="AB64" s="1"/>
      <c r="AC64" s="1"/>
      <c r="AD64" s="1"/>
      <c r="AE64" s="1"/>
      <c r="AF64" s="1"/>
      <c r="AG64" s="1"/>
      <c r="AH64" s="1"/>
    </row>
    <row r="65" spans="1:34">
      <c r="A65" s="67"/>
      <c r="B65" s="347"/>
      <c r="C65" s="348" t="s">
        <v>298</v>
      </c>
      <c r="D65" s="289">
        <v>9750</v>
      </c>
      <c r="E65" s="762">
        <f>'1st Interim-Unrestricted MYP'!E65+'1st Interim-Restricted MYP'!E65</f>
        <v>0</v>
      </c>
      <c r="F65" s="762">
        <f>'1st Interim-Unrestricted MYP'!F65+'1st Interim-Restricted MYP'!F65</f>
        <v>0</v>
      </c>
      <c r="G65" s="762">
        <f>'1st Interim-Unrestricted MYP'!G65+'1st Interim-Restricted MYP'!G65</f>
        <v>0</v>
      </c>
      <c r="H65" s="49" t="str">
        <f>IF(E65&lt;1," ",IF(G65&lt;1," ",(G65-E65)/E65))</f>
        <v xml:space="preserve"> </v>
      </c>
      <c r="I65" s="762">
        <f>'1st Interim-Unrestricted MYP'!I65+'1st Interim-Restricted MYP'!I65</f>
        <v>0</v>
      </c>
      <c r="J65" s="49" t="str">
        <f>IF(G65&lt;1," ",IF(I65&lt;1," ",(I65-G65)/G65))</f>
        <v xml:space="preserve"> </v>
      </c>
      <c r="K65" s="762">
        <f>'1st Interim-Unrestricted MYP'!K65+'1st Interim-Restricted MYP'!K65</f>
        <v>0</v>
      </c>
      <c r="L65" s="310" t="str">
        <f>IF(I65&lt;1," ",IF(K65&lt;1," ",(K65-I65)/I65))</f>
        <v xml:space="preserve"> </v>
      </c>
      <c r="M65" s="1236"/>
      <c r="N65" s="1215"/>
      <c r="O65" s="1216"/>
      <c r="P65" s="3"/>
      <c r="Q65" s="3"/>
      <c r="R65" s="3"/>
      <c r="S65" s="3"/>
      <c r="T65" s="3"/>
      <c r="U65" s="1"/>
      <c r="V65" s="1"/>
      <c r="W65" s="1"/>
      <c r="X65" s="1"/>
      <c r="Y65" s="1"/>
      <c r="Z65" s="1"/>
      <c r="AA65" s="1"/>
      <c r="AB65" s="1"/>
      <c r="AC65" s="1"/>
      <c r="AD65" s="1"/>
      <c r="AE65" s="1"/>
      <c r="AF65" s="1"/>
      <c r="AG65" s="1"/>
      <c r="AH65" s="1"/>
    </row>
    <row r="66" spans="1:34">
      <c r="A66" s="67"/>
      <c r="B66" s="347"/>
      <c r="C66" s="348" t="s">
        <v>299</v>
      </c>
      <c r="D66" s="289">
        <v>9760</v>
      </c>
      <c r="E66" s="762">
        <f>'1st Interim-Unrestricted MYP'!E66+'1st Interim-Restricted MYP'!E66</f>
        <v>0</v>
      </c>
      <c r="F66" s="762">
        <f>'1st Interim-Unrestricted MYP'!F66+'1st Interim-Restricted MYP'!F66</f>
        <v>0</v>
      </c>
      <c r="G66" s="762">
        <f>'1st Interim-Unrestricted MYP'!G66+'1st Interim-Restricted MYP'!G66</f>
        <v>0</v>
      </c>
      <c r="H66" s="49" t="str">
        <f>IF(E66&lt;1," ",IF(G66&lt;1," ",(G66-E66)/E66))</f>
        <v xml:space="preserve"> </v>
      </c>
      <c r="I66" s="762">
        <f>'1st Interim-Unrestricted MYP'!I66+'1st Interim-Restricted MYP'!I66</f>
        <v>0</v>
      </c>
      <c r="J66" s="49" t="str">
        <f>IF(G66&lt;1," ",IF(I66&lt;1," ",(I66-G66)/G66))</f>
        <v xml:space="preserve"> </v>
      </c>
      <c r="K66" s="762">
        <f>'1st Interim-Unrestricted MYP'!K66+'1st Interim-Restricted MYP'!K66</f>
        <v>0</v>
      </c>
      <c r="L66" s="310" t="str">
        <f>IF(I66&lt;1," ",IF(K66&lt;1," ",(K66-I66)/I66))</f>
        <v xml:space="preserve"> </v>
      </c>
      <c r="M66" s="1236"/>
      <c r="N66" s="1215"/>
      <c r="O66" s="1216"/>
      <c r="P66" s="3"/>
      <c r="Q66" s="3"/>
      <c r="R66" s="3"/>
      <c r="S66" s="3"/>
      <c r="T66" s="3"/>
      <c r="U66" s="1"/>
      <c r="V66" s="1"/>
      <c r="W66" s="1"/>
      <c r="X66" s="1"/>
      <c r="Y66" s="1"/>
      <c r="Z66" s="1"/>
      <c r="AA66" s="1"/>
      <c r="AB66" s="1"/>
      <c r="AC66" s="1"/>
      <c r="AD66" s="1"/>
      <c r="AE66" s="1"/>
      <c r="AF66" s="1"/>
      <c r="AG66" s="1"/>
      <c r="AH66" s="1"/>
    </row>
    <row r="67" spans="1:34">
      <c r="A67" s="67"/>
      <c r="B67" s="347" t="s">
        <v>300</v>
      </c>
      <c r="C67" s="349" t="s">
        <v>301</v>
      </c>
      <c r="D67" s="288">
        <v>9780</v>
      </c>
      <c r="E67" s="762">
        <f>'1st Interim-Unrestricted MYP'!E67+'1st Interim-Restricted MYP'!E67</f>
        <v>0</v>
      </c>
      <c r="F67" s="762">
        <f>'1st Interim-Unrestricted MYP'!F67+'1st Interim-Restricted MYP'!F67</f>
        <v>0</v>
      </c>
      <c r="G67" s="762">
        <f>'1st Interim-Unrestricted MYP'!G67+'1st Interim-Restricted MYP'!G67</f>
        <v>0</v>
      </c>
      <c r="H67" s="49" t="str">
        <f>IF(E67&lt;1," ",IF(G67&lt;1," ",(G67-E67)/E67))</f>
        <v xml:space="preserve"> </v>
      </c>
      <c r="I67" s="762">
        <f>'1st Interim-Unrestricted MYP'!I67+'1st Interim-Restricted MYP'!I67</f>
        <v>0</v>
      </c>
      <c r="J67" s="49" t="str">
        <f>IF(G67&lt;1," ",IF(I67&lt;1," ",(I67-G67)/G67))</f>
        <v xml:space="preserve"> </v>
      </c>
      <c r="K67" s="762">
        <f>'1st Interim-Unrestricted MYP'!K67+'1st Interim-Restricted MYP'!K67</f>
        <v>0</v>
      </c>
      <c r="L67" s="310" t="str">
        <f>IF(I67&lt;1," ",IF(K67&lt;1," ",(K67-I67)/I67))</f>
        <v xml:space="preserve"> </v>
      </c>
      <c r="M67" s="1236"/>
      <c r="N67" s="1215"/>
      <c r="O67" s="1216"/>
      <c r="P67" s="3"/>
      <c r="Q67" s="3"/>
      <c r="R67" s="3"/>
      <c r="S67" s="3"/>
      <c r="T67" s="3"/>
      <c r="U67" s="1"/>
      <c r="V67" s="1"/>
      <c r="W67" s="1"/>
      <c r="X67" s="1"/>
      <c r="Y67" s="1"/>
      <c r="Z67" s="1"/>
      <c r="AA67" s="1"/>
      <c r="AB67" s="1"/>
      <c r="AC67" s="1"/>
      <c r="AD67" s="1"/>
      <c r="AE67" s="1"/>
      <c r="AF67" s="1"/>
      <c r="AG67" s="1"/>
      <c r="AH67" s="1"/>
    </row>
    <row r="68" spans="1:34" customFormat="1">
      <c r="A68" s="67"/>
      <c r="B68" s="347" t="s">
        <v>302</v>
      </c>
      <c r="C68" s="352" t="s">
        <v>303</v>
      </c>
      <c r="D68" s="601"/>
      <c r="E68" s="769"/>
      <c r="F68" s="829"/>
      <c r="G68" s="829"/>
      <c r="H68" s="80"/>
      <c r="I68" s="829"/>
      <c r="J68" s="633"/>
      <c r="K68" s="876"/>
      <c r="L68" s="862"/>
      <c r="M68" s="979"/>
      <c r="N68" s="1212"/>
      <c r="O68" s="1212"/>
      <c r="P68" s="1212"/>
      <c r="Q68" s="1212"/>
      <c r="R68" s="1212"/>
      <c r="S68" s="1212"/>
      <c r="T68" s="1212"/>
    </row>
    <row r="69" spans="1:34">
      <c r="A69" s="67"/>
      <c r="B69" s="347"/>
      <c r="C69" s="348" t="s">
        <v>304</v>
      </c>
      <c r="D69" s="289">
        <v>9789</v>
      </c>
      <c r="E69" s="762">
        <f>'1st Interim-Unrestricted MYP'!E69+'1st Interim-Restricted MYP'!E69</f>
        <v>0</v>
      </c>
      <c r="F69" s="762">
        <f>'1st Interim-Unrestricted MYP'!F69+'1st Interim-Restricted MYP'!F69</f>
        <v>1634395</v>
      </c>
      <c r="G69" s="762">
        <f>'1st Interim-Unrestricted MYP'!G69+'1st Interim-Restricted MYP'!G69</f>
        <v>1313011</v>
      </c>
      <c r="H69" s="49" t="str">
        <f>IF(E69&lt;1," ",IF(G69&lt;1," ",(G69-E69)/E69))</f>
        <v xml:space="preserve"> </v>
      </c>
      <c r="I69" s="762">
        <f>'1st Interim-Unrestricted MYP'!I69+'1st Interim-Restricted MYP'!I69</f>
        <v>0</v>
      </c>
      <c r="J69" s="49" t="str">
        <f>IF(G69&lt;1," ",IF(I69&lt;1," ",(I69-G69)/G69))</f>
        <v xml:space="preserve"> </v>
      </c>
      <c r="K69" s="762">
        <f>'1st Interim-Unrestricted MYP'!K69+'1st Interim-Restricted MYP'!K69</f>
        <v>0</v>
      </c>
      <c r="L69" s="310" t="str">
        <f>IF(I69&lt;1," ",IF(K69&lt;1," ",(K69-I69)/I69))</f>
        <v xml:space="preserve"> </v>
      </c>
      <c r="M69" s="1236"/>
      <c r="N69" s="1773" t="s">
        <v>353</v>
      </c>
      <c r="O69" s="1773"/>
      <c r="P69" s="1773"/>
      <c r="Q69" s="1773"/>
      <c r="R69" s="1773" t="s">
        <v>354</v>
      </c>
      <c r="S69" s="1773"/>
      <c r="T69" s="1773"/>
      <c r="U69" s="1"/>
      <c r="V69" s="1"/>
      <c r="W69" s="1"/>
      <c r="X69" s="1"/>
      <c r="Y69" s="1"/>
      <c r="Z69" s="1"/>
      <c r="AA69" s="1"/>
      <c r="AB69" s="1"/>
      <c r="AC69" s="1"/>
      <c r="AD69" s="1"/>
      <c r="AE69" s="1"/>
      <c r="AF69" s="1"/>
      <c r="AG69" s="1"/>
      <c r="AH69" s="1"/>
    </row>
    <row r="70" spans="1:34" ht="16.5" thickBot="1">
      <c r="A70" s="67"/>
      <c r="B70" s="896"/>
      <c r="C70" s="902" t="s">
        <v>305</v>
      </c>
      <c r="D70" s="626">
        <v>9790</v>
      </c>
      <c r="E70" s="762">
        <f>'1st Interim-Unrestricted MYP'!E70+'1st Interim-Restricted MYP'!E70</f>
        <v>3964597.6578057152</v>
      </c>
      <c r="F70" s="762">
        <f>'1st Interim-Unrestricted MYP'!F70+'1st Interim-Restricted MYP'!F70</f>
        <v>0.41000000177882612</v>
      </c>
      <c r="G70" s="762">
        <f>'1st Interim-Unrestricted MYP'!G70+'1st Interim-Restricted MYP'!G70</f>
        <v>0.24712891667149961</v>
      </c>
      <c r="H70" s="49" t="str">
        <f>IF(E70&lt;1," ",IF(G70&lt;1," ",(G70-E70)/E70))</f>
        <v xml:space="preserve"> </v>
      </c>
      <c r="I70" s="762">
        <f>'1st Interim-Unrestricted MYP'!I70+'1st Interim-Restricted MYP'!I70</f>
        <v>1530342.8434490205</v>
      </c>
      <c r="J70" s="49" t="str">
        <f>IF(G70&lt;1," ",IF(I70&lt;1," ",(I70-G70)/G70))</f>
        <v xml:space="preserve"> </v>
      </c>
      <c r="K70" s="762">
        <f>'1st Interim-Unrestricted MYP'!K70+'1st Interim-Restricted MYP'!K70</f>
        <v>1969921.8018988331</v>
      </c>
      <c r="L70" s="310">
        <f>IF(I70&lt;1," ",IF(K70&lt;1," ",(K70-I70)/I70))</f>
        <v>0.28724214337429682</v>
      </c>
      <c r="M70" s="1236"/>
      <c r="N70" s="1364">
        <v>0.05</v>
      </c>
      <c r="O70" s="135" t="s">
        <v>355</v>
      </c>
      <c r="P70" s="1365">
        <v>71000</v>
      </c>
      <c r="Q70" s="135" t="s">
        <v>356</v>
      </c>
      <c r="R70" s="1366">
        <v>0</v>
      </c>
      <c r="S70" s="203" t="s">
        <v>357</v>
      </c>
      <c r="T70" s="1366">
        <v>300</v>
      </c>
      <c r="U70" s="1"/>
      <c r="V70" s="1"/>
      <c r="W70" s="1"/>
      <c r="X70" s="1"/>
      <c r="Y70" s="1"/>
      <c r="Z70" s="1"/>
      <c r="AA70" s="1"/>
      <c r="AB70" s="1"/>
      <c r="AC70" s="1"/>
      <c r="AD70" s="1"/>
      <c r="AE70" s="1"/>
      <c r="AF70" s="1"/>
      <c r="AG70" s="1"/>
      <c r="AH70" s="1"/>
    </row>
    <row r="71" spans="1:34" ht="17.25" thickTop="1" thickBot="1">
      <c r="A71" s="239"/>
      <c r="B71" s="1774" t="s">
        <v>358</v>
      </c>
      <c r="C71" s="1775"/>
      <c r="D71" s="1775"/>
      <c r="E71" s="941">
        <f>(E69+E70)/(+E37+E43)</f>
        <v>0.31964127351280497</v>
      </c>
      <c r="F71" s="941">
        <f>(F69+F70)/(+F37+F43)</f>
        <v>0.44536286563208</v>
      </c>
      <c r="G71" s="941">
        <f>(G69+G70)/(+G37+G43)</f>
        <v>0.10390856253837968</v>
      </c>
      <c r="H71" s="905"/>
      <c r="I71" s="941">
        <f>(I69+I70)/(+I37+I43)</f>
        <v>0.14023566460257586</v>
      </c>
      <c r="J71" s="905"/>
      <c r="K71" s="941">
        <f>(K69+K70)/(+K37+K43)</f>
        <v>0.17676395569474404</v>
      </c>
      <c r="L71" s="906"/>
      <c r="M71" s="1236"/>
      <c r="N71" s="1364">
        <v>0.04</v>
      </c>
      <c r="O71" s="135" t="s">
        <v>355</v>
      </c>
      <c r="P71" s="1365">
        <v>71000</v>
      </c>
      <c r="Q71" s="135" t="s">
        <v>356</v>
      </c>
      <c r="R71" s="1366">
        <v>301</v>
      </c>
      <c r="S71" s="203" t="s">
        <v>357</v>
      </c>
      <c r="T71" s="1366">
        <v>1000</v>
      </c>
      <c r="U71" s="1"/>
      <c r="V71" s="1"/>
      <c r="W71" s="1"/>
      <c r="X71" s="1"/>
      <c r="Y71" s="1"/>
      <c r="Z71" s="1"/>
      <c r="AA71" s="1"/>
      <c r="AB71" s="1"/>
      <c r="AC71" s="1"/>
      <c r="AD71" s="1"/>
      <c r="AE71" s="1"/>
      <c r="AF71" s="1"/>
      <c r="AG71" s="1"/>
      <c r="AH71" s="1"/>
    </row>
    <row r="72" spans="1:34">
      <c r="N72" s="1364">
        <v>0.03</v>
      </c>
      <c r="O72"/>
      <c r="P72"/>
      <c r="Q72"/>
      <c r="R72" s="1366">
        <v>1001</v>
      </c>
      <c r="S72" s="203" t="s">
        <v>357</v>
      </c>
      <c r="T72" s="1366">
        <v>30000</v>
      </c>
    </row>
    <row r="73" spans="1:34">
      <c r="A73" s="1"/>
      <c r="B73" s="135" t="s">
        <v>359</v>
      </c>
      <c r="C73" s="133"/>
      <c r="E73" s="1242">
        <f>'Budget-Summary MYP'!F73</f>
        <v>0.04</v>
      </c>
      <c r="F73" s="1242">
        <f>IF('1st Interim-ADA'!O76&lt;300.99,0.05,(IF(AND('1st Interim-ADA'!O76 &gt;=301,'1st Interim-ADA'!O76&lt;=1000.99),0.04,IF(AND('1st Interim-ADA'!O76 &gt;=1001,'1st Interim-ADA'!O76&lt;=30000.99),0.03,0.02))))</f>
        <v>0.04</v>
      </c>
      <c r="G73" s="1242">
        <f>IF('1st Interim-ADA'!O76&lt;300.99,0.05,(IF(AND('1st Interim-ADA'!O76 &gt;=301,'1st Interim-ADA'!O76&lt;=1000.99),0.04,IF(AND('1st Interim-ADA'!O76 &gt;=1001,'1st Interim-ADA'!O76&lt;=30000.99),0.03,0.02))))</f>
        <v>0.04</v>
      </c>
      <c r="I73" s="1242">
        <f>IF('1st Interim-ADA'!R76&lt;300.99,0.05,(IF(AND('1st Interim-ADA'!R76 &gt;=301,'1st Interim-ADA'!R76&lt;=1000.99),0.04,IF(AND('1st Interim-ADA'!R76 &gt;=1001,'1st Interim-ADA'!R76&lt;=30000.99),0.03,0.02))))</f>
        <v>0.04</v>
      </c>
      <c r="K73" s="1242">
        <f>IF('1st Interim-ADA'!U76&lt;300.99,0.05,(IF(AND('1st Interim-ADA'!U76 &gt;=301,'1st Interim-ADA'!U76&lt;=1000.99),0.04,IF(AND('1st Interim-ADA'!U76 &gt;=1001,'1st Interim-ADA'!U76&lt;=30000.99),0.03,0.02))))</f>
        <v>0.04</v>
      </c>
      <c r="N73" s="1364">
        <v>0.02</v>
      </c>
      <c r="O73"/>
      <c r="P73"/>
      <c r="Q73"/>
      <c r="R73" s="1366">
        <v>30001</v>
      </c>
      <c r="S73" s="203" t="s">
        <v>357</v>
      </c>
      <c r="T73" s="1366">
        <v>400000</v>
      </c>
    </row>
    <row r="74" spans="1:34">
      <c r="A74"/>
      <c r="B74" s="135" t="s">
        <v>360</v>
      </c>
      <c r="C74" s="133"/>
      <c r="E74" s="1288" t="str">
        <f>IF('Budget-Summary MYP'!F74="","",'Budget-Summary MYP'!F74)</f>
        <v/>
      </c>
      <c r="F74" s="1437"/>
      <c r="G74" s="1437"/>
      <c r="I74" s="1437"/>
      <c r="K74" s="1437"/>
      <c r="N74" s="1364">
        <v>0.01</v>
      </c>
      <c r="O74"/>
      <c r="P74"/>
      <c r="Q74"/>
      <c r="R74" s="1366">
        <v>400001</v>
      </c>
      <c r="S74" s="203" t="s">
        <v>361</v>
      </c>
      <c r="T74" s="1367"/>
    </row>
    <row r="75" spans="1:34">
      <c r="A75"/>
      <c r="B75" s="133" t="s">
        <v>362</v>
      </c>
      <c r="C75" s="133"/>
      <c r="E75" s="1243" t="str">
        <f>T('Budget-Summary MYP'!F75)</f>
        <v>Met</v>
      </c>
      <c r="F75" s="1243" t="str">
        <f>IF(F74="",IF(F71&gt;=F73,"Met","Not Met"),IF(F71&gt;=F74,"Met","Not Met"))</f>
        <v>Met</v>
      </c>
      <c r="G75" s="1243" t="str">
        <f>IF(G74="",IF(G71&gt;=G73,"Met","Not Met"),IF(G71&gt;=G74,"Met","Not Met"))</f>
        <v>Met</v>
      </c>
      <c r="I75" s="1243" t="str">
        <f>IF(I74="",IF(I71&gt;=I73,"Met","Not Met"),IF(I71&gt;=I74,"Met","Not Met"))</f>
        <v>Met</v>
      </c>
      <c r="K75" s="1243" t="str">
        <f>IF(K74="",IF(K71&gt;=K73,"Met","Not Met"),IF(K71&gt;=K74,"Met","Not Met"))</f>
        <v>Met</v>
      </c>
      <c r="N75" s="1364"/>
      <c r="O75"/>
      <c r="P75"/>
      <c r="Q75"/>
      <c r="R75" s="1366"/>
      <c r="S75" s="203"/>
      <c r="T75" s="1367"/>
    </row>
    <row r="76" spans="1:34" ht="16.5" thickBot="1">
      <c r="A76"/>
      <c r="B76" s="133"/>
      <c r="C76" s="133"/>
      <c r="E76" s="1243"/>
      <c r="F76" s="1243"/>
      <c r="G76" s="1243"/>
      <c r="I76" s="1243"/>
      <c r="K76" s="1243"/>
      <c r="N76" s="1364"/>
      <c r="O76"/>
      <c r="P76"/>
      <c r="Q76"/>
      <c r="R76" s="1366"/>
      <c r="S76" s="203"/>
      <c r="T76" s="1367"/>
    </row>
    <row r="77" spans="1:34" ht="16.5" thickBot="1">
      <c r="A77"/>
      <c r="B77" s="1787" t="s">
        <v>363</v>
      </c>
      <c r="C77" s="1788"/>
      <c r="D77" s="1788"/>
      <c r="E77" s="1788"/>
      <c r="F77" s="1788"/>
      <c r="G77" s="1788"/>
      <c r="H77" s="1788"/>
      <c r="I77" s="1788"/>
      <c r="J77" s="1788"/>
      <c r="K77" s="1788"/>
      <c r="L77" s="1789"/>
      <c r="M77" s="1364"/>
      <c r="N77"/>
      <c r="O77"/>
      <c r="P77"/>
      <c r="Q77" s="1366"/>
      <c r="R77" s="203"/>
      <c r="S77" s="1367"/>
    </row>
    <row r="78" spans="1:34" ht="42" customHeight="1">
      <c r="A78"/>
      <c r="B78" s="1841"/>
      <c r="C78" s="1842"/>
      <c r="D78" s="1842"/>
      <c r="E78" s="1842"/>
      <c r="F78" s="1842"/>
      <c r="G78" s="1842"/>
      <c r="H78" s="1842"/>
      <c r="I78" s="1842"/>
      <c r="J78" s="1842"/>
      <c r="K78" s="1842"/>
      <c r="L78" s="1843"/>
      <c r="M78" s="1595"/>
      <c r="N78"/>
      <c r="O78"/>
      <c r="P78"/>
      <c r="Q78" s="1366"/>
      <c r="R78" s="203"/>
      <c r="S78" s="1367"/>
    </row>
    <row r="79" spans="1:34" ht="9.75" customHeight="1">
      <c r="A79"/>
      <c r="B79"/>
      <c r="C79"/>
      <c r="E79"/>
      <c r="N79" s="1364"/>
      <c r="O79" s="135"/>
      <c r="P79" s="1365"/>
      <c r="Q79" s="135"/>
      <c r="R79" s="1366"/>
      <c r="S79" s="203"/>
      <c r="T79" s="1366"/>
    </row>
    <row r="80" spans="1:34">
      <c r="A80"/>
      <c r="B80" s="135" t="s">
        <v>364</v>
      </c>
      <c r="C80"/>
      <c r="E80" s="1286">
        <f>'Budget-Summary MYP'!F80</f>
        <v>0</v>
      </c>
      <c r="F80" s="1286">
        <f>ROUND(-MIN('1st Interim-Unrestricted MYP'!F46/('1st Interim-Unrestricted MYP'!F37+'1st Interim-Unrestricted MYP'!E43),0),3)</f>
        <v>0.158</v>
      </c>
      <c r="G80" s="1286">
        <f>ROUND(-MIN('1st Interim-Unrestricted MYP'!G46/('1st Interim-Unrestricted MYP'!G37+'1st Interim-Unrestricted MYP'!F43),0),3)</f>
        <v>6.9000000000000006E-2</v>
      </c>
      <c r="I80" s="1286">
        <f>ROUND(-MIN('1st Interim-Unrestricted MYP'!I46/('1st Interim-Unrestricted MYP'!I37+'1st Interim-Unrestricted MYP'!I43),0),3)</f>
        <v>0</v>
      </c>
      <c r="K80" s="1286">
        <f>ROUND(-MIN('1st Interim-Unrestricted MYP'!K46/('1st Interim-Unrestricted MYP'!K37+'1st Interim-Unrestricted MYP'!K43),0),3)</f>
        <v>0</v>
      </c>
      <c r="N80"/>
      <c r="O80" s="135"/>
      <c r="P80" s="1365"/>
      <c r="Q80" s="135"/>
      <c r="R80" s="1366"/>
      <c r="S80" s="203"/>
      <c r="T80" s="1366"/>
    </row>
    <row r="81" spans="1:20">
      <c r="A81"/>
      <c r="B81" s="133" t="s">
        <v>365</v>
      </c>
      <c r="C81"/>
      <c r="E81" s="1287">
        <f>'Budget-Summary MYP'!F81</f>
        <v>0.107</v>
      </c>
      <c r="F81" s="1287">
        <f>ROUND(F71/3,3)</f>
        <v>0.14799999999999999</v>
      </c>
      <c r="G81" s="1287">
        <f>ROUND(G71/3,3)</f>
        <v>3.5000000000000003E-2</v>
      </c>
      <c r="I81" s="1287">
        <f>ROUND(I71/3,3)</f>
        <v>4.7E-2</v>
      </c>
      <c r="K81" s="1287">
        <f>ROUND(K71/3,3)</f>
        <v>5.8999999999999997E-2</v>
      </c>
      <c r="N81" s="1368" t="s">
        <v>366</v>
      </c>
      <c r="O81" s="135"/>
      <c r="P81" s="1365"/>
      <c r="Q81" s="135"/>
      <c r="R81" s="1366"/>
      <c r="S81" s="203"/>
      <c r="T81" s="1366"/>
    </row>
    <row r="82" spans="1:20" ht="15.75" customHeight="1">
      <c r="A82"/>
      <c r="B82" s="133" t="s">
        <v>367</v>
      </c>
      <c r="C82"/>
      <c r="E82" s="1243" t="str">
        <f>T('Budget-Summary MYP'!F82)</f>
        <v>Met</v>
      </c>
      <c r="F82" s="1243" t="str">
        <f>IF(F80&lt;=F81,"Met","Not Met")</f>
        <v>Not Met</v>
      </c>
      <c r="G82" s="1243" t="str">
        <f>IF(G80&lt;=G81,"Met","Not Met")</f>
        <v>Not Met</v>
      </c>
      <c r="I82" s="1243" t="str">
        <f>IF(I80&lt;=I81,"Met","Not Met")</f>
        <v>Met</v>
      </c>
      <c r="K82" s="1243" t="str">
        <f>IF(K80&lt;=K81,"Met","Not Met")</f>
        <v>Met</v>
      </c>
      <c r="N82" s="1839" t="s">
        <v>368</v>
      </c>
      <c r="O82" s="1840"/>
      <c r="P82" s="1840"/>
      <c r="Q82" s="1840"/>
      <c r="R82" s="1840"/>
      <c r="S82" s="1840"/>
      <c r="T82" s="1840"/>
    </row>
    <row r="83" spans="1:20" ht="8.25" customHeight="1" thickBot="1">
      <c r="A83"/>
      <c r="B83"/>
      <c r="C83"/>
      <c r="F83" s="135"/>
      <c r="G83" s="135"/>
      <c r="H83" s="135"/>
      <c r="I83" s="135"/>
      <c r="J83" s="135"/>
      <c r="K83" s="135"/>
      <c r="L83" s="135"/>
      <c r="M83" s="135"/>
      <c r="N83" s="1840"/>
      <c r="O83" s="1840"/>
      <c r="P83" s="1840"/>
      <c r="Q83" s="1840"/>
      <c r="R83" s="1840"/>
      <c r="S83" s="1840"/>
      <c r="T83" s="1840"/>
    </row>
    <row r="84" spans="1:20" ht="16.5" thickBot="1">
      <c r="B84" s="1787" t="s">
        <v>369</v>
      </c>
      <c r="C84" s="1788"/>
      <c r="D84" s="1788"/>
      <c r="E84" s="1788"/>
      <c r="F84" s="1788"/>
      <c r="G84" s="1788"/>
      <c r="H84" s="1788"/>
      <c r="I84" s="1788"/>
      <c r="J84" s="1788"/>
      <c r="K84" s="1788"/>
      <c r="L84" s="1789"/>
      <c r="N84" s="1840"/>
      <c r="O84" s="1840"/>
      <c r="P84" s="1840"/>
      <c r="Q84" s="1840"/>
      <c r="R84" s="1840"/>
      <c r="S84" s="1840"/>
      <c r="T84" s="1840"/>
    </row>
    <row r="85" spans="1:20" ht="47.25" customHeight="1">
      <c r="B85" s="1841" t="s">
        <v>570</v>
      </c>
      <c r="C85" s="1782"/>
      <c r="D85" s="1782"/>
      <c r="E85" s="1782"/>
      <c r="F85" s="1782"/>
      <c r="G85" s="1782"/>
      <c r="H85" s="1782"/>
      <c r="I85" s="1782"/>
      <c r="J85" s="1782"/>
      <c r="K85" s="1782"/>
      <c r="L85" s="1783"/>
      <c r="N85" s="1840"/>
      <c r="O85" s="1840"/>
      <c r="P85" s="1840"/>
      <c r="Q85" s="1840"/>
      <c r="R85" s="1840"/>
      <c r="S85" s="1840"/>
      <c r="T85" s="1840"/>
    </row>
    <row r="86" spans="1:20">
      <c r="E86" s="1598"/>
      <c r="F86" s="1598"/>
      <c r="G86" s="1598"/>
      <c r="H86" s="1598"/>
      <c r="I86" s="1598"/>
      <c r="J86" s="1598"/>
      <c r="K86" s="1598"/>
      <c r="L86" s="1598"/>
      <c r="M86" s="1215"/>
      <c r="N86" s="1840"/>
      <c r="O86" s="1840"/>
      <c r="P86" s="1840"/>
      <c r="Q86" s="1840"/>
      <c r="R86" s="1840"/>
      <c r="S86" s="1840"/>
      <c r="T86" s="1840"/>
    </row>
    <row r="87" spans="1:20" ht="78.75" customHeight="1">
      <c r="E87" s="1215"/>
      <c r="F87" s="1215"/>
      <c r="G87" s="1215"/>
      <c r="H87" s="1215"/>
      <c r="I87" s="1215"/>
      <c r="J87" s="1215"/>
      <c r="K87" s="1215"/>
      <c r="L87" s="1215"/>
      <c r="M87" s="1215"/>
    </row>
  </sheetData>
  <sheetProtection password="CC5F" sheet="1" objects="1" scenarios="1"/>
  <mergeCells count="23">
    <mergeCell ref="G48:L48"/>
    <mergeCell ref="G58:L58"/>
    <mergeCell ref="A1:C1"/>
    <mergeCell ref="A2:C2"/>
    <mergeCell ref="A3:C3"/>
    <mergeCell ref="G38:L38"/>
    <mergeCell ref="G40:L40"/>
    <mergeCell ref="N69:Q69"/>
    <mergeCell ref="R69:T69"/>
    <mergeCell ref="N82:T86"/>
    <mergeCell ref="A28:C28"/>
    <mergeCell ref="A8:C8"/>
    <mergeCell ref="G11:L11"/>
    <mergeCell ref="G12:L12"/>
    <mergeCell ref="G27:L27"/>
    <mergeCell ref="G28:L28"/>
    <mergeCell ref="B71:D71"/>
    <mergeCell ref="G41:L41"/>
    <mergeCell ref="B77:L77"/>
    <mergeCell ref="B78:L78"/>
    <mergeCell ref="B84:L84"/>
    <mergeCell ref="B85:L85"/>
    <mergeCell ref="G47:L47"/>
  </mergeCells>
  <phoneticPr fontId="5" type="noConversion"/>
  <conditionalFormatting sqref="A1:A3">
    <cfRule type="containsText" dxfId="190" priority="21" stopIfTrue="1" operator="containsText" text="Enter">
      <formula>NOT(ISERROR(SEARCH("Enter",A1)))</formula>
    </cfRule>
  </conditionalFormatting>
  <conditionalFormatting sqref="B73">
    <cfRule type="expression" dxfId="189" priority="20" stopIfTrue="1">
      <formula>$E$74=""</formula>
    </cfRule>
  </conditionalFormatting>
  <conditionalFormatting sqref="B74">
    <cfRule type="expression" dxfId="188" priority="19" stopIfTrue="1">
      <formula>$E$74&lt;&gt;0</formula>
    </cfRule>
  </conditionalFormatting>
  <conditionalFormatting sqref="E75:E76">
    <cfRule type="containsText" dxfId="187" priority="18" stopIfTrue="1" operator="containsText" text="Met">
      <formula>NOT(ISERROR(SEARCH("Met",E75)))</formula>
    </cfRule>
  </conditionalFormatting>
  <conditionalFormatting sqref="E75:E76">
    <cfRule type="containsText" dxfId="186" priority="17" stopIfTrue="1" operator="containsText" text="Not Met">
      <formula>NOT(ISERROR(SEARCH("Not Met",E75)))</formula>
    </cfRule>
  </conditionalFormatting>
  <conditionalFormatting sqref="E73">
    <cfRule type="expression" dxfId="185" priority="16" stopIfTrue="1">
      <formula>$E$74=""</formula>
    </cfRule>
  </conditionalFormatting>
  <conditionalFormatting sqref="E82">
    <cfRule type="containsText" dxfId="184" priority="15" stopIfTrue="1" operator="containsText" text="Met">
      <formula>NOT(ISERROR(SEARCH("Met",E82)))</formula>
    </cfRule>
  </conditionalFormatting>
  <conditionalFormatting sqref="E82">
    <cfRule type="containsText" dxfId="183" priority="14" stopIfTrue="1" operator="containsText" text="Not Met">
      <formula>NOT(ISERROR(SEARCH("Not Met",E82)))</formula>
    </cfRule>
  </conditionalFormatting>
  <conditionalFormatting sqref="F75:F76">
    <cfRule type="containsText" dxfId="182" priority="9" stopIfTrue="1" operator="containsText" text="Met">
      <formula>NOT(ISERROR(SEARCH("Met",F75)))</formula>
    </cfRule>
  </conditionalFormatting>
  <conditionalFormatting sqref="F75:F76">
    <cfRule type="containsText" dxfId="181" priority="8" stopIfTrue="1" operator="containsText" text="Not Met">
      <formula>NOT(ISERROR(SEARCH("Not Met",F75)))</formula>
    </cfRule>
  </conditionalFormatting>
  <conditionalFormatting sqref="K75:K76 I75:I76 G75:G76">
    <cfRule type="containsText" dxfId="180" priority="7" stopIfTrue="1" operator="containsText" text="Met">
      <formula>NOT(ISERROR(SEARCH("Met",G75)))</formula>
    </cfRule>
  </conditionalFormatting>
  <conditionalFormatting sqref="K75:K76 I75:I76 G75:G76">
    <cfRule type="containsText" dxfId="179" priority="6" stopIfTrue="1" operator="containsText" text="Not Met">
      <formula>NOT(ISERROR(SEARCH("Not Met",G75)))</formula>
    </cfRule>
  </conditionalFormatting>
  <conditionalFormatting sqref="K82 I82 F82:G82">
    <cfRule type="containsText" dxfId="178" priority="5" stopIfTrue="1" operator="containsText" text="Met">
      <formula>NOT(ISERROR(SEARCH("Met",F82)))</formula>
    </cfRule>
  </conditionalFormatting>
  <conditionalFormatting sqref="K82 I82 F82:G82">
    <cfRule type="containsText" dxfId="177" priority="4" stopIfTrue="1" operator="containsText" text="Not Met">
      <formula>NOT(ISERROR(SEARCH("Not Met",F82)))</formula>
    </cfRule>
  </conditionalFormatting>
  <conditionalFormatting sqref="K73 I73 F73:G73">
    <cfRule type="expression" dxfId="176" priority="3" stopIfTrue="1">
      <formula>$E$74=""</formula>
    </cfRule>
  </conditionalFormatting>
  <conditionalFormatting sqref="B78">
    <cfRule type="containsText" dxfId="175" priority="2" stopIfTrue="1" operator="containsText" text="Met">
      <formula>NOT(ISERROR(SEARCH("Met",B78)))</formula>
    </cfRule>
  </conditionalFormatting>
  <conditionalFormatting sqref="B78">
    <cfRule type="containsText" dxfId="174" priority="1" stopIfTrue="1" operator="containsText" text="Not Met">
      <formula>NOT(ISERROR(SEARCH("Not Met",B78)))</formula>
    </cfRule>
  </conditionalFormatting>
  <printOptions horizontalCentered="1"/>
  <pageMargins left="0.25" right="0.25" top="0.5" bottom="0.25" header="0.5" footer="0.5"/>
  <pageSetup scale="65" fitToHeight="0" orientation="landscape" horizontalDpi="1200" verticalDpi="1200" r:id="rId1"/>
  <headerFooter alignWithMargins="0">
    <oddFooter>Page &amp;P of &amp;N</oddFooter>
  </headerFooter>
  <rowBreaks count="1" manualBreakCount="1">
    <brk id="4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theme="4"/>
    <pageSetUpPr fitToPage="1"/>
  </sheetPr>
  <dimension ref="A1:L34"/>
  <sheetViews>
    <sheetView showGridLines="0" zoomScale="115" zoomScaleNormal="115" workbookViewId="0">
      <selection activeCell="E24" sqref="E24"/>
    </sheetView>
  </sheetViews>
  <sheetFormatPr defaultRowHeight="12.75"/>
  <cols>
    <col min="1" max="1" width="3.7109375" customWidth="1"/>
    <col min="2" max="2" width="25.7109375" customWidth="1"/>
    <col min="4" max="4" width="16.7109375" customWidth="1"/>
    <col min="5" max="10" width="14.7109375" customWidth="1"/>
    <col min="11" max="11" width="11.85546875" customWidth="1"/>
    <col min="12" max="12" width="83.42578125" style="1212" customWidth="1"/>
  </cols>
  <sheetData>
    <row r="1" spans="1:11" ht="18">
      <c r="A1" s="136" t="s">
        <v>370</v>
      </c>
      <c r="B1" s="136"/>
      <c r="H1" s="135"/>
      <c r="I1" s="135"/>
    </row>
    <row r="2" spans="1:11">
      <c r="A2" s="169" t="str">
        <f>'1st Interim-ADA'!J4</f>
        <v>Fiscal Year 2021-22 First Interim Report</v>
      </c>
    </row>
    <row r="3" spans="1:11" ht="13.5" customHeight="1">
      <c r="A3" s="1636" t="str">
        <f>IF('INTERIM-CERTIFICATION'!$M$1="","CHARTER NAME: Enter Charter Name on INTERIM-CERTIFICATION Worksheet",(CONCATENATE("CHARTER NAME: ",'INTERIM-CERTIFICATION'!$M$1)))</f>
        <v>CHARTER NAME: Encore High School -</v>
      </c>
      <c r="B3" s="1636"/>
      <c r="C3" s="1636"/>
      <c r="D3" s="1636"/>
      <c r="E3" s="1636"/>
      <c r="F3" s="1636"/>
      <c r="G3" s="170"/>
      <c r="H3" s="170"/>
      <c r="I3" s="170"/>
    </row>
    <row r="4" spans="1:11">
      <c r="A4" s="996" t="str">
        <f>Instructions!H1</f>
        <v>Rev. 5/28/2021</v>
      </c>
    </row>
    <row r="5" spans="1:11" ht="12.75" customHeight="1">
      <c r="A5" s="1804" t="s">
        <v>371</v>
      </c>
      <c r="B5" s="1804"/>
      <c r="C5" s="1804"/>
      <c r="D5" s="1804"/>
      <c r="E5" s="1804"/>
      <c r="F5" s="1804"/>
      <c r="G5" s="1804"/>
      <c r="H5" s="1804"/>
      <c r="I5" s="367"/>
      <c r="J5" s="367"/>
      <c r="K5" s="367"/>
    </row>
    <row r="6" spans="1:11">
      <c r="A6" s="1804"/>
      <c r="B6" s="1804"/>
      <c r="C6" s="1804"/>
      <c r="D6" s="1804"/>
      <c r="E6" s="1804"/>
      <c r="F6" s="1804"/>
      <c r="G6" s="1804"/>
      <c r="H6" s="1804"/>
      <c r="I6" s="367"/>
      <c r="J6" s="367"/>
      <c r="K6" s="367"/>
    </row>
    <row r="7" spans="1:11">
      <c r="A7" s="1804"/>
      <c r="B7" s="1804"/>
      <c r="C7" s="1804"/>
      <c r="D7" s="1804"/>
      <c r="E7" s="1804"/>
      <c r="F7" s="1804"/>
      <c r="G7" s="1804"/>
      <c r="H7" s="1804"/>
    </row>
    <row r="8" spans="1:11" ht="12.75" customHeight="1">
      <c r="A8" s="1805" t="s">
        <v>372</v>
      </c>
      <c r="B8" s="1805"/>
      <c r="C8" s="1805"/>
      <c r="D8" s="1805"/>
      <c r="E8" s="1805"/>
      <c r="F8" s="1805"/>
      <c r="G8" s="1805"/>
      <c r="H8" s="1805"/>
    </row>
    <row r="10" spans="1:11" ht="19.5" customHeight="1" thickBot="1">
      <c r="A10" s="1305"/>
      <c r="B10" s="133" t="s">
        <v>373</v>
      </c>
    </row>
    <row r="11" spans="1:11" ht="19.5" customHeight="1" thickBot="1">
      <c r="A11" s="203"/>
      <c r="B11" s="133"/>
    </row>
    <row r="12" spans="1:11" ht="13.5" thickTop="1">
      <c r="A12" s="1369"/>
      <c r="B12" s="1370"/>
      <c r="C12" s="1371"/>
      <c r="D12" s="1372" t="s">
        <v>374</v>
      </c>
      <c r="E12" s="1798" t="str">
        <f>'1st Interim-Assumptions'!G6</f>
        <v>2021-22</v>
      </c>
      <c r="F12" s="1799"/>
      <c r="G12" s="1800" t="str">
        <f>'1st Interim-Assumptions'!H6</f>
        <v>2022-23</v>
      </c>
      <c r="H12" s="1801"/>
      <c r="I12" s="1800" t="str">
        <f>'1st Interim-Assumptions'!J6</f>
        <v>2023-24</v>
      </c>
      <c r="J12" s="1801"/>
      <c r="K12" s="1373" t="s">
        <v>375</v>
      </c>
    </row>
    <row r="13" spans="1:11">
      <c r="A13" s="1374"/>
      <c r="C13" s="1375" t="s">
        <v>376</v>
      </c>
      <c r="D13" s="1376" t="str">
        <f>'Budget-DEBT'!D13</f>
        <v>2021</v>
      </c>
      <c r="E13" s="1802" t="s">
        <v>378</v>
      </c>
      <c r="F13" s="1803"/>
      <c r="G13" s="1802" t="s">
        <v>378</v>
      </c>
      <c r="H13" s="1803"/>
      <c r="I13" s="1802" t="s">
        <v>378</v>
      </c>
      <c r="J13" s="1803"/>
      <c r="K13" s="1377" t="s">
        <v>379</v>
      </c>
    </row>
    <row r="14" spans="1:11" ht="13.5" thickBot="1">
      <c r="A14" s="1374" t="s">
        <v>380</v>
      </c>
      <c r="C14" s="1378" t="s">
        <v>381</v>
      </c>
      <c r="D14" s="1379" t="s">
        <v>382</v>
      </c>
      <c r="E14" s="1380" t="s">
        <v>383</v>
      </c>
      <c r="F14" s="1381" t="s">
        <v>250</v>
      </c>
      <c r="G14" s="1380" t="s">
        <v>383</v>
      </c>
      <c r="H14" s="1381" t="s">
        <v>250</v>
      </c>
      <c r="I14" s="1380" t="s">
        <v>383</v>
      </c>
      <c r="J14" s="1381" t="s">
        <v>250</v>
      </c>
      <c r="K14" s="1382"/>
    </row>
    <row r="15" spans="1:11" ht="18" customHeight="1" thickBot="1">
      <c r="A15" s="171" t="s">
        <v>384</v>
      </c>
      <c r="B15" s="172"/>
      <c r="C15" s="201"/>
      <c r="D15" s="28"/>
      <c r="E15" s="209"/>
      <c r="F15" s="211"/>
      <c r="G15" s="209"/>
      <c r="H15" s="211"/>
      <c r="I15" s="209"/>
      <c r="J15" s="211"/>
      <c r="K15" s="212"/>
    </row>
    <row r="16" spans="1:11" ht="18" customHeight="1" thickBot="1">
      <c r="A16" s="171" t="s">
        <v>385</v>
      </c>
      <c r="B16" s="172"/>
      <c r="C16" s="201"/>
      <c r="D16" s="28"/>
      <c r="E16" s="209"/>
      <c r="F16" s="211"/>
      <c r="G16" s="209"/>
      <c r="H16" s="211"/>
      <c r="I16" s="209"/>
      <c r="J16" s="211"/>
      <c r="K16" s="212"/>
    </row>
    <row r="17" spans="1:12" ht="18" customHeight="1" thickBot="1">
      <c r="A17" s="171" t="s">
        <v>386</v>
      </c>
      <c r="B17" s="172"/>
      <c r="C17" s="201"/>
      <c r="D17" s="28"/>
      <c r="E17" s="209"/>
      <c r="F17" s="211"/>
      <c r="G17" s="209"/>
      <c r="H17" s="211"/>
      <c r="I17" s="209"/>
      <c r="J17" s="211"/>
      <c r="K17" s="212"/>
    </row>
    <row r="18" spans="1:12" ht="18" customHeight="1" thickBot="1">
      <c r="A18" s="171" t="s">
        <v>387</v>
      </c>
      <c r="B18" s="172"/>
      <c r="C18" s="201"/>
      <c r="D18" s="193"/>
      <c r="E18" s="210"/>
      <c r="F18" s="211"/>
      <c r="G18" s="210"/>
      <c r="H18" s="211"/>
      <c r="I18" s="210"/>
      <c r="J18" s="211"/>
      <c r="K18" s="212"/>
    </row>
    <row r="19" spans="1:12" ht="18" customHeight="1" thickBot="1">
      <c r="A19" s="171" t="s">
        <v>388</v>
      </c>
      <c r="B19" s="172"/>
      <c r="C19" s="201"/>
      <c r="D19" s="28">
        <v>2000000</v>
      </c>
      <c r="E19" s="209">
        <v>2000000</v>
      </c>
      <c r="F19" s="211"/>
      <c r="G19" s="209"/>
      <c r="H19" s="211"/>
      <c r="I19" s="209"/>
      <c r="J19" s="211"/>
      <c r="K19" s="212" t="s">
        <v>571</v>
      </c>
      <c r="L19" s="1240" t="s">
        <v>572</v>
      </c>
    </row>
    <row r="20" spans="1:12" ht="18" customHeight="1" thickBot="1">
      <c r="A20" s="171" t="s">
        <v>389</v>
      </c>
      <c r="B20" s="172"/>
      <c r="C20" s="201"/>
      <c r="D20" s="28"/>
      <c r="E20" s="209"/>
      <c r="F20" s="211"/>
      <c r="G20" s="209"/>
      <c r="H20" s="211"/>
      <c r="I20" s="209"/>
      <c r="J20" s="211"/>
      <c r="K20" s="212"/>
    </row>
    <row r="21" spans="1:12" ht="18" customHeight="1" thickBot="1">
      <c r="A21" s="173" t="s">
        <v>390</v>
      </c>
      <c r="B21" s="172"/>
      <c r="C21" s="201" t="s">
        <v>391</v>
      </c>
      <c r="D21" s="28">
        <v>4237.53</v>
      </c>
      <c r="E21" s="209">
        <v>4209.46</v>
      </c>
      <c r="F21" s="211">
        <v>28.07</v>
      </c>
      <c r="G21" s="209"/>
      <c r="H21" s="211"/>
      <c r="I21" s="209"/>
      <c r="J21" s="211"/>
      <c r="K21" s="212" t="s">
        <v>392</v>
      </c>
      <c r="L21" s="1212" t="s">
        <v>393</v>
      </c>
    </row>
    <row r="22" spans="1:12" ht="18" customHeight="1" thickBot="1">
      <c r="A22" s="173" t="s">
        <v>390</v>
      </c>
      <c r="B22" s="173"/>
      <c r="C22" s="201"/>
      <c r="D22" s="28"/>
      <c r="E22" s="209"/>
      <c r="F22" s="211"/>
      <c r="G22" s="209"/>
      <c r="H22" s="211"/>
      <c r="I22" s="209"/>
      <c r="J22" s="211"/>
      <c r="K22" s="212"/>
    </row>
    <row r="23" spans="1:12" ht="18" customHeight="1" thickBot="1">
      <c r="A23" s="173" t="s">
        <v>390</v>
      </c>
      <c r="B23" s="172"/>
      <c r="C23" s="201"/>
      <c r="D23" s="28"/>
      <c r="E23" s="209"/>
      <c r="F23" s="211"/>
      <c r="G23" s="209"/>
      <c r="H23" s="211"/>
      <c r="I23" s="209"/>
      <c r="J23" s="211"/>
      <c r="K23" s="212"/>
    </row>
    <row r="24" spans="1:12" ht="18" customHeight="1" thickBot="1">
      <c r="A24" s="173" t="s">
        <v>394</v>
      </c>
      <c r="B24" s="172"/>
      <c r="C24" s="201">
        <v>1</v>
      </c>
      <c r="D24" s="28">
        <v>2467016.52</v>
      </c>
      <c r="E24" s="209">
        <v>2362582</v>
      </c>
      <c r="F24" s="211">
        <v>104435</v>
      </c>
      <c r="G24" s="209"/>
      <c r="H24" s="211"/>
      <c r="I24" s="209"/>
      <c r="J24" s="211"/>
      <c r="K24" s="212" t="s">
        <v>395</v>
      </c>
      <c r="L24" s="1240" t="s">
        <v>396</v>
      </c>
    </row>
    <row r="25" spans="1:12" ht="18" customHeight="1" thickBot="1">
      <c r="A25" s="173" t="s">
        <v>217</v>
      </c>
      <c r="B25" s="172"/>
      <c r="C25" s="201" t="s">
        <v>397</v>
      </c>
      <c r="D25" s="1393">
        <v>187500</v>
      </c>
      <c r="E25" s="1394">
        <v>187500</v>
      </c>
      <c r="F25" s="1395"/>
      <c r="G25" s="1394"/>
      <c r="H25" s="1395"/>
      <c r="I25" s="1394"/>
      <c r="J25" s="1395"/>
      <c r="K25" s="212" t="s">
        <v>398</v>
      </c>
      <c r="L25" s="1240" t="s">
        <v>573</v>
      </c>
    </row>
    <row r="26" spans="1:12" s="133" customFormat="1" ht="18" customHeight="1" thickBot="1">
      <c r="A26" s="1390"/>
      <c r="B26" s="1391" t="s">
        <v>400</v>
      </c>
      <c r="C26" s="1392"/>
      <c r="D26" s="1396">
        <f>SUM(D15:D25)</f>
        <v>4658754.05</v>
      </c>
      <c r="E26" s="1397">
        <f t="shared" ref="E26:J26" si="0">SUM(E15:E25)</f>
        <v>4554291.46</v>
      </c>
      <c r="F26" s="1398">
        <f t="shared" si="0"/>
        <v>104463.07</v>
      </c>
      <c r="G26" s="1397">
        <f t="shared" si="0"/>
        <v>0</v>
      </c>
      <c r="H26" s="1398">
        <f t="shared" si="0"/>
        <v>0</v>
      </c>
      <c r="I26" s="1397">
        <f t="shared" si="0"/>
        <v>0</v>
      </c>
      <c r="J26" s="1398">
        <f t="shared" si="0"/>
        <v>0</v>
      </c>
      <c r="K26" s="1399"/>
      <c r="L26" s="1241"/>
    </row>
    <row r="27" spans="1:12" ht="9.75" customHeight="1">
      <c r="A27" s="1374"/>
      <c r="C27" s="174"/>
      <c r="D27" s="174"/>
      <c r="E27" s="174"/>
      <c r="F27" s="174"/>
      <c r="G27" s="174"/>
      <c r="H27" s="174"/>
      <c r="I27" s="174"/>
      <c r="J27" s="174"/>
      <c r="K27" s="1383"/>
    </row>
    <row r="28" spans="1:12" ht="18" customHeight="1" thickBot="1">
      <c r="A28" s="1384" t="s">
        <v>401</v>
      </c>
      <c r="B28" s="175"/>
      <c r="C28" s="1385"/>
      <c r="D28" s="1385"/>
      <c r="E28" s="1385"/>
      <c r="F28" s="1385"/>
      <c r="G28" s="1385"/>
      <c r="H28" s="1385"/>
      <c r="I28" s="1385"/>
      <c r="J28" s="1385"/>
      <c r="K28" s="1386"/>
    </row>
    <row r="29" spans="1:12" ht="18" customHeight="1" thickBot="1">
      <c r="A29" s="1790" t="s">
        <v>574</v>
      </c>
      <c r="B29" s="1791"/>
      <c r="C29" s="1791"/>
      <c r="D29" s="1791"/>
      <c r="E29" s="1791"/>
      <c r="F29" s="1791"/>
      <c r="G29" s="1791"/>
      <c r="H29" s="1791"/>
      <c r="I29" s="1791"/>
      <c r="J29" s="1791"/>
      <c r="K29" s="1792"/>
    </row>
    <row r="30" spans="1:12" ht="18" customHeight="1" thickBot="1">
      <c r="A30" s="1790"/>
      <c r="B30" s="1793"/>
      <c r="C30" s="1793"/>
      <c r="D30" s="1793"/>
      <c r="E30" s="1793"/>
      <c r="F30" s="1793"/>
      <c r="G30" s="1793"/>
      <c r="H30" s="1793"/>
      <c r="I30" s="1793"/>
      <c r="J30" s="1793"/>
      <c r="K30" s="1794"/>
    </row>
    <row r="31" spans="1:12" ht="18" customHeight="1" thickBot="1">
      <c r="A31" s="1790"/>
      <c r="B31" s="1791"/>
      <c r="C31" s="1791"/>
      <c r="D31" s="1791"/>
      <c r="E31" s="1791"/>
      <c r="F31" s="1791"/>
      <c r="G31" s="1791"/>
      <c r="H31" s="1791"/>
      <c r="I31" s="1791"/>
      <c r="J31" s="1791"/>
      <c r="K31" s="1792"/>
    </row>
    <row r="32" spans="1:12" ht="18" customHeight="1">
      <c r="A32" s="1387" t="s">
        <v>403</v>
      </c>
      <c r="B32" s="1388"/>
      <c r="C32" s="1388"/>
      <c r="D32" s="1388"/>
      <c r="E32" s="1388"/>
      <c r="F32" s="1388"/>
      <c r="G32" s="1388"/>
      <c r="H32" s="1388"/>
      <c r="I32" s="1388"/>
      <c r="J32" s="1388"/>
      <c r="K32" s="1389"/>
    </row>
    <row r="33" spans="1:11" ht="81" customHeight="1" thickBot="1">
      <c r="A33" s="1795"/>
      <c r="B33" s="1796"/>
      <c r="C33" s="1796"/>
      <c r="D33" s="1796"/>
      <c r="E33" s="1796"/>
      <c r="F33" s="1796"/>
      <c r="G33" s="1796"/>
      <c r="H33" s="1796"/>
      <c r="I33" s="1796"/>
      <c r="J33" s="1796"/>
      <c r="K33" s="1797"/>
    </row>
    <row r="34" spans="1:11" ht="13.5" thickTop="1"/>
  </sheetData>
  <sheetProtection password="CC5F" sheet="1" objects="1" scenarios="1"/>
  <mergeCells count="13">
    <mergeCell ref="A3:F3"/>
    <mergeCell ref="A8:H8"/>
    <mergeCell ref="A5:H7"/>
    <mergeCell ref="A33:K33"/>
    <mergeCell ref="A29:K29"/>
    <mergeCell ref="A30:K30"/>
    <mergeCell ref="A31:K31"/>
    <mergeCell ref="E12:F12"/>
    <mergeCell ref="G12:H12"/>
    <mergeCell ref="I12:J12"/>
    <mergeCell ref="E13:F13"/>
    <mergeCell ref="G13:H13"/>
    <mergeCell ref="I13:J13"/>
  </mergeCells>
  <phoneticPr fontId="5" type="noConversion"/>
  <conditionalFormatting sqref="A3">
    <cfRule type="containsText" dxfId="173" priority="1" stopIfTrue="1" operator="containsText" text="Enter">
      <formula>NOT(ISERROR(SEARCH("Enter",A3)))</formula>
    </cfRule>
  </conditionalFormatting>
  <printOptions horizontalCentered="1"/>
  <pageMargins left="0.5" right="0.5" top="0.75" bottom="0.75" header="0.5" footer="0.5"/>
  <pageSetup scale="83" fitToHeight="0" orientation="landscape" r:id="rId1"/>
  <headerFooter alignWithMargins="0"/>
  <customProperties>
    <customPr name="DrillPoint.FROID" r:id="rId2"/>
    <customPr name="DrillPoint.Mode" r:id="rId3"/>
    <customPr name="DrillPoint.Subsheet" r:id="rId4"/>
  </customPropertie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4"/>
    <pageSetUpPr autoPageBreaks="0"/>
  </sheetPr>
  <dimension ref="A1:AG64"/>
  <sheetViews>
    <sheetView showGridLines="0" zoomScale="91" zoomScaleNormal="91" workbookViewId="0">
      <pane xSplit="4" ySplit="7" topLeftCell="E20" activePane="bottomRight" state="frozen"/>
      <selection pane="topRight" activeCell="E1" sqref="E1"/>
      <selection pane="bottomLeft" activeCell="A8" sqref="A8"/>
      <selection pane="bottomRight" activeCell="D43" sqref="D43"/>
    </sheetView>
  </sheetViews>
  <sheetFormatPr defaultRowHeight="12.75"/>
  <cols>
    <col min="1" max="1" width="2.5703125" customWidth="1"/>
    <col min="2" max="2" width="45.85546875" customWidth="1"/>
    <col min="3" max="3" width="14.7109375" customWidth="1"/>
    <col min="4" max="4" width="12.85546875" customWidth="1"/>
    <col min="5" max="5" width="13.42578125" customWidth="1"/>
    <col min="6" max="6" width="9" bestFit="1" customWidth="1"/>
    <col min="7" max="7" width="13.42578125" customWidth="1"/>
    <col min="8" max="8" width="8.7109375" customWidth="1"/>
    <col min="9" max="9" width="13.42578125" customWidth="1"/>
    <col min="10" max="10" width="8.7109375" customWidth="1"/>
    <col min="11" max="11" width="13.28515625" customWidth="1"/>
    <col min="12" max="12" width="8.7109375" customWidth="1"/>
    <col min="13" max="13" width="13.42578125" customWidth="1"/>
    <col min="14" max="14" width="8.7109375" customWidth="1"/>
    <col min="15" max="15" width="13.42578125" customWidth="1"/>
    <col min="16" max="16" width="8.7109375" customWidth="1"/>
    <col min="17" max="17" width="13.42578125" customWidth="1"/>
    <col min="18" max="18" width="8.7109375" customWidth="1"/>
    <col min="19" max="19" width="13.42578125" customWidth="1"/>
    <col min="20" max="20" width="9.140625" customWidth="1"/>
    <col min="21" max="21" width="13.42578125" customWidth="1"/>
    <col min="22" max="22" width="9.140625" customWidth="1"/>
    <col min="23" max="23" width="13.42578125" customWidth="1"/>
    <col min="24" max="24" width="9.140625" customWidth="1"/>
    <col min="25" max="25" width="13.42578125" customWidth="1"/>
    <col min="26" max="26" width="9.140625" customWidth="1"/>
    <col min="27" max="27" width="13.7109375" customWidth="1"/>
    <col min="28" max="28" width="9.140625" customWidth="1"/>
    <col min="29" max="29" width="13.42578125" style="174" customWidth="1"/>
    <col min="30" max="30" width="17.140625" style="174" customWidth="1"/>
    <col min="31" max="32" width="13.7109375" style="174" customWidth="1"/>
    <col min="33" max="33" width="70.5703125" customWidth="1"/>
  </cols>
  <sheetData>
    <row r="1" spans="1:33" ht="16.5" thickBot="1">
      <c r="A1" s="176"/>
      <c r="B1" s="176"/>
      <c r="C1" s="176"/>
      <c r="D1" s="176"/>
      <c r="E1" s="177"/>
      <c r="F1" s="1815" t="str">
        <f>IF('INTERIM-CERTIFICATION'!$M$1="","CHARTER NAME: Enter Charter Name on INTERIM-CERTIFICATION Worksheet",(CONCATENATE("CHARTER NAME: ",'INTERIM-CERTIFICATION'!$M$1)))</f>
        <v>CHARTER NAME: Encore High School -</v>
      </c>
      <c r="G1" s="1815" t="str">
        <f>IF('INTERIM-CERTIFICATION'!$H$1="","CHARTER NAME: Enter Charter Name on INTERIM-CERTIFICATION Worksheet",(CONCATENATE("CHARTER NAME: ",'INTERIM-CERTIFICATION'!$H$1)))</f>
        <v>CHARTER NAME: Enter Charter Name on INTERIM-CERTIFICATION Worksheet</v>
      </c>
      <c r="H1" s="1815"/>
      <c r="I1" s="1815"/>
      <c r="J1" s="1815"/>
      <c r="K1" s="1815"/>
      <c r="L1" s="1815"/>
      <c r="M1" s="179"/>
      <c r="N1" s="178"/>
      <c r="O1" s="179"/>
      <c r="P1" s="178"/>
      <c r="Q1" s="179"/>
      <c r="R1" s="178"/>
      <c r="S1" s="179"/>
      <c r="T1" s="1815" t="str">
        <f>IF('INTERIM-CERTIFICATION'!$M$1="","CHARTER NAME: Enter Charter Name on INTERIM-CERTIFICATION Worksheet",(CONCATENATE("CHARTER NAME: ",'INTERIM-CERTIFICATION'!$M$1)))</f>
        <v>CHARTER NAME: Encore High School -</v>
      </c>
      <c r="U1" s="1815" t="str">
        <f>IF('INTERIM-CERTIFICATION'!$H$1="","CHARTER NAME: Enter Charter Name on INTERIM-CERTIFICATION Worksheet",(CONCATENATE("CHARTER NAME: ",'INTERIM-CERTIFICATION'!$H$1)))</f>
        <v>CHARTER NAME: Enter Charter Name on INTERIM-CERTIFICATION Worksheet</v>
      </c>
      <c r="V1" s="1815"/>
      <c r="W1" s="1815"/>
      <c r="X1" s="1815"/>
      <c r="Y1" s="1815"/>
      <c r="Z1" s="1815"/>
      <c r="AA1" s="179"/>
      <c r="AB1" s="178"/>
      <c r="AD1" s="1023"/>
      <c r="AE1" s="1023"/>
      <c r="AF1" s="1023"/>
      <c r="AG1" s="1212"/>
    </row>
    <row r="2" spans="1:33" ht="15.75">
      <c r="B2" s="183" t="s">
        <v>405</v>
      </c>
      <c r="C2" s="96">
        <v>44540</v>
      </c>
      <c r="D2" s="184"/>
      <c r="G2" s="1844" t="str">
        <f>""&amp;'Budget-ADA'!K7&amp;"  First Interim Cash Flow"</f>
        <v>2021-22  First Interim Cash Flow</v>
      </c>
      <c r="H2" s="1844"/>
      <c r="I2" s="1844"/>
      <c r="J2" s="1844"/>
      <c r="K2" s="1844"/>
      <c r="M2" s="179"/>
      <c r="O2" s="179"/>
      <c r="Q2" s="179"/>
      <c r="S2" s="179"/>
      <c r="U2" s="178"/>
      <c r="W2" s="217" t="str">
        <f>+G2</f>
        <v>2021-22  First Interim Cash Flow</v>
      </c>
      <c r="Y2" s="178"/>
      <c r="AA2" s="179"/>
      <c r="AC2" s="1023"/>
      <c r="AD2" s="1023"/>
      <c r="AE2" s="1023"/>
      <c r="AF2" s="1023"/>
      <c r="AG2" s="1212"/>
    </row>
    <row r="3" spans="1:33" ht="16.5" thickBot="1">
      <c r="A3" s="1090" t="str">
        <f>Instructions!H1</f>
        <v>Rev. 5/28/2021</v>
      </c>
      <c r="B3" s="182"/>
      <c r="C3" s="22"/>
      <c r="D3" s="22"/>
      <c r="E3" s="25"/>
      <c r="F3" s="24"/>
      <c r="G3" s="26"/>
      <c r="H3" s="24"/>
      <c r="I3" s="26"/>
      <c r="J3" s="24"/>
      <c r="K3" s="26"/>
      <c r="L3" s="24"/>
      <c r="M3" s="26"/>
      <c r="N3" s="24"/>
      <c r="O3" s="26"/>
      <c r="P3" s="24"/>
      <c r="Q3" s="26"/>
      <c r="R3" s="24"/>
      <c r="S3" s="26"/>
      <c r="T3" s="24"/>
      <c r="U3" s="26"/>
      <c r="V3" s="24"/>
      <c r="W3" s="26"/>
      <c r="X3" s="24"/>
      <c r="Y3" s="26"/>
      <c r="Z3" s="24"/>
      <c r="AA3" s="26"/>
      <c r="AB3" s="24"/>
      <c r="AC3" s="1023"/>
      <c r="AD3" s="1023"/>
      <c r="AE3" s="1023"/>
      <c r="AF3" s="1023"/>
      <c r="AG3" s="1212"/>
    </row>
    <row r="4" spans="1:33" ht="15.75">
      <c r="A4" s="402"/>
      <c r="B4" s="71"/>
      <c r="C4" s="71"/>
      <c r="D4" s="71"/>
      <c r="E4" s="625" t="s">
        <v>406</v>
      </c>
      <c r="F4" s="403" t="s">
        <v>407</v>
      </c>
      <c r="G4" s="540" t="s">
        <v>408</v>
      </c>
      <c r="H4" s="403" t="s">
        <v>407</v>
      </c>
      <c r="I4" s="540" t="s">
        <v>409</v>
      </c>
      <c r="J4" s="403" t="s">
        <v>407</v>
      </c>
      <c r="K4" s="540" t="s">
        <v>410</v>
      </c>
      <c r="L4" s="541" t="s">
        <v>407</v>
      </c>
      <c r="M4" s="540" t="s">
        <v>411</v>
      </c>
      <c r="N4" s="403" t="s">
        <v>407</v>
      </c>
      <c r="O4" s="540" t="s">
        <v>412</v>
      </c>
      <c r="P4" s="403" t="s">
        <v>407</v>
      </c>
      <c r="Q4" s="540" t="s">
        <v>413</v>
      </c>
      <c r="R4" s="403" t="s">
        <v>407</v>
      </c>
      <c r="S4" s="540" t="s">
        <v>414</v>
      </c>
      <c r="T4" s="403" t="s">
        <v>407</v>
      </c>
      <c r="U4" s="540" t="s">
        <v>415</v>
      </c>
      <c r="V4" s="403" t="s">
        <v>407</v>
      </c>
      <c r="W4" s="540" t="s">
        <v>416</v>
      </c>
      <c r="X4" s="403" t="s">
        <v>407</v>
      </c>
      <c r="Y4" s="540" t="s">
        <v>417</v>
      </c>
      <c r="Z4" s="403" t="s">
        <v>407</v>
      </c>
      <c r="AA4" s="540" t="s">
        <v>418</v>
      </c>
      <c r="AB4" s="403" t="s">
        <v>407</v>
      </c>
      <c r="AC4" s="1024" t="s">
        <v>229</v>
      </c>
      <c r="AD4" s="1032"/>
      <c r="AE4" s="1032" t="s">
        <v>232</v>
      </c>
      <c r="AF4" s="1032"/>
      <c r="AG4" s="1212"/>
    </row>
    <row r="5" spans="1:33" ht="16.5" thickBot="1">
      <c r="A5" s="186"/>
      <c r="B5" s="22"/>
      <c r="C5" s="22"/>
      <c r="D5" s="22"/>
      <c r="E5" s="219" t="s">
        <v>550</v>
      </c>
      <c r="F5" s="1045" t="s">
        <v>419</v>
      </c>
      <c r="G5" s="187" t="s">
        <v>550</v>
      </c>
      <c r="H5" s="1045" t="s">
        <v>419</v>
      </c>
      <c r="I5" s="187" t="s">
        <v>550</v>
      </c>
      <c r="J5" s="1045" t="s">
        <v>419</v>
      </c>
      <c r="K5" s="187" t="s">
        <v>550</v>
      </c>
      <c r="L5" s="63" t="s">
        <v>419</v>
      </c>
      <c r="M5" s="187" t="s">
        <v>229</v>
      </c>
      <c r="N5" s="1045" t="s">
        <v>419</v>
      </c>
      <c r="O5" s="187" t="s">
        <v>229</v>
      </c>
      <c r="P5" s="60" t="s">
        <v>419</v>
      </c>
      <c r="Q5" s="187" t="s">
        <v>229</v>
      </c>
      <c r="R5" s="1045" t="s">
        <v>419</v>
      </c>
      <c r="S5" s="187" t="s">
        <v>229</v>
      </c>
      <c r="T5" s="60" t="s">
        <v>419</v>
      </c>
      <c r="U5" s="187" t="s">
        <v>229</v>
      </c>
      <c r="V5" s="60" t="s">
        <v>419</v>
      </c>
      <c r="W5" s="187" t="s">
        <v>229</v>
      </c>
      <c r="X5" s="60" t="s">
        <v>419</v>
      </c>
      <c r="Y5" s="187" t="s">
        <v>229</v>
      </c>
      <c r="Z5" s="60" t="s">
        <v>419</v>
      </c>
      <c r="AA5" s="187" t="s">
        <v>229</v>
      </c>
      <c r="AB5" s="60" t="s">
        <v>419</v>
      </c>
      <c r="AC5" s="1025" t="s">
        <v>420</v>
      </c>
      <c r="AD5" s="1033" t="s">
        <v>400</v>
      </c>
      <c r="AE5" s="1033" t="s">
        <v>234</v>
      </c>
      <c r="AF5" s="1033" t="s">
        <v>421</v>
      </c>
      <c r="AG5" s="1212"/>
    </row>
    <row r="6" spans="1:33" ht="17.25" thickTop="1" thickBot="1">
      <c r="A6" s="189" t="s">
        <v>422</v>
      </c>
      <c r="B6" s="180"/>
      <c r="D6" s="412" t="s">
        <v>575</v>
      </c>
      <c r="E6" s="1058">
        <v>1426798.85</v>
      </c>
      <c r="F6" s="61"/>
      <c r="G6" s="190">
        <f>E60</f>
        <v>1982942.0700000003</v>
      </c>
      <c r="H6" s="61"/>
      <c r="I6" s="190">
        <f>G60</f>
        <v>1388211.0300000007</v>
      </c>
      <c r="J6" s="61"/>
      <c r="K6" s="190">
        <f>I60</f>
        <v>1030440.4200000018</v>
      </c>
      <c r="L6" s="543"/>
      <c r="M6" s="513">
        <f>K60</f>
        <v>818109.81000000343</v>
      </c>
      <c r="N6" s="1046"/>
      <c r="O6" s="513">
        <f>M60</f>
        <v>1064151.0531395911</v>
      </c>
      <c r="P6" s="61"/>
      <c r="Q6" s="513">
        <f>O60</f>
        <v>469305.91625291854</v>
      </c>
      <c r="R6" s="61"/>
      <c r="S6" s="513">
        <f>Q60</f>
        <v>664095.84856126085</v>
      </c>
      <c r="T6" s="61"/>
      <c r="U6" s="190">
        <f>S60</f>
        <v>839130.76086960314</v>
      </c>
      <c r="V6" s="61"/>
      <c r="W6" s="190">
        <f>U60</f>
        <v>370764.05503835995</v>
      </c>
      <c r="X6" s="61"/>
      <c r="Y6" s="190">
        <f>W60</f>
        <v>491563.34920711687</v>
      </c>
      <c r="Z6" s="61"/>
      <c r="AA6" s="190">
        <f>Y60</f>
        <v>211581.14337587368</v>
      </c>
      <c r="AB6" s="61"/>
      <c r="AC6" s="389">
        <f>+AA60</f>
        <v>65793.937544630608</v>
      </c>
      <c r="AD6" s="57"/>
      <c r="AE6" s="57"/>
      <c r="AF6" s="57"/>
      <c r="AG6" s="1212"/>
    </row>
    <row r="7" spans="1:33" ht="17.25" thickTop="1" thickBot="1">
      <c r="A7" s="404"/>
      <c r="B7" s="368"/>
      <c r="C7" s="64"/>
      <c r="D7" s="1072"/>
      <c r="E7" s="1848" t="s">
        <v>576</v>
      </c>
      <c r="F7" s="1848"/>
      <c r="G7" s="1848"/>
      <c r="H7" s="1848"/>
      <c r="I7" s="1848"/>
      <c r="J7" s="1848"/>
      <c r="K7" s="1848"/>
      <c r="L7" s="1849"/>
      <c r="M7" s="65"/>
      <c r="N7" s="62"/>
      <c r="O7" s="65"/>
      <c r="P7" s="62"/>
      <c r="Q7" s="65"/>
      <c r="R7" s="62"/>
      <c r="S7" s="65"/>
      <c r="T7" s="62"/>
      <c r="U7" s="65"/>
      <c r="V7" s="62"/>
      <c r="W7" s="65"/>
      <c r="X7" s="62"/>
      <c r="Y7" s="65"/>
      <c r="Z7" s="62"/>
      <c r="AA7" s="65"/>
      <c r="AB7" s="62"/>
      <c r="AC7" s="1026"/>
      <c r="AD7" s="1026"/>
      <c r="AE7" s="1026"/>
      <c r="AF7" s="1038"/>
      <c r="AG7" s="1212"/>
    </row>
    <row r="8" spans="1:33" ht="15.75">
      <c r="A8" s="66" t="s">
        <v>423</v>
      </c>
      <c r="B8" s="522"/>
      <c r="C8" s="373"/>
      <c r="D8" s="1073"/>
      <c r="E8" s="523"/>
      <c r="F8" s="165"/>
      <c r="G8" s="375"/>
      <c r="H8" s="165"/>
      <c r="I8" s="375"/>
      <c r="J8" s="165"/>
      <c r="K8" s="375"/>
      <c r="L8" s="1068"/>
      <c r="M8" s="375"/>
      <c r="N8" s="165"/>
      <c r="O8" s="375"/>
      <c r="P8" s="165"/>
      <c r="Q8" s="375"/>
      <c r="R8" s="165"/>
      <c r="S8" s="375"/>
      <c r="T8" s="165"/>
      <c r="U8" s="375"/>
      <c r="V8" s="165"/>
      <c r="W8" s="375"/>
      <c r="X8" s="165"/>
      <c r="Y8" s="375"/>
      <c r="Z8" s="165"/>
      <c r="AA8" s="375"/>
      <c r="AB8" s="165"/>
      <c r="AC8" s="1027"/>
      <c r="AD8" s="1027"/>
      <c r="AE8" s="1027"/>
      <c r="AF8" s="1035"/>
      <c r="AG8" s="1212"/>
    </row>
    <row r="9" spans="1:33" ht="15.75">
      <c r="A9" s="405" t="s">
        <v>236</v>
      </c>
      <c r="B9" s="146"/>
      <c r="C9" s="140"/>
      <c r="D9" s="1070"/>
      <c r="E9" s="781"/>
      <c r="F9" s="386"/>
      <c r="G9" s="509"/>
      <c r="H9" s="386"/>
      <c r="I9" s="509"/>
      <c r="J9" s="386"/>
      <c r="K9" s="509"/>
      <c r="L9" s="514"/>
      <c r="M9" s="509"/>
      <c r="N9" s="386"/>
      <c r="O9" s="509"/>
      <c r="P9" s="386"/>
      <c r="Q9" s="509"/>
      <c r="R9" s="386"/>
      <c r="S9" s="509"/>
      <c r="T9" s="386"/>
      <c r="U9" s="509"/>
      <c r="V9" s="386"/>
      <c r="W9" s="509"/>
      <c r="X9" s="386"/>
      <c r="Y9" s="509"/>
      <c r="Z9" s="386"/>
      <c r="AA9" s="509"/>
      <c r="AB9" s="386"/>
      <c r="AC9" s="1028"/>
      <c r="AD9" s="1031"/>
      <c r="AE9" s="1031"/>
      <c r="AF9" s="387"/>
      <c r="AG9" s="1212"/>
    </row>
    <row r="10" spans="1:33" ht="15.75">
      <c r="A10" s="406"/>
      <c r="B10" s="140" t="s">
        <v>237</v>
      </c>
      <c r="C10" s="278">
        <v>8011</v>
      </c>
      <c r="D10" s="1070"/>
      <c r="E10" s="378"/>
      <c r="F10" s="531" t="str">
        <f>IF($AE10&lt;1," ",IF(E10&lt;1," ",(E10)/$AE10))</f>
        <v xml:space="preserve"> </v>
      </c>
      <c r="G10" s="390">
        <v>343371</v>
      </c>
      <c r="H10" s="531">
        <f>IF($AE10&lt;1," ",IF(G10&lt;1," ",(G10)/$AE10))</f>
        <v>0.26315785440025752</v>
      </c>
      <c r="I10" s="390">
        <v>343371</v>
      </c>
      <c r="J10" s="531">
        <f>IF($AE10&lt;1," ",IF(I10&lt;1," ",(I10)/$AE10))</f>
        <v>0.26315785440025752</v>
      </c>
      <c r="K10" s="390">
        <v>618068</v>
      </c>
      <c r="L10" s="341">
        <f>IF($AE10&lt;1," ",IF(K10&lt;1," ",(K10)/$AE10))</f>
        <v>0.47368429119948496</v>
      </c>
      <c r="M10" s="378">
        <v>618068</v>
      </c>
      <c r="N10" s="340">
        <f>IF($AE10&lt;1," ",IF(M10&lt;1," ",(M10)/$AE10))</f>
        <v>0.47368429119948496</v>
      </c>
      <c r="O10" s="390">
        <v>618068</v>
      </c>
      <c r="P10" s="340">
        <f>IF($AE10&lt;1," ",IF(O10&lt;1," ",(O10)/$AE10))</f>
        <v>0.47368429119948496</v>
      </c>
      <c r="Q10" s="390">
        <v>618068</v>
      </c>
      <c r="R10" s="531">
        <f>IF($AE10&lt;1," ",IF(Q10&lt;1," ",(Q10)/$AE10))</f>
        <v>0.47368429119948496</v>
      </c>
      <c r="S10" s="390">
        <v>618068</v>
      </c>
      <c r="T10" s="340">
        <f>IF($AE10&lt;1," ",IF(S10&lt;1," ",(S10)/$AE10))</f>
        <v>0.47368429119948496</v>
      </c>
      <c r="U10" s="390">
        <v>306100.8</v>
      </c>
      <c r="V10" s="340">
        <f>IF($AE10&lt;1," ",IF(U10&lt;1," ",(U10)/$AE10))</f>
        <v>0.23459415547091148</v>
      </c>
      <c r="W10" s="390">
        <v>306100.8</v>
      </c>
      <c r="X10" s="340">
        <f>IF($AE10&lt;1," ",IF(W10&lt;1," ",(W10)/$AE10))</f>
        <v>0.23459415547091148</v>
      </c>
      <c r="Y10" s="390">
        <v>306100.8</v>
      </c>
      <c r="Z10" s="340">
        <f>IF($AE10&lt;1," ",IF(Y10&lt;1," ",(Y10)/$AE10))</f>
        <v>0.23459415547091148</v>
      </c>
      <c r="AA10" s="390">
        <v>306100.8</v>
      </c>
      <c r="AB10" s="340">
        <f>IF($AE10&lt;1," ",IF(AA10&lt;1," ",(AA10)/$AE10))</f>
        <v>0.23459415547091148</v>
      </c>
      <c r="AC10" s="1600">
        <f>AE10-(E10+G10+I10+K10+M10+O10+Q10+S10+U10+W10+Y10+AA10)</f>
        <v>-3696675.1999999993</v>
      </c>
      <c r="AD10" s="379">
        <f>+E10+G10+I10+K10+M10+O10+Q10+S10+U10+W10+Y10+AA10+AC10</f>
        <v>1304810</v>
      </c>
      <c r="AE10" s="379">
        <f>'1st Interim-Summary MYP'!F13</f>
        <v>1304810</v>
      </c>
      <c r="AF10" s="379">
        <f>+AE10-AD10</f>
        <v>0</v>
      </c>
      <c r="AG10" s="1240" t="s">
        <v>577</v>
      </c>
    </row>
    <row r="11" spans="1:33" ht="15.75">
      <c r="A11" s="406"/>
      <c r="B11" s="140" t="s">
        <v>239</v>
      </c>
      <c r="C11" s="278">
        <v>8012</v>
      </c>
      <c r="D11" s="1070"/>
      <c r="E11" s="378"/>
      <c r="F11" s="531" t="str">
        <f>IF($AE11&lt;1," ",IF(E11&lt;1," ",(E11)/$AE11))</f>
        <v xml:space="preserve"> </v>
      </c>
      <c r="G11" s="390"/>
      <c r="H11" s="531" t="str">
        <f>IF($AE11&lt;1," ",IF(G11&lt;1," ",(G11)/$AE11))</f>
        <v xml:space="preserve"> </v>
      </c>
      <c r="I11" s="390"/>
      <c r="J11" s="531" t="str">
        <f>IF($AE11&lt;1," ",IF(I11&lt;1," ",(I11)/$AE11))</f>
        <v xml:space="preserve"> </v>
      </c>
      <c r="K11" s="390">
        <v>609490</v>
      </c>
      <c r="L11" s="341">
        <f>IF($AE11&lt;1," ",IF(K11&lt;1," ",(K11)/$AE11))</f>
        <v>1</v>
      </c>
      <c r="M11" s="378"/>
      <c r="N11" s="340" t="str">
        <f>IF($AE11&lt;1," ",IF(M11&lt;1," ",(M11)/$AE11))</f>
        <v xml:space="preserve"> </v>
      </c>
      <c r="O11" s="390"/>
      <c r="P11" s="340" t="str">
        <f>IF($AE11&lt;1," ",IF(O11&lt;1," ",(O11)/$AE11))</f>
        <v xml:space="preserve"> </v>
      </c>
      <c r="Q11" s="390">
        <v>609490</v>
      </c>
      <c r="R11" s="531">
        <f>IF($AE11&lt;1," ",IF(Q11&lt;1," ",(Q11)/$AE11))</f>
        <v>1</v>
      </c>
      <c r="S11" s="390"/>
      <c r="T11" s="340" t="str">
        <f>IF($AE11&lt;1," ",IF(S11&lt;1," ",(S11)/$AE11))</f>
        <v xml:space="preserve"> </v>
      </c>
      <c r="U11" s="390"/>
      <c r="V11" s="340" t="str">
        <f>IF($AE11&lt;1," ",IF(U11&lt;1," ",(U11)/$AE11))</f>
        <v xml:space="preserve"> </v>
      </c>
      <c r="W11" s="390">
        <v>170781.5</v>
      </c>
      <c r="X11" s="340">
        <f>IF($AE11&lt;1," ",IF(W11&lt;1," ",(W11)/$AE11))</f>
        <v>0.28020394099985235</v>
      </c>
      <c r="Y11" s="390"/>
      <c r="Z11" s="340" t="str">
        <f>IF($AE11&lt;1," ",IF(Y11&lt;1," ",(Y11)/$AE11))</f>
        <v xml:space="preserve"> </v>
      </c>
      <c r="AA11" s="390">
        <v>170781.5</v>
      </c>
      <c r="AB11" s="340">
        <f>IF($AE11&lt;1," ",IF(AA11&lt;1," ",(AA11)/$AE11))</f>
        <v>0.28020394099985235</v>
      </c>
      <c r="AC11" s="1600">
        <f t="shared" ref="AC11:AC22" si="0">AE11-(E11+G11+I11+K11+M11+O11+Q11+S11+U11+W11+Y11+AA11)</f>
        <v>-951053</v>
      </c>
      <c r="AD11" s="379">
        <f>+E11+G11+I11+K11+M11+O11+Q11+S11+U11+W11+Y11+AA11+AC11</f>
        <v>609490</v>
      </c>
      <c r="AE11" s="379">
        <f>'1st Interim-Summary MYP'!F14</f>
        <v>609490</v>
      </c>
      <c r="AF11" s="379">
        <f>+AE11-AD11</f>
        <v>0</v>
      </c>
      <c r="AG11" s="1240" t="s">
        <v>577</v>
      </c>
    </row>
    <row r="12" spans="1:33" ht="15.75">
      <c r="A12" s="406"/>
      <c r="B12" s="140" t="s">
        <v>240</v>
      </c>
      <c r="C12" s="278">
        <v>8019</v>
      </c>
      <c r="D12" s="1074"/>
      <c r="E12" s="378"/>
      <c r="F12" s="531" t="str">
        <f>IF($AE12&lt;1," ",IF(E12&lt;1," ",(E12)/$AE12))</f>
        <v xml:space="preserve"> </v>
      </c>
      <c r="G12" s="390"/>
      <c r="H12" s="531" t="str">
        <f>IF($AE12&lt;1," ",IF(G12&lt;1," ",(G12)/$AE12))</f>
        <v xml:space="preserve"> </v>
      </c>
      <c r="I12" s="390"/>
      <c r="J12" s="531" t="str">
        <f>IF($AE12&lt;1," ",IF(I12&lt;1," ",(I12)/$AE12))</f>
        <v xml:space="preserve"> </v>
      </c>
      <c r="K12" s="390"/>
      <c r="L12" s="341" t="str">
        <f>IF($AE12&lt;1," ",IF(K12&lt;1," ",(K12)/$AE12))</f>
        <v xml:space="preserve"> </v>
      </c>
      <c r="M12" s="378"/>
      <c r="N12" s="340" t="str">
        <f>IF($AE12&lt;1," ",IF(M12&lt;1," ",(M12)/$AE12))</f>
        <v xml:space="preserve"> </v>
      </c>
      <c r="O12" s="390"/>
      <c r="P12" s="340" t="str">
        <f>IF($AE12&lt;1," ",IF(O12&lt;1," ",(O12)/$AE12))</f>
        <v xml:space="preserve"> </v>
      </c>
      <c r="Q12" s="390"/>
      <c r="R12" s="531" t="str">
        <f>IF($AE12&lt;1," ",IF(Q12&lt;1," ",(Q12)/$AE12))</f>
        <v xml:space="preserve"> </v>
      </c>
      <c r="S12" s="390"/>
      <c r="T12" s="340" t="str">
        <f>IF($AE12&lt;1," ",IF(S12&lt;1," ",(S12)/$AE12))</f>
        <v xml:space="preserve"> </v>
      </c>
      <c r="U12" s="390"/>
      <c r="V12" s="340" t="str">
        <f>IF($AE12&lt;1," ",IF(U12&lt;1," ",(U12)/$AE12))</f>
        <v xml:space="preserve"> </v>
      </c>
      <c r="W12" s="390"/>
      <c r="X12" s="340" t="str">
        <f>IF($AE12&lt;1," ",IF(W12&lt;1," ",(W12)/$AE12))</f>
        <v xml:space="preserve"> </v>
      </c>
      <c r="Y12" s="390"/>
      <c r="Z12" s="340" t="str">
        <f>IF($AE12&lt;1," ",IF(Y12&lt;1," ",(Y12)/$AE12))</f>
        <v xml:space="preserve"> </v>
      </c>
      <c r="AA12" s="390"/>
      <c r="AB12" s="340" t="str">
        <f>IF($AE12&lt;1," ",IF(AA12&lt;1," ",(AA12)/$AE12))</f>
        <v xml:space="preserve"> </v>
      </c>
      <c r="AC12" s="1600">
        <f t="shared" si="0"/>
        <v>0</v>
      </c>
      <c r="AD12" s="379">
        <f>+E12+G12+I12+K12+M12+O12+Q12+S12+U12+W12+Y12+AA12+AC12</f>
        <v>0</v>
      </c>
      <c r="AE12" s="380">
        <f>'1st Interim-Summary MYP'!F15</f>
        <v>0</v>
      </c>
      <c r="AF12" s="379">
        <f>+AE12-AD12</f>
        <v>0</v>
      </c>
      <c r="AG12" s="1240" t="s">
        <v>577</v>
      </c>
    </row>
    <row r="13" spans="1:33" ht="15.75">
      <c r="A13" s="406"/>
      <c r="B13" s="140" t="s">
        <v>241</v>
      </c>
      <c r="C13" s="278">
        <v>8096</v>
      </c>
      <c r="D13" s="1074"/>
      <c r="E13" s="378"/>
      <c r="F13" s="531" t="str">
        <f>IF($AE13&lt;1," ",IF(E13&lt;1," ",(E13)/$AE13))</f>
        <v xml:space="preserve"> </v>
      </c>
      <c r="G13" s="390"/>
      <c r="H13" s="531" t="str">
        <f>IF($AE13&lt;1," ",IF(G13&lt;1," ",(G13)/$AE13))</f>
        <v xml:space="preserve"> </v>
      </c>
      <c r="I13" s="390"/>
      <c r="J13" s="531" t="str">
        <f>IF($AE13&lt;1," ",IF(I13&lt;1," ",(I13)/$AE13))</f>
        <v xml:space="preserve"> </v>
      </c>
      <c r="K13" s="390"/>
      <c r="L13" s="341" t="str">
        <f>IF($AE13&lt;1," ",IF(K13&lt;1," ",(K13)/$AE13))</f>
        <v xml:space="preserve"> </v>
      </c>
      <c r="M13" s="378">
        <v>13822</v>
      </c>
      <c r="N13" s="340" t="str">
        <f>IF($AE13&lt;1," ",IF(M13&lt;1," ",(M13)/$AE13))</f>
        <v xml:space="preserve"> </v>
      </c>
      <c r="O13" s="390"/>
      <c r="P13" s="340" t="str">
        <f>IF($AE13&lt;1," ",IF(O13&lt;1," ",(O13)/$AE13))</f>
        <v xml:space="preserve"> </v>
      </c>
      <c r="Q13" s="390"/>
      <c r="R13" s="531" t="str">
        <f>IF($AE13&lt;1," ",IF(Q13&lt;1," ",(Q13)/$AE13))</f>
        <v xml:space="preserve"> </v>
      </c>
      <c r="S13" s="390"/>
      <c r="T13" s="340" t="str">
        <f>IF($AE13&lt;1," ",IF(S13&lt;1," ",(S13)/$AE13))</f>
        <v xml:space="preserve"> </v>
      </c>
      <c r="U13" s="390">
        <v>77859</v>
      </c>
      <c r="V13" s="340" t="str">
        <f>IF($AE13&lt;1," ",IF(U13&lt;1," ",(U13)/$AE13))</f>
        <v xml:space="preserve"> </v>
      </c>
      <c r="W13" s="390">
        <v>38929.5</v>
      </c>
      <c r="X13" s="340" t="str">
        <f>IF($AE13&lt;1," ",IF(W13&lt;1," ",(W13)/$AE13))</f>
        <v xml:space="preserve"> </v>
      </c>
      <c r="Y13" s="390">
        <v>38929.5</v>
      </c>
      <c r="Z13" s="340" t="str">
        <f>IF($AE13&lt;1," ",IF(Y13&lt;1," ",(Y13)/$AE13))</f>
        <v xml:space="preserve"> </v>
      </c>
      <c r="AA13" s="390">
        <v>38929.5</v>
      </c>
      <c r="AB13" s="340" t="str">
        <f>IF($AE13&lt;1," ",IF(AA13&lt;1," ",(AA13)/$AE13))</f>
        <v xml:space="preserve"> </v>
      </c>
      <c r="AC13" s="1600">
        <f t="shared" si="0"/>
        <v>-208469.5</v>
      </c>
      <c r="AD13" s="379">
        <f>+E13+G13+I13+K13+M13+O13+Q13+S13+U13+W13+Y13+AA13+AC13</f>
        <v>0</v>
      </c>
      <c r="AE13" s="379">
        <f>'1st Interim-Summary MYP'!F16</f>
        <v>0</v>
      </c>
      <c r="AF13" s="379">
        <f>+AE13-AD13</f>
        <v>0</v>
      </c>
      <c r="AG13" s="1240" t="s">
        <v>577</v>
      </c>
    </row>
    <row r="14" spans="1:33" ht="15.75">
      <c r="A14" s="405" t="s">
        <v>242</v>
      </c>
      <c r="B14" s="146"/>
      <c r="C14" s="278" t="s">
        <v>243</v>
      </c>
      <c r="D14" s="1070"/>
      <c r="E14" s="378">
        <v>23417</v>
      </c>
      <c r="F14" s="531">
        <f>IF($AE14&lt;1," ",IF(E14&lt;1," ",(E14)/$AE14))</f>
        <v>9.8103580740897575E-2</v>
      </c>
      <c r="G14" s="390">
        <v>127144</v>
      </c>
      <c r="H14" s="531">
        <f>IF($AE14&lt;1," ",IF(G14&lt;1," ",(G14)/$AE14))</f>
        <v>0.53265925053254826</v>
      </c>
      <c r="I14" s="390"/>
      <c r="J14" s="531" t="str">
        <f>IF($AE14&lt;1," ",IF(I14&lt;1," ",(I14)/$AE14))</f>
        <v xml:space="preserve"> </v>
      </c>
      <c r="K14" s="390">
        <v>98754.69</v>
      </c>
      <c r="L14" s="341">
        <f>IF($AE14&lt;1," ",IF(K14&lt;1," ",(K14)/$AE14))</f>
        <v>0.41372458914281551</v>
      </c>
      <c r="M14" s="378">
        <v>98754.69</v>
      </c>
      <c r="N14" s="340">
        <f>IF($AE14&lt;1," ",IF(M14&lt;1," ",(M14)/$AE14))</f>
        <v>0.41372458914281551</v>
      </c>
      <c r="O14" s="390"/>
      <c r="P14" s="340" t="str">
        <f>IF($AE14&lt;1," ",IF(O14&lt;1," ",(O14)/$AE14))</f>
        <v xml:space="preserve"> </v>
      </c>
      <c r="Q14" s="390">
        <v>114814</v>
      </c>
      <c r="R14" s="531">
        <f>IF($AE14&lt;1," ",IF(Q14&lt;1," ",(Q14)/$AE14))</f>
        <v>0.48100373742090852</v>
      </c>
      <c r="S14" s="390">
        <v>451337.28499999997</v>
      </c>
      <c r="T14" s="340">
        <f>IF($AE14&lt;1," ",IF(S14&lt;1," ",(S14)/$AE14))</f>
        <v>1.8908401494800786</v>
      </c>
      <c r="U14" s="390"/>
      <c r="V14" s="340" t="str">
        <f>IF($AE14&lt;1," ",IF(U14&lt;1," ",(U14)/$AE14))</f>
        <v xml:space="preserve"> </v>
      </c>
      <c r="W14" s="390">
        <v>114814</v>
      </c>
      <c r="X14" s="340">
        <f>IF($AE14&lt;1," ",IF(W14&lt;1," ",(W14)/$AE14))</f>
        <v>0.48100373742090852</v>
      </c>
      <c r="Y14" s="390">
        <v>114814</v>
      </c>
      <c r="Z14" s="340">
        <f>IF($AE14&lt;1," ",IF(Y14&lt;1," ",(Y14)/$AE14))</f>
        <v>0.48100373742090852</v>
      </c>
      <c r="AA14" s="390">
        <v>165374.75</v>
      </c>
      <c r="AB14" s="340">
        <f>IF($AE14&lt;1," ",IF(AA14&lt;1," ",(AA14)/$AE14))</f>
        <v>0.69282380916132513</v>
      </c>
      <c r="AC14" s="1600">
        <f t="shared" si="0"/>
        <v>-1070527.7250000001</v>
      </c>
      <c r="AD14" s="379">
        <f>+E14+G14+I14+K14+M14+O14+Q14+S14+U14+W14+Y14+AA14+AC14</f>
        <v>238696.68999999994</v>
      </c>
      <c r="AE14" s="379">
        <f>'1st Interim-Summary MYP'!F17</f>
        <v>238696.69</v>
      </c>
      <c r="AF14" s="379">
        <f t="shared" ref="AF14:AF22" si="1">+AE14-AD14</f>
        <v>0</v>
      </c>
      <c r="AG14" s="1240" t="s">
        <v>577</v>
      </c>
    </row>
    <row r="15" spans="1:33" ht="15.75">
      <c r="A15" s="406" t="s">
        <v>244</v>
      </c>
      <c r="B15" s="140"/>
      <c r="C15" s="140"/>
      <c r="D15" s="1070"/>
      <c r="E15" s="510"/>
      <c r="F15" s="531"/>
      <c r="G15" s="391"/>
      <c r="H15" s="531"/>
      <c r="I15" s="391"/>
      <c r="J15" s="531"/>
      <c r="K15" s="391"/>
      <c r="L15" s="341"/>
      <c r="M15" s="510"/>
      <c r="N15" s="340"/>
      <c r="O15" s="391"/>
      <c r="P15" s="340"/>
      <c r="Q15" s="391"/>
      <c r="R15" s="531"/>
      <c r="S15" s="391"/>
      <c r="T15" s="340"/>
      <c r="U15" s="391"/>
      <c r="V15" s="340"/>
      <c r="W15" s="391"/>
      <c r="X15" s="340"/>
      <c r="Y15" s="391"/>
      <c r="Z15" s="340"/>
      <c r="AA15" s="391"/>
      <c r="AB15" s="340"/>
      <c r="AC15" s="1601"/>
      <c r="AD15" s="379"/>
      <c r="AE15" s="379"/>
      <c r="AF15" s="379"/>
      <c r="AG15" s="1240" t="s">
        <v>577</v>
      </c>
    </row>
    <row r="16" spans="1:33" ht="15.75">
      <c r="A16" s="406"/>
      <c r="B16" s="140" t="s">
        <v>245</v>
      </c>
      <c r="C16" s="278">
        <v>8560</v>
      </c>
      <c r="D16" s="1070"/>
      <c r="E16" s="378"/>
      <c r="F16" s="531" t="str">
        <f>IF($AE16&lt;1," ",IF(E16&lt;1," ",(E16)/$AE16))</f>
        <v xml:space="preserve"> </v>
      </c>
      <c r="G16" s="390"/>
      <c r="H16" s="531" t="str">
        <f>IF($AE16&lt;1," ",IF(G16&lt;1," ",(G16)/$AE16))</f>
        <v xml:space="preserve"> </v>
      </c>
      <c r="I16" s="390"/>
      <c r="J16" s="531" t="str">
        <f>IF($AE16&lt;1," ",IF(I16&lt;1," ",(I16)/$AE16))</f>
        <v xml:space="preserve"> </v>
      </c>
      <c r="K16" s="390"/>
      <c r="L16" s="341" t="str">
        <f>IF($AE16&lt;1," ",IF(K16&lt;1," ",(K16)/$AE16))</f>
        <v xml:space="preserve"> </v>
      </c>
      <c r="M16" s="378"/>
      <c r="N16" s="340" t="str">
        <f>IF($AE16&lt;1," ",IF(M16&lt;1," ",(M16)/$AE16))</f>
        <v xml:space="preserve"> </v>
      </c>
      <c r="O16" s="390"/>
      <c r="P16" s="340" t="str">
        <f>IF($AE16&lt;1," ",IF(O16&lt;1," ",(O16)/$AE16))</f>
        <v xml:space="preserve"> </v>
      </c>
      <c r="Q16" s="390"/>
      <c r="R16" s="531" t="str">
        <f>IF($AE16&lt;1," ",IF(Q16&lt;1," ",(Q16)/$AE16))</f>
        <v xml:space="preserve"> </v>
      </c>
      <c r="S16" s="390"/>
      <c r="T16" s="340" t="str">
        <f>IF($AE16&lt;1," ",IF(S16&lt;1," ",(S16)/$AE16))</f>
        <v xml:space="preserve"> </v>
      </c>
      <c r="U16" s="390"/>
      <c r="V16" s="340" t="str">
        <f>IF($AE16&lt;1," ",IF(U16&lt;1," ",(U16)/$AE16))</f>
        <v xml:space="preserve"> </v>
      </c>
      <c r="W16" s="390"/>
      <c r="X16" s="340" t="str">
        <f>IF($AE16&lt;1," ",IF(W16&lt;1," ",(W16)/$AE16))</f>
        <v xml:space="preserve"> </v>
      </c>
      <c r="Y16" s="390"/>
      <c r="Z16" s="340" t="str">
        <f>IF($AE16&lt;1," ",IF(Y16&lt;1," ",(Y16)/$AE16))</f>
        <v xml:space="preserve"> </v>
      </c>
      <c r="AA16" s="390"/>
      <c r="AB16" s="340" t="str">
        <f>IF($AE16&lt;1," ",IF(AA16&lt;1," ",(AA16)/$AE16))</f>
        <v xml:space="preserve"> </v>
      </c>
      <c r="AC16" s="1600">
        <f t="shared" si="0"/>
        <v>0</v>
      </c>
      <c r="AD16" s="379">
        <f>+E16+G16+I16+K16+M16+O16+Q16+S16+U16+W16+Y16+AA16+AC16</f>
        <v>0</v>
      </c>
      <c r="AE16" s="379">
        <f>'1st Interim-Summary MYP'!F19</f>
        <v>0</v>
      </c>
      <c r="AF16" s="379">
        <f t="shared" si="1"/>
        <v>0</v>
      </c>
      <c r="AG16" s="1240" t="s">
        <v>577</v>
      </c>
    </row>
    <row r="17" spans="1:33" ht="15.75">
      <c r="A17" s="406"/>
      <c r="B17" s="140" t="s">
        <v>246</v>
      </c>
      <c r="C17" s="278">
        <v>8560</v>
      </c>
      <c r="D17" s="1070"/>
      <c r="E17" s="378"/>
      <c r="F17" s="531" t="str">
        <f>IF($AE17&lt;1," ",IF(E17&lt;1," ",(E17)/$AE17))</f>
        <v xml:space="preserve"> </v>
      </c>
      <c r="G17" s="390"/>
      <c r="H17" s="531" t="str">
        <f>IF($AE17&lt;1," ",IF(G17&lt;1," ",(G17)/$AE17))</f>
        <v xml:space="preserve"> </v>
      </c>
      <c r="I17" s="390"/>
      <c r="J17" s="531" t="str">
        <f>IF($AE17&lt;1," ",IF(I17&lt;1," ",(I17)/$AE17))</f>
        <v xml:space="preserve"> </v>
      </c>
      <c r="K17" s="390"/>
      <c r="L17" s="341" t="str">
        <f>IF($AE17&lt;1," ",IF(K17&lt;1," ",(K17)/$AE17))</f>
        <v xml:space="preserve"> </v>
      </c>
      <c r="M17" s="378"/>
      <c r="N17" s="340" t="str">
        <f>IF($AE17&lt;1," ",IF(M17&lt;1," ",(M17)/$AE17))</f>
        <v xml:space="preserve"> </v>
      </c>
      <c r="O17" s="390"/>
      <c r="P17" s="340" t="str">
        <f>IF($AE17&lt;1," ",IF(O17&lt;1," ",(O17)/$AE17))</f>
        <v xml:space="preserve"> </v>
      </c>
      <c r="Q17" s="390"/>
      <c r="R17" s="531" t="str">
        <f>IF($AE17&lt;1," ",IF(Q17&lt;1," ",(Q17)/$AE17))</f>
        <v xml:space="preserve"> </v>
      </c>
      <c r="S17" s="390"/>
      <c r="T17" s="340" t="str">
        <f>IF($AE17&lt;1," ",IF(S17&lt;1," ",(S17)/$AE17))</f>
        <v xml:space="preserve"> </v>
      </c>
      <c r="U17" s="390"/>
      <c r="V17" s="340" t="str">
        <f>IF($AE17&lt;1," ",IF(U17&lt;1," ",(U17)/$AE17))</f>
        <v xml:space="preserve"> </v>
      </c>
      <c r="W17" s="390"/>
      <c r="X17" s="340" t="str">
        <f>IF($AE17&lt;1," ",IF(W17&lt;1," ",(W17)/$AE17))</f>
        <v xml:space="preserve"> </v>
      </c>
      <c r="Y17" s="390"/>
      <c r="Z17" s="340" t="str">
        <f>IF($AE17&lt;1," ",IF(Y17&lt;1," ",(Y17)/$AE17))</f>
        <v xml:space="preserve"> </v>
      </c>
      <c r="AA17" s="390"/>
      <c r="AB17" s="340" t="str">
        <f>IF($AE17&lt;1," ",IF(AA17&lt;1," ",(AA17)/$AE17))</f>
        <v xml:space="preserve"> </v>
      </c>
      <c r="AC17" s="1600">
        <f t="shared" si="0"/>
        <v>0</v>
      </c>
      <c r="AD17" s="379">
        <f>+E17+G17+I17+K17+M17+O17+Q17+S17+U17+W17+Y17+AA17+AC17</f>
        <v>0</v>
      </c>
      <c r="AE17" s="379">
        <f>'1st Interim-Summary MYP'!F20</f>
        <v>0</v>
      </c>
      <c r="AF17" s="379">
        <f>+AE17-AD17</f>
        <v>0</v>
      </c>
      <c r="AG17" s="1240" t="s">
        <v>577</v>
      </c>
    </row>
    <row r="18" spans="1:33" ht="15.75">
      <c r="A18" s="406"/>
      <c r="B18" s="140" t="s">
        <v>247</v>
      </c>
      <c r="C18" s="278" t="s">
        <v>248</v>
      </c>
      <c r="D18" s="1070"/>
      <c r="E18" s="378"/>
      <c r="F18" s="531" t="str">
        <f>IF($AE18&lt;1," ",IF(E18&lt;1," ",(E18)/$AE18))</f>
        <v xml:space="preserve"> </v>
      </c>
      <c r="G18" s="390"/>
      <c r="H18" s="531" t="str">
        <f>IF($AE18&lt;1," ",IF(G18&lt;1," ",(G18)/$AE18))</f>
        <v xml:space="preserve"> </v>
      </c>
      <c r="I18" s="390"/>
      <c r="J18" s="531" t="str">
        <f>IF($AE18&lt;1," ",IF(I18&lt;1," ",(I18)/$AE18))</f>
        <v xml:space="preserve"> </v>
      </c>
      <c r="K18" s="390">
        <v>-10595.400000000001</v>
      </c>
      <c r="L18" s="341" t="str">
        <f>IF($AE18&lt;1," ",IF(K18&lt;1," ",(K18)/$AE18))</f>
        <v xml:space="preserve"> </v>
      </c>
      <c r="M18" s="378">
        <v>189117.25313958546</v>
      </c>
      <c r="N18" s="340">
        <f>IF($AE18&lt;1," ",IF(M18&lt;1," ",(M18)/$AE18))</f>
        <v>8061.2639871946058</v>
      </c>
      <c r="O18" s="390">
        <v>189117.25313958546</v>
      </c>
      <c r="P18" s="340">
        <f>IF($AE18&lt;1," ",IF(O18&lt;1," ",(O18)/$AE18))</f>
        <v>8061.2639871946058</v>
      </c>
      <c r="Q18" s="390">
        <v>189117.25313958546</v>
      </c>
      <c r="R18" s="531">
        <f>IF($AE18&lt;1," ",IF(Q18&lt;1," ",(Q18)/$AE18))</f>
        <v>8061.2639871946058</v>
      </c>
      <c r="S18" s="390">
        <v>189117.25313958546</v>
      </c>
      <c r="T18" s="340">
        <f>IF($AE18&lt;1," ",IF(S18&lt;1," ",(S18)/$AE18))</f>
        <v>8061.2639871946058</v>
      </c>
      <c r="U18" s="390">
        <v>93661.119999999995</v>
      </c>
      <c r="V18" s="340">
        <f>IF($AE18&lt;1," ",IF(U18&lt;1," ",(U18)/$AE18))</f>
        <v>3992.3751065643646</v>
      </c>
      <c r="W18" s="390">
        <v>173661.12</v>
      </c>
      <c r="X18" s="340">
        <f>IF($AE18&lt;1," ",IF(W18&lt;1," ",(W18)/$AE18))</f>
        <v>7402.4347826086951</v>
      </c>
      <c r="Y18" s="390">
        <v>93661.119999999995</v>
      </c>
      <c r="Z18" s="340">
        <f>IF($AE18&lt;1," ",IF(Y18&lt;1," ",(Y18)/$AE18))</f>
        <v>3992.3751065643646</v>
      </c>
      <c r="AA18" s="390">
        <v>158661.12</v>
      </c>
      <c r="AB18" s="340">
        <f>IF($AE18&lt;1," ",IF(AA18&lt;1," ",(AA18)/$AE18))</f>
        <v>6763.0485933503833</v>
      </c>
      <c r="AC18" s="1600">
        <f t="shared" si="0"/>
        <v>-1265494.6325583421</v>
      </c>
      <c r="AD18" s="379">
        <f>+E18+G18+I18+K18+M18+O18+Q18+S18+U18+W18+Y18+AA18+AC18</f>
        <v>23.459999999962747</v>
      </c>
      <c r="AE18" s="379">
        <f>'1st Interim-Summary MYP'!F21</f>
        <v>23.46</v>
      </c>
      <c r="AF18" s="379">
        <f t="shared" si="1"/>
        <v>3.7253755635902053E-11</v>
      </c>
      <c r="AG18" s="1240" t="s">
        <v>577</v>
      </c>
    </row>
    <row r="19" spans="1:33" ht="15.75">
      <c r="A19" s="406" t="s">
        <v>249</v>
      </c>
      <c r="B19" s="140"/>
      <c r="C19" s="140"/>
      <c r="D19" s="1070"/>
      <c r="E19" s="510"/>
      <c r="F19" s="531"/>
      <c r="G19" s="391"/>
      <c r="H19" s="531"/>
      <c r="I19" s="391"/>
      <c r="J19" s="531"/>
      <c r="K19" s="391"/>
      <c r="L19" s="341"/>
      <c r="M19" s="510"/>
      <c r="N19" s="340"/>
      <c r="O19" s="391"/>
      <c r="P19" s="340"/>
      <c r="Q19" s="391"/>
      <c r="R19" s="531"/>
      <c r="S19" s="391"/>
      <c r="T19" s="340"/>
      <c r="U19" s="391"/>
      <c r="V19" s="340"/>
      <c r="W19" s="391"/>
      <c r="X19" s="340"/>
      <c r="Y19" s="391"/>
      <c r="Z19" s="340"/>
      <c r="AA19" s="391"/>
      <c r="AB19" s="340"/>
      <c r="AC19" s="1601"/>
      <c r="AD19" s="379"/>
      <c r="AE19" s="379"/>
      <c r="AF19" s="379"/>
      <c r="AG19" s="1240" t="s">
        <v>577</v>
      </c>
    </row>
    <row r="20" spans="1:33" ht="15.75">
      <c r="A20" s="406"/>
      <c r="B20" s="140" t="s">
        <v>250</v>
      </c>
      <c r="C20" s="278">
        <v>8660</v>
      </c>
      <c r="D20" s="1070"/>
      <c r="E20" s="378"/>
      <c r="F20" s="531" t="str">
        <f>IF($AE20&lt;1," ",IF(E20&lt;1," ",(E20)/$AE20))</f>
        <v xml:space="preserve"> </v>
      </c>
      <c r="G20" s="390"/>
      <c r="H20" s="531" t="str">
        <f>IF($AE20&lt;1," ",IF(G20&lt;1," ",(G20)/$AE20))</f>
        <v xml:space="preserve"> </v>
      </c>
      <c r="I20" s="390"/>
      <c r="J20" s="531" t="str">
        <f>IF($AE20&lt;1," ",IF(I20&lt;1," ",(I20)/$AE20))</f>
        <v xml:space="preserve"> </v>
      </c>
      <c r="K20" s="390"/>
      <c r="L20" s="341" t="str">
        <f>IF($AE20&lt;1," ",IF(K20&lt;1," ",(K20)/$AE20))</f>
        <v xml:space="preserve"> </v>
      </c>
      <c r="M20" s="378"/>
      <c r="N20" s="340" t="str">
        <f>IF($AE20&lt;1," ",IF(M20&lt;1," ",(M20)/$AE20))</f>
        <v xml:space="preserve"> </v>
      </c>
      <c r="O20" s="390"/>
      <c r="P20" s="340" t="str">
        <f>IF($AE20&lt;1," ",IF(O20&lt;1," ",(O20)/$AE20))</f>
        <v xml:space="preserve"> </v>
      </c>
      <c r="Q20" s="390"/>
      <c r="R20" s="531" t="str">
        <f>IF($AE20&lt;1," ",IF(Q20&lt;1," ",(Q20)/$AE20))</f>
        <v xml:space="preserve"> </v>
      </c>
      <c r="S20" s="390"/>
      <c r="T20" s="340" t="str">
        <f>IF($AE20&lt;1," ",IF(S20&lt;1," ",(S20)/$AE20))</f>
        <v xml:space="preserve"> </v>
      </c>
      <c r="U20" s="390"/>
      <c r="V20" s="340" t="str">
        <f>IF($AE20&lt;1," ",IF(U20&lt;1," ",(U20)/$AE20))</f>
        <v xml:space="preserve"> </v>
      </c>
      <c r="W20" s="390"/>
      <c r="X20" s="340" t="str">
        <f>IF($AE20&lt;1," ",IF(W20&lt;1," ",(W20)/$AE20))</f>
        <v xml:space="preserve"> </v>
      </c>
      <c r="Y20" s="390"/>
      <c r="Z20" s="340" t="str">
        <f>IF($AE20&lt;1," ",IF(Y20&lt;1," ",(Y20)/$AE20))</f>
        <v xml:space="preserve"> </v>
      </c>
      <c r="AA20" s="390"/>
      <c r="AB20" s="340" t="str">
        <f>IF($AE20&lt;1," ",IF(AA20&lt;1," ",(AA20)/$AE20))</f>
        <v xml:space="preserve"> </v>
      </c>
      <c r="AC20" s="1600">
        <f t="shared" si="0"/>
        <v>0</v>
      </c>
      <c r="AD20" s="379">
        <f>+E20+G20+I20+K20+M20+O20+Q20+S20+U20+W20+Y20+AA20+AC20</f>
        <v>0</v>
      </c>
      <c r="AE20" s="379">
        <f>'1st Interim-Summary MYP'!F23</f>
        <v>0</v>
      </c>
      <c r="AF20" s="379">
        <f t="shared" si="1"/>
        <v>0</v>
      </c>
      <c r="AG20" s="1240" t="s">
        <v>577</v>
      </c>
    </row>
    <row r="21" spans="1:33" ht="15.75">
      <c r="A21" s="406"/>
      <c r="B21" s="140" t="s">
        <v>251</v>
      </c>
      <c r="C21" s="278">
        <v>8792</v>
      </c>
      <c r="D21" s="1070"/>
      <c r="E21" s="378"/>
      <c r="F21" s="531" t="str">
        <f>IF($AE21&lt;1," ",IF(E21&lt;1," ",(E21)/$AE21))</f>
        <v xml:space="preserve"> </v>
      </c>
      <c r="G21" s="390"/>
      <c r="H21" s="531" t="str">
        <f>IF($AE21&lt;1," ",IF(G21&lt;1," ",(G21)/$AE21))</f>
        <v xml:space="preserve"> </v>
      </c>
      <c r="I21" s="390"/>
      <c r="J21" s="531" t="str">
        <f>IF($AE21&lt;1," ",IF(I21&lt;1," ",(I21)/$AE21))</f>
        <v xml:space="preserve"> </v>
      </c>
      <c r="K21" s="390"/>
      <c r="L21" s="341" t="str">
        <f>IF($AE21&lt;1," ",IF(K21&lt;1," ",(K21)/$AE21))</f>
        <v xml:space="preserve"> </v>
      </c>
      <c r="M21" s="378"/>
      <c r="N21" s="340" t="str">
        <f>IF($AE21&lt;1," ",IF(M21&lt;1," ",(M21)/$AE21))</f>
        <v xml:space="preserve"> </v>
      </c>
      <c r="O21" s="390"/>
      <c r="P21" s="340" t="str">
        <f>IF($AE21&lt;1," ",IF(O21&lt;1," ",(O21)/$AE21))</f>
        <v xml:space="preserve"> </v>
      </c>
      <c r="Q21" s="390"/>
      <c r="R21" s="531" t="str">
        <f>IF($AE21&lt;1," ",IF(Q21&lt;1," ",(Q21)/$AE21))</f>
        <v xml:space="preserve"> </v>
      </c>
      <c r="S21" s="390"/>
      <c r="T21" s="340" t="str">
        <f>IF($AE21&lt;1," ",IF(S21&lt;1," ",(S21)/$AE21))</f>
        <v xml:space="preserve"> </v>
      </c>
      <c r="U21" s="390"/>
      <c r="V21" s="340" t="str">
        <f>IF($AE21&lt;1," ",IF(U21&lt;1," ",(U21)/$AE21))</f>
        <v xml:space="preserve"> </v>
      </c>
      <c r="W21" s="390"/>
      <c r="X21" s="340" t="str">
        <f>IF($AE21&lt;1," ",IF(W21&lt;1," ",(W21)/$AE21))</f>
        <v xml:space="preserve"> </v>
      </c>
      <c r="Y21" s="390"/>
      <c r="Z21" s="340" t="str">
        <f>IF($AE21&lt;1," ",IF(Y21&lt;1," ",(Y21)/$AE21))</f>
        <v xml:space="preserve"> </v>
      </c>
      <c r="AA21" s="390"/>
      <c r="AB21" s="340" t="str">
        <f>IF($AE21&lt;1," ",IF(AA21&lt;1," ",(AA21)/$AE21))</f>
        <v xml:space="preserve"> </v>
      </c>
      <c r="AC21" s="1600">
        <f t="shared" si="0"/>
        <v>0</v>
      </c>
      <c r="AD21" s="379">
        <f>+E21+G21+I21+K21+M21+O21+Q21+S21+U21+W21+Y21+AA21+AC21</f>
        <v>0</v>
      </c>
      <c r="AE21" s="379">
        <f>'1st Interim-Summary MYP'!F24</f>
        <v>0</v>
      </c>
      <c r="AF21" s="379">
        <f t="shared" si="1"/>
        <v>0</v>
      </c>
      <c r="AG21" s="1240" t="s">
        <v>577</v>
      </c>
    </row>
    <row r="22" spans="1:33" ht="15.75">
      <c r="A22" s="406"/>
      <c r="B22" s="140" t="s">
        <v>252</v>
      </c>
      <c r="C22" s="278" t="s">
        <v>253</v>
      </c>
      <c r="D22" s="1070"/>
      <c r="E22" s="378"/>
      <c r="F22" s="531" t="str">
        <f>IF($AE22&lt;1," ",IF(E22&lt;1," ",(E22)/$AE22))</f>
        <v xml:space="preserve"> </v>
      </c>
      <c r="G22" s="390">
        <v>3405.43</v>
      </c>
      <c r="H22" s="531">
        <f>IF($AE22&lt;1," ",IF(G22&lt;1," ",(G22)/$AE22))</f>
        <v>0.27927095292766935</v>
      </c>
      <c r="I22" s="390">
        <v>8600.51</v>
      </c>
      <c r="J22" s="531">
        <f>IF($AE22&lt;1," ",IF(I22&lt;1," ",(I22)/$AE22))</f>
        <v>0.70530670821715602</v>
      </c>
      <c r="K22" s="390">
        <v>188.38</v>
      </c>
      <c r="L22" s="341">
        <f>IF($AE22&lt;1," ",IF(K22&lt;1," ",(K22)/$AE22))</f>
        <v>1.5448581269476791E-2</v>
      </c>
      <c r="M22" s="378">
        <v>2000675.4000000001</v>
      </c>
      <c r="N22" s="340">
        <f>IF($AE22&lt;1," ",IF(M22&lt;1," ",(M22)/$AE22))</f>
        <v>164.07047728391012</v>
      </c>
      <c r="O22" s="390"/>
      <c r="P22" s="340" t="str">
        <f>IF($AE22&lt;1," ",IF(O22&lt;1," ",(O22)/$AE22))</f>
        <v xml:space="preserve"> </v>
      </c>
      <c r="Q22" s="390"/>
      <c r="R22" s="531" t="str">
        <f>IF($AE22&lt;1," ",IF(Q22&lt;1," ",(Q22)/$AE22))</f>
        <v xml:space="preserve"> </v>
      </c>
      <c r="S22" s="390"/>
      <c r="T22" s="340" t="str">
        <f>IF($AE22&lt;1," ",IF(S22&lt;1," ",(S22)/$AE22))</f>
        <v xml:space="preserve"> </v>
      </c>
      <c r="U22" s="390"/>
      <c r="V22" s="340" t="str">
        <f>IF($AE22&lt;1," ",IF(U22&lt;1," ",(U22)/$AE22))</f>
        <v xml:space="preserve"> </v>
      </c>
      <c r="W22" s="390"/>
      <c r="X22" s="340" t="str">
        <f>IF($AE22&lt;1," ",IF(W22&lt;1," ",(W22)/$AE22))</f>
        <v xml:space="preserve"> </v>
      </c>
      <c r="Y22" s="390"/>
      <c r="Z22" s="340" t="str">
        <f>IF($AE22&lt;1," ",IF(Y22&lt;1," ",(Y22)/$AE22))</f>
        <v xml:space="preserve"> </v>
      </c>
      <c r="AA22" s="390"/>
      <c r="AB22" s="340" t="str">
        <f>IF($AE22&lt;1," ",IF(AA22&lt;1," ",(AA22)/$AE22))</f>
        <v xml:space="preserve"> </v>
      </c>
      <c r="AC22" s="1600">
        <f t="shared" si="0"/>
        <v>-2000675.7200000002</v>
      </c>
      <c r="AD22" s="379">
        <f>+E22+G22+I22+K22+M22+O22+Q22+S22+U22+W22+Y22+AA22+AC22</f>
        <v>12194</v>
      </c>
      <c r="AE22" s="379">
        <f>'1st Interim-Summary MYP'!F25</f>
        <v>12194</v>
      </c>
      <c r="AF22" s="379">
        <f t="shared" si="1"/>
        <v>0</v>
      </c>
      <c r="AG22" s="1240" t="s">
        <v>577</v>
      </c>
    </row>
    <row r="23" spans="1:33" ht="16.5" thickBot="1">
      <c r="A23" s="405" t="s">
        <v>254</v>
      </c>
      <c r="B23" s="382"/>
      <c r="C23" s="383"/>
      <c r="D23" s="1075"/>
      <c r="E23" s="772">
        <f>SUM(E10:E22)</f>
        <v>23417</v>
      </c>
      <c r="F23" s="533">
        <f>IF($AE23&lt;1," ",IF(E23&lt;1," ",(E23)/$AE23))</f>
        <v>1.0815096511354316E-2</v>
      </c>
      <c r="G23" s="771">
        <f>SUM(G10:G22)</f>
        <v>473920.43</v>
      </c>
      <c r="H23" s="533">
        <f>IF($AE23&lt;1," ",IF(G23&lt;1," ",(G23)/$AE23))</f>
        <v>0.21887924111340212</v>
      </c>
      <c r="I23" s="771">
        <f>SUM(I10:I22)</f>
        <v>351971.51</v>
      </c>
      <c r="J23" s="533">
        <f>IF($AE23&lt;1," ",IF(I23&lt;1," ",(I23)/$AE23))</f>
        <v>0.16255736643878851</v>
      </c>
      <c r="K23" s="771">
        <f>SUM(K10:K22)</f>
        <v>1315905.67</v>
      </c>
      <c r="L23" s="515">
        <f>IF($AE23&lt;1," ",IF(K23&lt;1," ",(K23)/$AE23))</f>
        <v>0.60774850838657224</v>
      </c>
      <c r="M23" s="772">
        <f>SUM(M10:M22)</f>
        <v>2920437.3431395856</v>
      </c>
      <c r="N23" s="384">
        <f>IF($AE23&lt;1," ",IF(M23&lt;1," ",(M23)/$AE23))</f>
        <v>1.3487983824323269</v>
      </c>
      <c r="O23" s="771">
        <f>SUM(O10:O22)</f>
        <v>807185.25313958549</v>
      </c>
      <c r="P23" s="384">
        <f>IF($AE23&lt;1," ",IF(O23&lt;1," ",(O23)/$AE23))</f>
        <v>0.37279696012497682</v>
      </c>
      <c r="Q23" s="771">
        <f>SUM(Q10:Q22)</f>
        <v>1531489.2531395855</v>
      </c>
      <c r="R23" s="533">
        <f>IF($AE23&lt;1," ",IF(Q23&lt;1," ",(Q23)/$AE23))</f>
        <v>0.70731537254159615</v>
      </c>
      <c r="S23" s="771">
        <f>SUM(S10:S22)</f>
        <v>1258522.5381395854</v>
      </c>
      <c r="T23" s="384">
        <f>IF($AE23&lt;1," ",IF(S23&lt;1," ",(S23)/$AE23))</f>
        <v>0.58124621905855611</v>
      </c>
      <c r="U23" s="771">
        <f>SUM(U10:U22)</f>
        <v>477620.92</v>
      </c>
      <c r="V23" s="384">
        <f>IF($AE23&lt;1," ",IF(U23&lt;1," ",(U23)/$AE23))</f>
        <v>0.22058830531843698</v>
      </c>
      <c r="W23" s="771">
        <f>SUM(W10:W22)</f>
        <v>804286.92</v>
      </c>
      <c r="X23" s="384">
        <f>IF($AE23&lt;1," ",IF(W23&lt;1," ",(W23)/$AE23))</f>
        <v>0.37145837052653663</v>
      </c>
      <c r="Y23" s="771">
        <f>SUM(Y10:Y22)</f>
        <v>553505.41999999993</v>
      </c>
      <c r="Z23" s="384">
        <f>IF($AE23&lt;1," ",IF(Y23&lt;1," ",(Y23)/$AE23))</f>
        <v>0.25563541601647116</v>
      </c>
      <c r="AA23" s="771">
        <f>SUM(AA10:AA22)</f>
        <v>839847.67</v>
      </c>
      <c r="AB23" s="384">
        <f>IF($AE23&lt;1," ",IF(AA23&lt;1," ",(AA23)/$AE23))</f>
        <v>0.3878820346707969</v>
      </c>
      <c r="AC23" s="1602">
        <f>SUM(AC10:AC22)</f>
        <v>-9192895.7775583416</v>
      </c>
      <c r="AD23" s="773">
        <f>SUM(AD10:AD22)</f>
        <v>2165214.15</v>
      </c>
      <c r="AE23" s="773">
        <f>SUM(AE10:AE22)</f>
        <v>2165214.15</v>
      </c>
      <c r="AF23" s="773">
        <f>SUM(AF10:AF22)</f>
        <v>3.7253755635902053E-11</v>
      </c>
      <c r="AG23" s="1212"/>
    </row>
    <row r="24" spans="1:33" ht="15.75">
      <c r="A24" s="407"/>
      <c r="B24" s="370"/>
      <c r="C24" s="71"/>
      <c r="D24" s="527"/>
      <c r="E24" s="73"/>
      <c r="F24" s="195"/>
      <c r="G24" s="73"/>
      <c r="H24" s="195"/>
      <c r="I24" s="73"/>
      <c r="J24" s="195"/>
      <c r="K24" s="73"/>
      <c r="L24" s="516"/>
      <c r="M24" s="73"/>
      <c r="N24" s="195"/>
      <c r="O24" s="73"/>
      <c r="P24" s="195"/>
      <c r="Q24" s="73"/>
      <c r="R24" s="195"/>
      <c r="S24" s="73"/>
      <c r="T24" s="195"/>
      <c r="U24" s="73"/>
      <c r="V24" s="195"/>
      <c r="W24" s="73"/>
      <c r="X24" s="195"/>
      <c r="Y24" s="73"/>
      <c r="Z24" s="195"/>
      <c r="AA24" s="73"/>
      <c r="AB24" s="195"/>
      <c r="AC24" s="1023"/>
      <c r="AD24" s="1023"/>
      <c r="AE24" s="1023"/>
      <c r="AF24" s="1039"/>
      <c r="AG24" s="1212"/>
    </row>
    <row r="25" spans="1:33" ht="15.75">
      <c r="A25" s="66" t="s">
        <v>255</v>
      </c>
      <c r="B25" s="180"/>
      <c r="C25" s="373"/>
      <c r="D25" s="1073"/>
      <c r="E25" s="525"/>
      <c r="F25" s="482"/>
      <c r="G25" s="525"/>
      <c r="H25" s="482"/>
      <c r="I25" s="525"/>
      <c r="J25" s="482"/>
      <c r="K25" s="525"/>
      <c r="L25" s="546"/>
      <c r="M25" s="525"/>
      <c r="N25" s="482"/>
      <c r="O25" s="525"/>
      <c r="P25" s="482"/>
      <c r="Q25" s="525"/>
      <c r="R25" s="482"/>
      <c r="S25" s="525"/>
      <c r="T25" s="482"/>
      <c r="U25" s="525"/>
      <c r="V25" s="482"/>
      <c r="W25" s="525"/>
      <c r="X25" s="482"/>
      <c r="Y25" s="525"/>
      <c r="Z25" s="482"/>
      <c r="AA25" s="525"/>
      <c r="AB25" s="482"/>
      <c r="AC25" s="1027"/>
      <c r="AD25" s="1027"/>
      <c r="AE25" s="1027"/>
      <c r="AF25" s="1035"/>
      <c r="AG25" s="1212"/>
    </row>
    <row r="26" spans="1:33" ht="15.75">
      <c r="A26" s="406" t="s">
        <v>256</v>
      </c>
      <c r="B26" s="140"/>
      <c r="C26" s="278" t="s">
        <v>257</v>
      </c>
      <c r="D26" s="1070"/>
      <c r="E26" s="378">
        <v>42528.01</v>
      </c>
      <c r="F26" s="531">
        <f>IF($AE$26&lt;1," ",IF(E26&lt;1," ",(E26)/$AE$26))</f>
        <v>6.984041301871112E-2</v>
      </c>
      <c r="G26" s="390">
        <v>80333.62999999999</v>
      </c>
      <c r="H26" s="531">
        <f>IF($AE$26&lt;1," ",IF(G26&lt;1," ",(G26)/$AE$26))</f>
        <v>0.13192561557647114</v>
      </c>
      <c r="I26" s="390">
        <v>190035.17</v>
      </c>
      <c r="J26" s="531">
        <f>IF($AE$26&lt;1," ",IF(I26&lt;1," ",(I26)/$AE$26))</f>
        <v>0.31207984481006706</v>
      </c>
      <c r="K26" s="390">
        <v>296034.43999999971</v>
      </c>
      <c r="L26" s="341">
        <f>IF($AE$26&lt;1," ",IF(K26&lt;1," ",(K26)/$AE$26))</f>
        <v>0.48615412659475093</v>
      </c>
      <c r="M26" s="378">
        <v>296337.61999999988</v>
      </c>
      <c r="N26" s="340">
        <f>IF($AE$26&lt;1," ",IF(M26&lt;1," ",(M26)/$AE$26))</f>
        <v>0.48665201531371582</v>
      </c>
      <c r="O26" s="390">
        <v>286812.28914285742</v>
      </c>
      <c r="P26" s="531">
        <f>IF($AE$26&lt;1," ",IF(O26&lt;1," ",(O26)/$AE$26))</f>
        <v>0.47100931204115021</v>
      </c>
      <c r="Q26" s="390">
        <v>286812.28914285742</v>
      </c>
      <c r="R26" s="531">
        <f>IF($AE$26&lt;1," ",IF(Q26&lt;1," ",(Q26)/$AE$26))</f>
        <v>0.47100931204115021</v>
      </c>
      <c r="S26" s="390">
        <v>286812.28914285742</v>
      </c>
      <c r="T26" s="340">
        <f>IF($AE$26&lt;1," ",IF(S26&lt;1," ",(S26)/$AE$26))</f>
        <v>0.47100931204115021</v>
      </c>
      <c r="U26" s="390">
        <v>286812.28914285742</v>
      </c>
      <c r="V26" s="340">
        <f>IF($AE$26&lt;1," ",IF(U26&lt;1," ",(U26)/$AE$26))</f>
        <v>0.47100931204115021</v>
      </c>
      <c r="W26" s="390">
        <v>286812.28914285742</v>
      </c>
      <c r="X26" s="340">
        <f>IF($AE$26&lt;1," ",IF(W26&lt;1," ",(W26)/$AE$26))</f>
        <v>0.47100931204115021</v>
      </c>
      <c r="Y26" s="390">
        <v>286812.28914285742</v>
      </c>
      <c r="Z26" s="340">
        <f>IF($AE$26&lt;1," ",IF(Y26&lt;1," ",(Y26)/$AE$26))</f>
        <v>0.47100931204115021</v>
      </c>
      <c r="AA26" s="390">
        <v>286812.28914285742</v>
      </c>
      <c r="AB26" s="340">
        <f>IF($AE$26&lt;1," ",IF(AA26&lt;1," ",(AA26)/$AE$26))</f>
        <v>0.47100931204115021</v>
      </c>
      <c r="AC26" s="1603">
        <f t="shared" ref="AC26:AC33" si="2">AE26-(E26+G26+I26+K26+M26+O26+Q26+S26+U26+W26+Y26+AA26)</f>
        <v>-2304023.6440000013</v>
      </c>
      <c r="AD26" s="387">
        <f t="shared" ref="AD26:AD33" si="3">+E26+G26+I26+K26+M26+O26+Q26+S26+U26+W26+Y26+AA26+AC26</f>
        <v>608931.24999999953</v>
      </c>
      <c r="AE26" s="387">
        <f>'1st Interim-Summary MYP'!F29</f>
        <v>608931.24999999953</v>
      </c>
      <c r="AF26" s="387">
        <f t="shared" ref="AF26:AF33" si="4">+AE26-AD26</f>
        <v>0</v>
      </c>
      <c r="AG26" s="1240" t="s">
        <v>577</v>
      </c>
    </row>
    <row r="27" spans="1:33" ht="15.75">
      <c r="A27" s="406" t="s">
        <v>258</v>
      </c>
      <c r="B27" s="140"/>
      <c r="C27" s="278" t="s">
        <v>259</v>
      </c>
      <c r="D27" s="1070"/>
      <c r="E27" s="378">
        <v>70634.50999999998</v>
      </c>
      <c r="F27" s="531">
        <f>IF($AE$27&lt;1," ",IF(E27&lt;1," ",(E27)/$AE$27))</f>
        <v>0.11971100493522568</v>
      </c>
      <c r="G27" s="390">
        <v>153831.73999999993</v>
      </c>
      <c r="H27" s="531">
        <f>IF($AE$27&lt;1," ",IF(G27&lt;1," ",(G27)/$AE$27))</f>
        <v>0.26071324323385769</v>
      </c>
      <c r="I27" s="390">
        <v>177097.16999999993</v>
      </c>
      <c r="J27" s="531">
        <f>IF($AE$27&lt;1," ",IF(I27&lt;1," ",(I27)/$AE$27))</f>
        <v>0.30014337456130863</v>
      </c>
      <c r="K27" s="390">
        <v>188478.48999999993</v>
      </c>
      <c r="L27" s="341">
        <f>IF($AE$27&lt;1," ",IF(K27&lt;1," ",(K27)/$AE$27))</f>
        <v>0.31943237726960777</v>
      </c>
      <c r="M27" s="378">
        <v>189614.11999999991</v>
      </c>
      <c r="N27" s="340">
        <f>IF($AE$27&lt;1," ",IF(M27&lt;1," ",(M27)/$AE$27))</f>
        <v>0.32135703716368202</v>
      </c>
      <c r="O27" s="390">
        <v>223949.20500000005</v>
      </c>
      <c r="P27" s="531">
        <f>IF($AE$27&lt;1," ",IF(O27&lt;1," ",(O27)/$AE$27))</f>
        <v>0.37954796295741106</v>
      </c>
      <c r="Q27" s="390">
        <v>223949.20500000005</v>
      </c>
      <c r="R27" s="531">
        <f>IF($AE$27&lt;1," ",IF(Q27&lt;1," ",(Q27)/$AE$27))</f>
        <v>0.37954796295741106</v>
      </c>
      <c r="S27" s="390">
        <v>223949.20500000005</v>
      </c>
      <c r="T27" s="340">
        <f>IF($AE$27&lt;1," ",IF(S27&lt;1," ",(S27)/$AE$27))</f>
        <v>0.37954796295741106</v>
      </c>
      <c r="U27" s="390">
        <v>223949.20500000005</v>
      </c>
      <c r="V27" s="340">
        <f>IF($AE$27&lt;1," ",IF(U27&lt;1," ",(U27)/$AE$27))</f>
        <v>0.37954796295741106</v>
      </c>
      <c r="W27" s="390">
        <v>223949.20500000005</v>
      </c>
      <c r="X27" s="340">
        <f>IF($AE$27&lt;1," ",IF(W27&lt;1," ",(W27)/$AE$27))</f>
        <v>0.37954796295741106</v>
      </c>
      <c r="Y27" s="390">
        <v>223949.20500000005</v>
      </c>
      <c r="Z27" s="340">
        <f>IF($AE$27&lt;1," ",IF(Y27&lt;1," ",(Y27)/$AE$27))</f>
        <v>0.37954796295741106</v>
      </c>
      <c r="AA27" s="390">
        <v>223949.20500000005</v>
      </c>
      <c r="AB27" s="340">
        <f>IF($AE$27&lt;1," ",IF(AA27&lt;1," ",(AA27)/$AE$27))</f>
        <v>0.37954796295741106</v>
      </c>
      <c r="AC27" s="1603">
        <f t="shared" si="2"/>
        <v>-1757258.5549999999</v>
      </c>
      <c r="AD27" s="387">
        <f t="shared" si="3"/>
        <v>590041.90999999992</v>
      </c>
      <c r="AE27" s="387">
        <f>'1st Interim-Summary MYP'!F30</f>
        <v>590041.90999999992</v>
      </c>
      <c r="AF27" s="387">
        <f t="shared" si="4"/>
        <v>0</v>
      </c>
      <c r="AG27" s="1240" t="s">
        <v>577</v>
      </c>
    </row>
    <row r="28" spans="1:33" ht="15.75">
      <c r="A28" s="406" t="s">
        <v>260</v>
      </c>
      <c r="B28" s="140"/>
      <c r="C28" s="278" t="s">
        <v>261</v>
      </c>
      <c r="D28" s="1070"/>
      <c r="E28" s="378">
        <v>54238.760000000046</v>
      </c>
      <c r="F28" s="531">
        <f>IF($AE$28&lt;1," ",IF(E28&lt;1," ",(E28)/$AE$28))</f>
        <v>0.11253411839017625</v>
      </c>
      <c r="G28" s="390">
        <v>111024.10999999956</v>
      </c>
      <c r="H28" s="531">
        <f>IF($AE$28&lt;1," ",IF(G28&lt;1," ",(G28)/$AE$28))</f>
        <v>0.23035188007439497</v>
      </c>
      <c r="I28" s="390">
        <v>141330.26999999906</v>
      </c>
      <c r="J28" s="531">
        <f>IF($AE$28&lt;1," ",IF(I28&lt;1," ",(I28)/$AE$28))</f>
        <v>0.29323084333593641</v>
      </c>
      <c r="K28" s="390">
        <v>175382.99999999863</v>
      </c>
      <c r="L28" s="341">
        <f>IF($AE$28&lt;1," ",IF(K28&lt;1," ",(K28)/$AE$28))</f>
        <v>0.36388315819948891</v>
      </c>
      <c r="M28" s="378">
        <v>173140.14999999828</v>
      </c>
      <c r="N28" s="340">
        <f>IF($AE$28&lt;1," ",IF(M28&lt;1," ",(M28)/$AE$28))</f>
        <v>0.35922971207661575</v>
      </c>
      <c r="O28" s="390">
        <v>207427.8337405434</v>
      </c>
      <c r="P28" s="531">
        <f>IF($AE$28&lt;1," ",IF(O28&lt;1," ",(O28)/$AE$28))</f>
        <v>0.43036950696468884</v>
      </c>
      <c r="Q28" s="390">
        <v>204596.76454552828</v>
      </c>
      <c r="R28" s="531">
        <f>IF($AE$28&lt;1," ",IF(Q28&lt;1," ",(Q28)/$AE$28))</f>
        <v>0.42449562865400081</v>
      </c>
      <c r="S28" s="390">
        <v>204596.76454552828</v>
      </c>
      <c r="T28" s="340">
        <f>IF($AE$28&lt;1," ",IF(S28&lt;1," ",(S28)/$AE$28))</f>
        <v>0.42449562865400081</v>
      </c>
      <c r="U28" s="390">
        <v>204596.76454552828</v>
      </c>
      <c r="V28" s="340">
        <f>IF($AE$28&lt;1," ",IF(U28&lt;1," ",(U28)/$AE$28))</f>
        <v>0.42449562865400081</v>
      </c>
      <c r="W28" s="390">
        <v>204596.76454552828</v>
      </c>
      <c r="X28" s="340">
        <f>IF($AE$28&lt;1," ",IF(W28&lt;1," ",(W28)/$AE$28))</f>
        <v>0.42449562865400081</v>
      </c>
      <c r="Y28" s="390">
        <v>204596.76454552828</v>
      </c>
      <c r="Z28" s="340">
        <f>IF($AE$28&lt;1," ",IF(Y28&lt;1," ",(Y28)/$AE$28))</f>
        <v>0.42449562865400081</v>
      </c>
      <c r="AA28" s="390">
        <v>204596.76454552828</v>
      </c>
      <c r="AB28" s="340">
        <f>IF($AE$28&lt;1," ",IF(AA28&lt;1," ",(AA28)/$AE$28))</f>
        <v>0.42449562865400081</v>
      </c>
      <c r="AC28" s="1603">
        <f t="shared" si="2"/>
        <v>-1608148.5710137093</v>
      </c>
      <c r="AD28" s="387">
        <f t="shared" si="3"/>
        <v>481976.13999999897</v>
      </c>
      <c r="AE28" s="387">
        <f>'1st Interim-Summary MYP'!F31</f>
        <v>481976.13999999897</v>
      </c>
      <c r="AF28" s="387">
        <f t="shared" si="4"/>
        <v>0</v>
      </c>
      <c r="AG28" s="1240" t="s">
        <v>577</v>
      </c>
    </row>
    <row r="29" spans="1:33" ht="15.75">
      <c r="A29" s="406" t="s">
        <v>262</v>
      </c>
      <c r="B29" s="140"/>
      <c r="C29" s="278" t="s">
        <v>263</v>
      </c>
      <c r="D29" s="1070"/>
      <c r="E29" s="378">
        <v>465241.14</v>
      </c>
      <c r="F29" s="531">
        <f>IF($AE$29&lt;1," ",IF(E29&lt;1," ",(E29)/$AE$29))</f>
        <v>0.88686014800257362</v>
      </c>
      <c r="G29" s="390">
        <v>95766.030000000013</v>
      </c>
      <c r="H29" s="531">
        <f>IF($AE$29&lt;1," ",IF(G29&lt;1," ",(G29)/$AE$29))</f>
        <v>0.1825528059264469</v>
      </c>
      <c r="I29" s="390">
        <v>93309.789999999979</v>
      </c>
      <c r="J29" s="531">
        <f>IF($AE$29&lt;1," ",IF(I29&lt;1," ",(I29)/$AE$29))</f>
        <v>0.17787062891619826</v>
      </c>
      <c r="K29" s="390">
        <v>36841.11</v>
      </c>
      <c r="L29" s="341">
        <f>IF($AE$29&lt;1," ",IF(K29&lt;1," ",(K29)/$AE$29))</f>
        <v>7.0227908622137528E-2</v>
      </c>
      <c r="M29" s="378">
        <v>20013.329999999998</v>
      </c>
      <c r="N29" s="340">
        <f>IF($AE$29&lt;1," ",IF(M29&lt;1," ",(M29)/$AE$29))</f>
        <v>3.8150161883414579E-2</v>
      </c>
      <c r="O29" s="390">
        <v>4282.6357142857241</v>
      </c>
      <c r="P29" s="531">
        <f>IF($AE$29&lt;1," ",IF(O29&lt;1," ",(O29)/$AE$29))</f>
        <v>8.1637211692253721E-3</v>
      </c>
      <c r="Q29" s="390">
        <v>4282.6357142857241</v>
      </c>
      <c r="R29" s="531">
        <f>IF($AE$29&lt;1," ",IF(Q29&lt;1," ",(Q29)/$AE$29))</f>
        <v>8.1637211692253721E-3</v>
      </c>
      <c r="S29" s="390">
        <v>4282.6357142857241</v>
      </c>
      <c r="T29" s="340">
        <f>IF($AE$29&lt;1," ",IF(S29&lt;1," ",(S29)/$AE$29))</f>
        <v>8.1637211692253721E-3</v>
      </c>
      <c r="U29" s="390">
        <v>4282.6357142857241</v>
      </c>
      <c r="V29" s="340">
        <f>IF($AE$29&lt;1," ",IF(U29&lt;1," ",(U29)/$AE$29))</f>
        <v>8.1637211692253721E-3</v>
      </c>
      <c r="W29" s="390">
        <v>4282.6357142857241</v>
      </c>
      <c r="X29" s="340">
        <f>IF($AE$29&lt;1," ",IF(W29&lt;1," ",(W29)/$AE$29))</f>
        <v>8.1637211692253721E-3</v>
      </c>
      <c r="Y29" s="390">
        <v>4282.6357142857241</v>
      </c>
      <c r="Z29" s="340">
        <f>IF($AE$29&lt;1," ",IF(Y29&lt;1," ",(Y29)/$AE$29))</f>
        <v>8.1637211692253721E-3</v>
      </c>
      <c r="AA29" s="390">
        <v>4282.6357142857241</v>
      </c>
      <c r="AB29" s="340">
        <f>IF($AE$29&lt;1," ",IF(AA29&lt;1," ",(AA29)/$AE$29))</f>
        <v>8.1637211692253721E-3</v>
      </c>
      <c r="AC29" s="1603">
        <f t="shared" si="2"/>
        <v>-216556.27000000025</v>
      </c>
      <c r="AD29" s="387">
        <f t="shared" si="3"/>
        <v>524593.58000000007</v>
      </c>
      <c r="AE29" s="387">
        <f>'1st Interim-Summary MYP'!F32</f>
        <v>524593.58000000007</v>
      </c>
      <c r="AF29" s="387">
        <f t="shared" si="4"/>
        <v>0</v>
      </c>
      <c r="AG29" s="1240" t="s">
        <v>577</v>
      </c>
    </row>
    <row r="30" spans="1:33" ht="15.75">
      <c r="A30" s="406" t="s">
        <v>264</v>
      </c>
      <c r="B30" s="140"/>
      <c r="C30" s="278" t="s">
        <v>265</v>
      </c>
      <c r="D30" s="1070"/>
      <c r="E30" s="378">
        <v>199173.31000000006</v>
      </c>
      <c r="F30" s="531">
        <f>IF($AE$30&lt;1," ",IF(E30&lt;1," ",(E30)/$AE$30))</f>
        <v>0.13602287643165945</v>
      </c>
      <c r="G30" s="390">
        <v>410088.42000000004</v>
      </c>
      <c r="H30" s="531">
        <f>IF($AE$30&lt;1," ",IF(G30&lt;1," ",(G30)/$AE$30))</f>
        <v>0.2800646656909726</v>
      </c>
      <c r="I30" s="390">
        <v>363682.71999999991</v>
      </c>
      <c r="J30" s="531">
        <f>IF($AE$30&lt;1," ",IF(I30&lt;1," ",(I30)/$AE$30))</f>
        <v>0.248372483657021</v>
      </c>
      <c r="K30" s="390">
        <v>488115.56999999995</v>
      </c>
      <c r="L30" s="341">
        <f>IF($AE$30&lt;1," ",IF(K30&lt;1," ",(K30)/$AE$30))</f>
        <v>0.33335231443650248</v>
      </c>
      <c r="M30" s="378">
        <v>263326.87999999995</v>
      </c>
      <c r="N30" s="340">
        <f>IF($AE$30&lt;1," ",IF(M30&lt;1," ",(M30)/$AE$30))</f>
        <v>0.17983574033777114</v>
      </c>
      <c r="O30" s="390">
        <v>363846.73142857139</v>
      </c>
      <c r="P30" s="531">
        <f>IF($AE$30&lt;1," ",IF(O30&lt;1," ",(O30)/$AE$30))</f>
        <v>0.24848449317416943</v>
      </c>
      <c r="Q30" s="390">
        <v>363846.73142857139</v>
      </c>
      <c r="R30" s="531">
        <f>IF($AE$30&lt;1," ",IF(Q30&lt;1," ",(Q30)/$AE$30))</f>
        <v>0.24848449317416943</v>
      </c>
      <c r="S30" s="390">
        <v>363846.73142857139</v>
      </c>
      <c r="T30" s="340">
        <f>IF($AE$30&lt;1," ",IF(S30&lt;1," ",(S30)/$AE$30))</f>
        <v>0.24848449317416943</v>
      </c>
      <c r="U30" s="390">
        <v>363846.73142857139</v>
      </c>
      <c r="V30" s="340">
        <f>IF($AE$30&lt;1," ",IF(U30&lt;1," ",(U30)/$AE$30))</f>
        <v>0.24848449317416943</v>
      </c>
      <c r="W30" s="390">
        <v>363846.73142857139</v>
      </c>
      <c r="X30" s="340">
        <f>IF($AE$30&lt;1," ",IF(W30&lt;1," ",(W30)/$AE$30))</f>
        <v>0.24848449317416943</v>
      </c>
      <c r="Y30" s="390">
        <v>363846.73142857139</v>
      </c>
      <c r="Z30" s="340">
        <f>IF($AE$30&lt;1," ",IF(Y30&lt;1," ",(Y30)/$AE$30))</f>
        <v>0.24848449317416943</v>
      </c>
      <c r="AA30" s="390">
        <v>363846.73142857139</v>
      </c>
      <c r="AB30" s="340">
        <f>IF($AE$30&lt;1," ",IF(AA30&lt;1," ",(AA30)/$AE$30))</f>
        <v>0.24848449317416943</v>
      </c>
      <c r="AC30" s="1603">
        <f t="shared" si="2"/>
        <v>-2807050.6900000013</v>
      </c>
      <c r="AD30" s="387">
        <f t="shared" si="3"/>
        <v>1464263.3299999991</v>
      </c>
      <c r="AE30" s="387">
        <f>'1st Interim-Summary MYP'!F33</f>
        <v>1464263.3299999991</v>
      </c>
      <c r="AF30" s="387">
        <f t="shared" si="4"/>
        <v>0</v>
      </c>
      <c r="AG30" s="1240" t="s">
        <v>577</v>
      </c>
    </row>
    <row r="31" spans="1:33" ht="15.75">
      <c r="A31" s="406" t="s">
        <v>266</v>
      </c>
      <c r="B31" s="140"/>
      <c r="C31" s="278" t="s">
        <v>267</v>
      </c>
      <c r="D31" s="1070"/>
      <c r="E31" s="378"/>
      <c r="F31" s="531" t="str">
        <f>IF($AE$31&lt;1," ",IF(E31&lt;1," ",(E31)/$AE$31))</f>
        <v xml:space="preserve"> </v>
      </c>
      <c r="G31" s="390"/>
      <c r="H31" s="531" t="str">
        <f>IF($AE$31&lt;1," ",IF(G31&lt;1," ",(G31)/$AE$31))</f>
        <v xml:space="preserve"> </v>
      </c>
      <c r="I31" s="390"/>
      <c r="J31" s="531" t="str">
        <f>IF($AE$31&lt;1," ",IF(I31&lt;1," ",(I31)/$AE$31))</f>
        <v xml:space="preserve"> </v>
      </c>
      <c r="K31" s="390"/>
      <c r="L31" s="341" t="str">
        <f>IF($AE$31&lt;1," ",IF(K31&lt;1," ",(K31)/$AE$31))</f>
        <v xml:space="preserve"> </v>
      </c>
      <c r="M31" s="378"/>
      <c r="N31" s="340" t="str">
        <f>IF($AE$31&lt;1," ",IF(M31&lt;1," ",(M31)/$AE$31))</f>
        <v xml:space="preserve"> </v>
      </c>
      <c r="O31" s="390"/>
      <c r="P31" s="531" t="str">
        <f>IF($AE$31&lt;1," ",IF(O31&lt;1," ",(O31)/$AE$31))</f>
        <v xml:space="preserve"> </v>
      </c>
      <c r="Q31" s="390"/>
      <c r="R31" s="531" t="str">
        <f>IF($AE$31&lt;1," ",IF(Q31&lt;1," ",(Q31)/$AE$31))</f>
        <v xml:space="preserve"> </v>
      </c>
      <c r="S31" s="390"/>
      <c r="T31" s="340" t="str">
        <f>IF($AE$31&lt;1," ",IF(S31&lt;1," ",(S31)/$AE$31))</f>
        <v xml:space="preserve"> </v>
      </c>
      <c r="U31" s="390"/>
      <c r="V31" s="340" t="str">
        <f>IF($AE$31&lt;1," ",IF(U31&lt;1," ",(U31)/$AE$31))</f>
        <v xml:space="preserve"> </v>
      </c>
      <c r="W31" s="390"/>
      <c r="X31" s="340" t="str">
        <f>IF($AE$31&lt;1," ",IF(W31&lt;1," ",(W31)/$AE$31))</f>
        <v xml:space="preserve"> </v>
      </c>
      <c r="Y31" s="390"/>
      <c r="Z31" s="340" t="str">
        <f>IF($AE$31&lt;1," ",IF(Y31&lt;1," ",(Y31)/$AE$31))</f>
        <v xml:space="preserve"> </v>
      </c>
      <c r="AA31" s="390"/>
      <c r="AB31" s="340" t="str">
        <f>IF($AE$31&lt;1," ",IF(AA31&lt;1," ",(AA31)/$AE$31))</f>
        <v xml:space="preserve"> </v>
      </c>
      <c r="AC31" s="1603">
        <f t="shared" si="2"/>
        <v>0</v>
      </c>
      <c r="AD31" s="387">
        <f t="shared" si="3"/>
        <v>0</v>
      </c>
      <c r="AE31" s="387">
        <f>'1st Interim-Summary MYP'!F34</f>
        <v>0</v>
      </c>
      <c r="AF31" s="387">
        <f t="shared" si="4"/>
        <v>0</v>
      </c>
      <c r="AG31" s="1212"/>
    </row>
    <row r="32" spans="1:33" ht="15.75">
      <c r="A32" s="406" t="s">
        <v>268</v>
      </c>
      <c r="B32" s="140"/>
      <c r="C32" s="278" t="s">
        <v>269</v>
      </c>
      <c r="D32" s="1070"/>
      <c r="E32" s="378"/>
      <c r="F32" s="531" t="str">
        <f>IF($AE$32&lt;1," ",IF(E32&lt;1," ",(E32)/$AE$32))</f>
        <v xml:space="preserve"> </v>
      </c>
      <c r="G32" s="390"/>
      <c r="H32" s="531" t="str">
        <f>IF($AE$32&lt;1," ",IF(G32&lt;1," ",(G32)/$AE$32))</f>
        <v xml:space="preserve"> </v>
      </c>
      <c r="I32" s="390"/>
      <c r="J32" s="531" t="str">
        <f>IF($AE$32&lt;1," ",IF(I32&lt;1," ",(I32)/$AE$32))</f>
        <v xml:space="preserve"> </v>
      </c>
      <c r="K32" s="390"/>
      <c r="L32" s="341" t="str">
        <f>IF($AE$32&lt;1," ",IF(K32&lt;1," ",(K32)/$AE$32))</f>
        <v xml:space="preserve"> </v>
      </c>
      <c r="M32" s="378"/>
      <c r="N32" s="340" t="str">
        <f>IF($AE$32&lt;1," ",IF(M32&lt;1," ",(M32)/$AE$32))</f>
        <v xml:space="preserve"> </v>
      </c>
      <c r="O32" s="390"/>
      <c r="P32" s="531" t="str">
        <f>IF($AE$32&lt;1," ",IF(O32&lt;1," ",(O32)/$AE$32))</f>
        <v xml:space="preserve"> </v>
      </c>
      <c r="Q32" s="390"/>
      <c r="R32" s="531" t="str">
        <f>IF($AE$32&lt;1," ",IF(Q32&lt;1," ",(Q32)/$AE$32))</f>
        <v xml:space="preserve"> </v>
      </c>
      <c r="S32" s="390"/>
      <c r="T32" s="340" t="str">
        <f>IF($AE$32&lt;1," ",IF(S32&lt;1," ",(S32)/$AE$32))</f>
        <v xml:space="preserve"> </v>
      </c>
      <c r="U32" s="390"/>
      <c r="V32" s="340" t="str">
        <f>IF($AE$32&lt;1," ",IF(U32&lt;1," ",(U32)/$AE$32))</f>
        <v xml:space="preserve"> </v>
      </c>
      <c r="W32" s="390"/>
      <c r="X32" s="340" t="str">
        <f>IF($AE$32&lt;1," ",IF(W32&lt;1," ",(W32)/$AE$32))</f>
        <v xml:space="preserve"> </v>
      </c>
      <c r="Y32" s="390"/>
      <c r="Z32" s="340" t="str">
        <f>IF($AE$32&lt;1," ",IF(Y32&lt;1," ",(Y32)/$AE$32))</f>
        <v xml:space="preserve"> </v>
      </c>
      <c r="AA32" s="390">
        <v>52147.25</v>
      </c>
      <c r="AB32" s="340" t="str">
        <f>IF($AE$32&lt;1," ",IF(AA32&lt;1," ",(AA32)/$AE$32))</f>
        <v xml:space="preserve"> </v>
      </c>
      <c r="AC32" s="1603">
        <f t="shared" si="2"/>
        <v>-52147.25</v>
      </c>
      <c r="AD32" s="387">
        <f t="shared" si="3"/>
        <v>0</v>
      </c>
      <c r="AE32" s="387">
        <f>'1st Interim-Summary MYP'!F35</f>
        <v>0</v>
      </c>
      <c r="AF32" s="387">
        <f t="shared" si="4"/>
        <v>0</v>
      </c>
      <c r="AG32" s="1212"/>
    </row>
    <row r="33" spans="1:33" ht="15.75">
      <c r="A33" s="406" t="s">
        <v>270</v>
      </c>
      <c r="B33" s="140"/>
      <c r="C33" s="278" t="s">
        <v>271</v>
      </c>
      <c r="D33" s="1070"/>
      <c r="E33" s="378"/>
      <c r="F33" s="531" t="str">
        <f>IF($AE33&lt;1," ",IF(E33&lt;1," ",(E33)/$AE33))</f>
        <v xml:space="preserve"> </v>
      </c>
      <c r="G33" s="390"/>
      <c r="H33" s="531" t="str">
        <f>IF($AE33&lt;1," ",IF(G33&lt;1," ",(G33)/$AE33))</f>
        <v xml:space="preserve"> </v>
      </c>
      <c r="I33" s="390"/>
      <c r="J33" s="531" t="str">
        <f>IF($AE33&lt;1," ",IF(I33&lt;1," ",(I33)/$AE33))</f>
        <v xml:space="preserve"> </v>
      </c>
      <c r="K33" s="390"/>
      <c r="L33" s="341" t="str">
        <f>IF($AE33&lt;1," ",IF(K33&lt;1," ",(K33)/$AE33))</f>
        <v xml:space="preserve"> </v>
      </c>
      <c r="M33" s="378"/>
      <c r="N33" s="340" t="str">
        <f>IF($AE33&lt;1," ",IF(M33&lt;1," ",(M33)/$AE33))</f>
        <v xml:space="preserve"> </v>
      </c>
      <c r="O33" s="390"/>
      <c r="P33" s="531" t="str">
        <f>IF($AE33&lt;1," ",IF(O33&lt;1," ",(O33)/$AE33))</f>
        <v xml:space="preserve"> </v>
      </c>
      <c r="Q33" s="390"/>
      <c r="R33" s="531" t="str">
        <f>IF($AE33&lt;1," ",IF(Q33&lt;1," ",(Q33)/$AE33))</f>
        <v xml:space="preserve"> </v>
      </c>
      <c r="S33" s="390"/>
      <c r="T33" s="340" t="str">
        <f>IF($AE33&lt;1," ",IF(S33&lt;1," ",(S33)/$AE33))</f>
        <v xml:space="preserve"> </v>
      </c>
      <c r="U33" s="390"/>
      <c r="V33" s="340" t="str">
        <f>IF($AE33&lt;1," ",IF(U33&lt;1," ",(U33)/$AE33))</f>
        <v xml:space="preserve"> </v>
      </c>
      <c r="W33" s="390"/>
      <c r="X33" s="340" t="str">
        <f>IF($AE33&lt;1," ",IF(W33&lt;1," ",(W33)/$AE33))</f>
        <v xml:space="preserve"> </v>
      </c>
      <c r="Y33" s="390"/>
      <c r="Z33" s="340" t="str">
        <f>IF($AE33&lt;1," ",IF(Y33&lt;1," ",(Y33)/$AE33))</f>
        <v xml:space="preserve"> </v>
      </c>
      <c r="AA33" s="390"/>
      <c r="AB33" s="340" t="str">
        <f>IF($AE33&lt;1," ",IF(AA33&lt;1," ",(AA33)/$AE33))</f>
        <v xml:space="preserve"> </v>
      </c>
      <c r="AC33" s="1603">
        <f t="shared" si="2"/>
        <v>0</v>
      </c>
      <c r="AD33" s="387">
        <f t="shared" si="3"/>
        <v>0</v>
      </c>
      <c r="AE33" s="387">
        <f>'1st Interim-Summary MYP'!F36</f>
        <v>0</v>
      </c>
      <c r="AF33" s="387">
        <f t="shared" si="4"/>
        <v>0</v>
      </c>
      <c r="AG33" s="1212"/>
    </row>
    <row r="34" spans="1:33" ht="16.5" thickBot="1">
      <c r="A34" s="408" t="s">
        <v>272</v>
      </c>
      <c r="B34" s="382"/>
      <c r="C34" s="383"/>
      <c r="D34" s="1075"/>
      <c r="E34" s="772">
        <f>+SUM(E26:E33)</f>
        <v>831815.7300000001</v>
      </c>
      <c r="F34" s="532">
        <f>IF($AE34&lt;1," ",IF(E34&lt;1," ",(E34)/$AE34))</f>
        <v>0.22666475622973034</v>
      </c>
      <c r="G34" s="771">
        <f>+SUM(G26:G33)</f>
        <v>851043.92999999959</v>
      </c>
      <c r="H34" s="532">
        <f>IF($AE34&lt;1," ",IF(G34&lt;1," ",(G34)/$AE34))</f>
        <v>0.23190432445205333</v>
      </c>
      <c r="I34" s="771">
        <f>+SUM(I26:I33)</f>
        <v>965455.11999999895</v>
      </c>
      <c r="J34" s="532">
        <f>IF($AE34&lt;1," ",IF(I34&lt;1," ",(I34)/$AE34))</f>
        <v>0.26308068185431505</v>
      </c>
      <c r="K34" s="771">
        <f>+SUM(K26:K33)</f>
        <v>1184852.6099999982</v>
      </c>
      <c r="L34" s="517">
        <f>IF($AE34&lt;1," ",IF(K34&lt;1," ",(K34)/$AE34))</f>
        <v>0.3228651711284774</v>
      </c>
      <c r="M34" s="772">
        <f>+SUM(M26:M33)</f>
        <v>942432.099999998</v>
      </c>
      <c r="N34" s="388">
        <f>IF($AE34&lt;1," ",IF(M34&lt;1," ",(M34)/$AE34))</f>
        <v>0.25680704813020594</v>
      </c>
      <c r="O34" s="771">
        <f>+SUM(O26:O33)</f>
        <v>1086318.695026258</v>
      </c>
      <c r="P34" s="532">
        <f>IF($AE34&lt;1," ",IF(O34&lt;1," ",(O34)/$AE34))</f>
        <v>0.29601527515706577</v>
      </c>
      <c r="Q34" s="771">
        <f>+SUM(Q26:Q33)</f>
        <v>1083487.6258312431</v>
      </c>
      <c r="R34" s="532">
        <f>IF($AE34&lt;1," ",IF(Q34&lt;1," ",(Q34)/$AE34))</f>
        <v>0.2952438259215992</v>
      </c>
      <c r="S34" s="771">
        <f>+SUM(S26:S33)</f>
        <v>1083487.6258312431</v>
      </c>
      <c r="T34" s="388">
        <f>IF($AE34&lt;1," ",IF(S34&lt;1," ",(S34)/$AE34))</f>
        <v>0.2952438259215992</v>
      </c>
      <c r="U34" s="771">
        <f>+SUM(U26:U33)</f>
        <v>1083487.6258312431</v>
      </c>
      <c r="V34" s="388">
        <f>IF($AE34&lt;1," ",IF(U34&lt;1," ",(U34)/$AE34))</f>
        <v>0.2952438259215992</v>
      </c>
      <c r="W34" s="771">
        <f>+SUM(W26:W33)</f>
        <v>1083487.6258312431</v>
      </c>
      <c r="X34" s="388">
        <f>IF($AE34&lt;1," ",IF(W34&lt;1," ",(W34)/$AE34))</f>
        <v>0.2952438259215992</v>
      </c>
      <c r="Y34" s="771">
        <f>+SUM(Y26:Y33)</f>
        <v>1083487.6258312431</v>
      </c>
      <c r="Z34" s="388">
        <f>IF($AE34&lt;1," ",IF(Y34&lt;1," ",(Y34)/$AE34))</f>
        <v>0.2952438259215992</v>
      </c>
      <c r="AA34" s="771">
        <f>+SUM(AA26:AA33)</f>
        <v>1135634.8758312431</v>
      </c>
      <c r="AB34" s="388">
        <f>IF($AE34&lt;1," ",IF(AA34&lt;1," ",(AA34)/$AE34))</f>
        <v>0.30945363619929234</v>
      </c>
      <c r="AC34" s="1602">
        <f>+SUM(AC26:AC33)</f>
        <v>-8745184.9800137132</v>
      </c>
      <c r="AD34" s="773">
        <f>+SUM(AD26:AD33)</f>
        <v>3669806.2099999976</v>
      </c>
      <c r="AE34" s="773">
        <f>+SUM(AE26:AE33)</f>
        <v>3669806.2099999976</v>
      </c>
      <c r="AF34" s="773">
        <f>+SUM(AF26:AF33)</f>
        <v>0</v>
      </c>
      <c r="AG34" s="1212"/>
    </row>
    <row r="35" spans="1:33" ht="15.75">
      <c r="A35" s="409"/>
      <c r="B35" s="371"/>
      <c r="C35" s="71"/>
      <c r="D35" s="527"/>
      <c r="E35" s="75"/>
      <c r="F35" s="196"/>
      <c r="G35" s="75"/>
      <c r="H35" s="196"/>
      <c r="I35" s="75"/>
      <c r="J35" s="196"/>
      <c r="K35" s="75"/>
      <c r="L35" s="518"/>
      <c r="M35" s="75"/>
      <c r="N35" s="196"/>
      <c r="O35" s="75"/>
      <c r="P35" s="196"/>
      <c r="Q35" s="75"/>
      <c r="R35" s="196"/>
      <c r="S35" s="75"/>
      <c r="T35" s="196"/>
      <c r="U35" s="75"/>
      <c r="V35" s="196"/>
      <c r="W35" s="75"/>
      <c r="X35" s="196"/>
      <c r="Y35" s="75"/>
      <c r="Z35" s="196"/>
      <c r="AA35" s="75"/>
      <c r="AB35" s="196"/>
      <c r="AC35" s="1023"/>
      <c r="AD35" s="1023"/>
      <c r="AE35" s="1023"/>
      <c r="AF35" s="1039"/>
      <c r="AG35" s="1212"/>
    </row>
    <row r="36" spans="1:33" ht="15.75">
      <c r="A36" s="66" t="s">
        <v>424</v>
      </c>
      <c r="B36" s="180"/>
      <c r="C36" s="373"/>
      <c r="D36" s="1073"/>
      <c r="E36" s="523"/>
      <c r="F36" s="482"/>
      <c r="G36" s="523"/>
      <c r="H36" s="482"/>
      <c r="I36" s="523"/>
      <c r="J36" s="482"/>
      <c r="K36" s="523"/>
      <c r="L36" s="546"/>
      <c r="M36" s="523"/>
      <c r="N36" s="482"/>
      <c r="O36" s="523"/>
      <c r="P36" s="482"/>
      <c r="Q36" s="523"/>
      <c r="R36" s="482"/>
      <c r="S36" s="523"/>
      <c r="T36" s="482"/>
      <c r="U36" s="523"/>
      <c r="V36" s="482"/>
      <c r="W36" s="523"/>
      <c r="X36" s="482"/>
      <c r="Y36" s="523"/>
      <c r="Z36" s="482"/>
      <c r="AA36" s="523"/>
      <c r="AB36" s="482"/>
      <c r="AC36" s="1027"/>
      <c r="AD36" s="1027"/>
      <c r="AE36" s="1027"/>
      <c r="AF36" s="1035"/>
      <c r="AG36" s="1212"/>
    </row>
    <row r="37" spans="1:33" ht="15.75">
      <c r="A37" s="406" t="s">
        <v>275</v>
      </c>
      <c r="B37" s="140"/>
      <c r="C37" s="278">
        <v>8900</v>
      </c>
      <c r="D37" s="1076"/>
      <c r="E37" s="378"/>
      <c r="F37" s="531" t="str">
        <f>IF($AE37&lt;1," ",IF(E37&lt;1," ",(E37)/$AE37))</f>
        <v xml:space="preserve"> </v>
      </c>
      <c r="G37" s="390"/>
      <c r="H37" s="531" t="str">
        <f>IF($AE37&lt;1," ",IF(G37&lt;1," ",(G37)/$AE37))</f>
        <v xml:space="preserve"> </v>
      </c>
      <c r="I37" s="390"/>
      <c r="J37" s="531" t="str">
        <f>IF($AE37&lt;1," ",IF(I37&lt;1," ",(I37)/$AE37))</f>
        <v xml:space="preserve"> </v>
      </c>
      <c r="K37" s="390"/>
      <c r="L37" s="341" t="str">
        <f>IF($AE37&lt;1," ",IF(K37&lt;1," ",(K37)/$AE37))</f>
        <v xml:space="preserve"> </v>
      </c>
      <c r="M37" s="378"/>
      <c r="N37" s="340" t="str">
        <f>IF($AE37&lt;1," ",IF(M37&lt;1," ",(M37)/$AE37))</f>
        <v xml:space="preserve"> </v>
      </c>
      <c r="O37" s="390"/>
      <c r="P37" s="340" t="str">
        <f>IF($AE37&lt;1," ",IF(O37&lt;1," ",(O37)/$AE37))</f>
        <v xml:space="preserve"> </v>
      </c>
      <c r="Q37" s="390"/>
      <c r="R37" s="340" t="str">
        <f>IF($AE37&lt;1," ",IF(Q37&lt;1," ",(Q37)/$AE37))</f>
        <v xml:space="preserve"> </v>
      </c>
      <c r="S37" s="390"/>
      <c r="T37" s="340" t="str">
        <f>IF($AE37&lt;1," ",IF(S37&lt;1," ",(S37)/$AE37))</f>
        <v xml:space="preserve"> </v>
      </c>
      <c r="U37" s="390"/>
      <c r="V37" s="340" t="str">
        <f>IF($AE37&lt;1," ",IF(U37&lt;1," ",(U37)/$AE37))</f>
        <v xml:space="preserve"> </v>
      </c>
      <c r="W37" s="390"/>
      <c r="X37" s="340" t="str">
        <f>IF($AE37&lt;1," ",IF(W37&lt;1," ",(W37)/$AE37))</f>
        <v xml:space="preserve"> </v>
      </c>
      <c r="Y37" s="390"/>
      <c r="Z37" s="340" t="str">
        <f>IF($AE37&lt;1," ",IF(Y37&lt;1," ",(Y37)/$AE37))</f>
        <v xml:space="preserve"> </v>
      </c>
      <c r="AA37" s="390"/>
      <c r="AB37" s="340" t="str">
        <f>IF($AE37&lt;1," ",IF(AA37&lt;1," ",(AA37)/$AE37))</f>
        <v xml:space="preserve"> </v>
      </c>
      <c r="AC37" s="1603">
        <f>AE37-(E37+G37+I37+K37+M37+O37+Q37+S37+U37+W37+Y37+AA37)</f>
        <v>0</v>
      </c>
      <c r="AD37" s="387">
        <f>+E37+G37+I37+K37+M37+O37+Q37+S37+U37+W37+Y37+AA37+AC37</f>
        <v>0</v>
      </c>
      <c r="AE37" s="387">
        <f>'1st Interim-Summary MYP'!F42</f>
        <v>0</v>
      </c>
      <c r="AF37" s="387">
        <f>+AE37-AD37</f>
        <v>0</v>
      </c>
      <c r="AG37" s="1212"/>
    </row>
    <row r="38" spans="1:33" ht="15.75">
      <c r="A38" s="406" t="s">
        <v>276</v>
      </c>
      <c r="B38" s="140"/>
      <c r="C38" s="278">
        <v>7600</v>
      </c>
      <c r="D38" s="1076"/>
      <c r="E38" s="378"/>
      <c r="F38" s="531" t="str">
        <f>IF($AE38&lt;1," ",IF(E38&lt;1," ",(E38)/$AE38))</f>
        <v xml:space="preserve"> </v>
      </c>
      <c r="G38" s="390"/>
      <c r="H38" s="531" t="str">
        <f>IF($AE38&lt;1," ",IF(G38&lt;1," ",(G38)/$AE38))</f>
        <v xml:space="preserve"> </v>
      </c>
      <c r="I38" s="390"/>
      <c r="J38" s="531" t="str">
        <f>IF($AE38&lt;1," ",IF(I38&lt;1," ",(I38)/$AE38))</f>
        <v xml:space="preserve"> </v>
      </c>
      <c r="K38" s="390"/>
      <c r="L38" s="341" t="str">
        <f>IF($AE38&lt;1," ",IF(K38&lt;1," ",(K38)/$AE38))</f>
        <v xml:space="preserve"> </v>
      </c>
      <c r="M38" s="378"/>
      <c r="N38" s="340" t="str">
        <f>IF($AE38&lt;1," ",IF(M38&lt;1," ",(M38)/$AE38))</f>
        <v xml:space="preserve"> </v>
      </c>
      <c r="O38" s="390"/>
      <c r="P38" s="340" t="str">
        <f>IF($AE38&lt;1," ",IF(O38&lt;1," ",(O38)/$AE38))</f>
        <v xml:space="preserve"> </v>
      </c>
      <c r="Q38" s="390"/>
      <c r="R38" s="340" t="str">
        <f>IF($AE38&lt;1," ",IF(Q38&lt;1," ",(Q38)/$AE38))</f>
        <v xml:space="preserve"> </v>
      </c>
      <c r="S38" s="390"/>
      <c r="T38" s="340" t="str">
        <f>IF($AE38&lt;1," ",IF(S38&lt;1," ",(S38)/$AE38))</f>
        <v xml:space="preserve"> </v>
      </c>
      <c r="U38" s="390"/>
      <c r="V38" s="340" t="str">
        <f>IF($AE38&lt;1," ",IF(U38&lt;1," ",(U38)/$AE38))</f>
        <v xml:space="preserve"> </v>
      </c>
      <c r="W38" s="390"/>
      <c r="X38" s="340" t="str">
        <f>IF($AE38&lt;1," ",IF(W38&lt;1," ",(W38)/$AE38))</f>
        <v xml:space="preserve"> </v>
      </c>
      <c r="Y38" s="390"/>
      <c r="Z38" s="340" t="str">
        <f>IF($AE38&lt;1," ",IF(Y38&lt;1," ",(Y38)/$AE38))</f>
        <v xml:space="preserve"> </v>
      </c>
      <c r="AA38" s="390"/>
      <c r="AB38" s="340" t="str">
        <f>IF($AE38&lt;1," ",IF(AA38&lt;1," ",(AA38)/$AE38))</f>
        <v xml:space="preserve"> </v>
      </c>
      <c r="AC38" s="1603">
        <f>AE38-(E38+G38+I38+K38+M38+O38+Q38+S38+U38+W38+Y38+AA38)</f>
        <v>0</v>
      </c>
      <c r="AD38" s="387">
        <f>+E38+G38+I38+K38+M38+O38+Q38+S38+U38+W38+Y38+AA38+AC38</f>
        <v>0</v>
      </c>
      <c r="AE38" s="387">
        <f>'1st Interim-Summary MYP'!F43</f>
        <v>0</v>
      </c>
      <c r="AF38" s="387">
        <f>+AE38-AD38</f>
        <v>0</v>
      </c>
      <c r="AG38" s="1212"/>
    </row>
    <row r="39" spans="1:33" ht="16.5" thickBot="1">
      <c r="A39" s="410" t="s">
        <v>277</v>
      </c>
      <c r="B39" s="382"/>
      <c r="C39" s="383"/>
      <c r="D39" s="1075"/>
      <c r="E39" s="772">
        <f>+E37-E38</f>
        <v>0</v>
      </c>
      <c r="F39" s="532" t="str">
        <f>IF($AE39&lt;1," ",IF(E39&lt;1," ",(E39)/$AE39))</f>
        <v xml:space="preserve"> </v>
      </c>
      <c r="G39" s="771">
        <f>+G37-G38</f>
        <v>0</v>
      </c>
      <c r="H39" s="532" t="str">
        <f>IF($AE39&lt;1," ",IF(G39&lt;1," ",(G39)/$AE39))</f>
        <v xml:space="preserve"> </v>
      </c>
      <c r="I39" s="771">
        <f>+I37-I38</f>
        <v>0</v>
      </c>
      <c r="J39" s="532" t="str">
        <f>IF($AE39&lt;1," ",IF(I39&lt;1," ",(I39)/$AE39))</f>
        <v xml:space="preserve"> </v>
      </c>
      <c r="K39" s="771">
        <f>+K37-K38</f>
        <v>0</v>
      </c>
      <c r="L39" s="517" t="str">
        <f>IF($AE39&lt;1," ",IF(K39&lt;1," ",(K39)/$AE39))</f>
        <v xml:space="preserve"> </v>
      </c>
      <c r="M39" s="772">
        <f>+M37-M38</f>
        <v>0</v>
      </c>
      <c r="N39" s="388" t="str">
        <f>IF($AE39&lt;1," ",IF(M39&lt;1," ",(M39)/$AE39))</f>
        <v xml:space="preserve"> </v>
      </c>
      <c r="O39" s="771">
        <f>+O37-O38</f>
        <v>0</v>
      </c>
      <c r="P39" s="388" t="str">
        <f>IF($AE39&lt;1," ",IF(O39&lt;1," ",(O39)/$AE39))</f>
        <v xml:space="preserve"> </v>
      </c>
      <c r="Q39" s="771">
        <f>+Q37-Q38</f>
        <v>0</v>
      </c>
      <c r="R39" s="388" t="str">
        <f>IF($AE39&lt;1," ",IF(Q39&lt;1," ",(Q39)/$AE39))</f>
        <v xml:space="preserve"> </v>
      </c>
      <c r="S39" s="771">
        <f>+S37-S38</f>
        <v>0</v>
      </c>
      <c r="T39" s="388" t="str">
        <f>IF($AE39&lt;1," ",IF(S39&lt;1," ",(S39)/$AE39))</f>
        <v xml:space="preserve"> </v>
      </c>
      <c r="U39" s="771">
        <f>+U37-U38</f>
        <v>0</v>
      </c>
      <c r="V39" s="388" t="str">
        <f>IF($AE39&lt;1," ",IF(U39&lt;1," ",(U39)/$AE39))</f>
        <v xml:space="preserve"> </v>
      </c>
      <c r="W39" s="771">
        <f>+W37-W38</f>
        <v>0</v>
      </c>
      <c r="X39" s="388" t="str">
        <f>IF($AE39&lt;1," ",IF(W39&lt;1," ",(W39)/$AE39))</f>
        <v xml:space="preserve"> </v>
      </c>
      <c r="Y39" s="771">
        <f>+Y37-Y38</f>
        <v>0</v>
      </c>
      <c r="Z39" s="388" t="str">
        <f>IF($AE39&lt;1," ",IF(Y39&lt;1," ",(Y39)/$AE39))</f>
        <v xml:space="preserve"> </v>
      </c>
      <c r="AA39" s="771">
        <f>+AA37-AA38</f>
        <v>0</v>
      </c>
      <c r="AB39" s="388" t="str">
        <f>IF($AE39&lt;1," ",IF(AA39&lt;1," ",(AA39)/$AE39))</f>
        <v xml:space="preserve"> </v>
      </c>
      <c r="AC39" s="1602">
        <f>+AC37-AC38</f>
        <v>0</v>
      </c>
      <c r="AD39" s="773">
        <f>+AD37-AD38</f>
        <v>0</v>
      </c>
      <c r="AE39" s="773">
        <f>+AE37-AE38</f>
        <v>0</v>
      </c>
      <c r="AF39" s="773">
        <f>+AF37-AF38</f>
        <v>0</v>
      </c>
      <c r="AG39" s="1212"/>
    </row>
    <row r="40" spans="1:33" ht="15.75" customHeight="1">
      <c r="A40" s="409"/>
      <c r="B40" s="182"/>
      <c r="C40" s="22"/>
      <c r="D40" s="1845" t="s">
        <v>425</v>
      </c>
      <c r="E40" s="1047"/>
      <c r="F40" s="535" t="s">
        <v>426</v>
      </c>
      <c r="G40" s="393"/>
      <c r="H40" s="535" t="s">
        <v>426</v>
      </c>
      <c r="I40" s="393"/>
      <c r="J40" s="535" t="s">
        <v>426</v>
      </c>
      <c r="K40" s="393"/>
      <c r="L40" s="519" t="s">
        <v>426</v>
      </c>
      <c r="M40" s="1047"/>
      <c r="N40" s="1050" t="s">
        <v>426</v>
      </c>
      <c r="O40" s="393"/>
      <c r="P40" s="198" t="s">
        <v>426</v>
      </c>
      <c r="Q40" s="393"/>
      <c r="R40" s="534" t="s">
        <v>426</v>
      </c>
      <c r="S40" s="393"/>
      <c r="T40" s="198" t="s">
        <v>426</v>
      </c>
      <c r="U40" s="393"/>
      <c r="V40" s="198" t="s">
        <v>426</v>
      </c>
      <c r="W40" s="393"/>
      <c r="X40" s="198" t="s">
        <v>426</v>
      </c>
      <c r="Y40" s="393"/>
      <c r="Z40" s="198" t="s">
        <v>426</v>
      </c>
      <c r="AA40" s="393"/>
      <c r="AB40" s="198" t="s">
        <v>426</v>
      </c>
      <c r="AC40" s="1604"/>
      <c r="AD40" s="1034"/>
      <c r="AE40" s="1812" t="s">
        <v>427</v>
      </c>
      <c r="AF40" s="1040"/>
    </row>
    <row r="41" spans="1:33" ht="15.75">
      <c r="A41" s="66" t="s">
        <v>428</v>
      </c>
      <c r="B41" s="180"/>
      <c r="C41" s="22"/>
      <c r="D41" s="1846"/>
      <c r="E41" s="1047"/>
      <c r="F41" s="535" t="s">
        <v>429</v>
      </c>
      <c r="G41" s="393"/>
      <c r="H41" s="535" t="s">
        <v>429</v>
      </c>
      <c r="I41" s="393"/>
      <c r="J41" s="535" t="s">
        <v>429</v>
      </c>
      <c r="K41" s="393"/>
      <c r="L41" s="519" t="s">
        <v>429</v>
      </c>
      <c r="M41" s="1047"/>
      <c r="N41" s="1050" t="s">
        <v>429</v>
      </c>
      <c r="O41" s="393"/>
      <c r="P41" s="198" t="s">
        <v>429</v>
      </c>
      <c r="Q41" s="393"/>
      <c r="R41" s="535" t="s">
        <v>429</v>
      </c>
      <c r="S41" s="393"/>
      <c r="T41" s="198" t="s">
        <v>429</v>
      </c>
      <c r="U41" s="393"/>
      <c r="V41" s="198" t="s">
        <v>429</v>
      </c>
      <c r="W41" s="393"/>
      <c r="X41" s="198" t="s">
        <v>429</v>
      </c>
      <c r="Y41" s="393"/>
      <c r="Z41" s="198" t="s">
        <v>429</v>
      </c>
      <c r="AA41" s="393"/>
      <c r="AB41" s="198" t="s">
        <v>429</v>
      </c>
      <c r="AC41" s="1604"/>
      <c r="AD41" s="1034"/>
      <c r="AE41" s="1813"/>
      <c r="AF41" s="774"/>
    </row>
    <row r="42" spans="1:33" ht="15.75">
      <c r="A42" s="68"/>
      <c r="B42" s="182"/>
      <c r="C42" s="22"/>
      <c r="D42" s="1847"/>
      <c r="E42" s="1047"/>
      <c r="F42" s="536"/>
      <c r="G42" s="393"/>
      <c r="H42" s="536"/>
      <c r="I42" s="393"/>
      <c r="J42" s="536"/>
      <c r="K42" s="393"/>
      <c r="L42" s="520"/>
      <c r="M42" s="1047"/>
      <c r="N42" s="1051"/>
      <c r="O42" s="393"/>
      <c r="P42" s="194"/>
      <c r="Q42" s="393"/>
      <c r="R42" s="536"/>
      <c r="S42" s="393"/>
      <c r="T42" s="194"/>
      <c r="U42" s="393"/>
      <c r="V42" s="194"/>
      <c r="W42" s="393"/>
      <c r="X42" s="194"/>
      <c r="Y42" s="393"/>
      <c r="Z42" s="194"/>
      <c r="AA42" s="393"/>
      <c r="AB42" s="194"/>
      <c r="AC42" s="1604"/>
      <c r="AD42" s="1034"/>
      <c r="AE42" s="1814"/>
      <c r="AF42" s="774"/>
    </row>
    <row r="43" spans="1:33" ht="15.75" customHeight="1">
      <c r="A43" s="411" t="s">
        <v>430</v>
      </c>
      <c r="B43" s="396"/>
      <c r="C43" s="623">
        <v>9210</v>
      </c>
      <c r="D43" s="1077">
        <v>4757489.3499999996</v>
      </c>
      <c r="E43" s="511">
        <v>2185997.9500000002</v>
      </c>
      <c r="F43" s="531">
        <f>IF($D43&lt;1," ",IF(E43&lt;1," ",(E43)/$D43))</f>
        <v>0.45948562133933107</v>
      </c>
      <c r="G43" s="398">
        <v>849576.46</v>
      </c>
      <c r="H43" s="531">
        <f>IF($D43&lt;1," ",IF(G43&lt;1," ",(G43)/$D43))</f>
        <v>0.17857663937807869</v>
      </c>
      <c r="I43" s="398">
        <v>919939</v>
      </c>
      <c r="J43" s="531">
        <f>IF($D43&lt;1," ",IF(I43&lt;1," ",(I43)/$D43))</f>
        <v>0.1933664864641263</v>
      </c>
      <c r="K43" s="398">
        <v>430947.32999999996</v>
      </c>
      <c r="L43" s="341">
        <f>IF($D43&lt;1," ",IF(K43&lt;1," ",(K43)/$D43))</f>
        <v>9.0582931099992894E-2</v>
      </c>
      <c r="M43" s="511">
        <v>40615</v>
      </c>
      <c r="N43" s="340">
        <f>IF($D43&lt;1," ",IF(M43&lt;1," ",(M43)/$D43))</f>
        <v>8.5370658790859932E-3</v>
      </c>
      <c r="O43" s="398">
        <v>146788.30499999999</v>
      </c>
      <c r="P43" s="340">
        <f>IF($D43&lt;1," ",IF(O43&lt;1," ",(O43)/$D43))</f>
        <v>3.0854153146974466E-2</v>
      </c>
      <c r="Q43" s="398">
        <v>146788.30499999999</v>
      </c>
      <c r="R43" s="531">
        <f>IF($D43&lt;1," ",IF(Q43&lt;1," ",(Q43)/$D43))</f>
        <v>3.0854153146974466E-2</v>
      </c>
      <c r="S43" s="398"/>
      <c r="T43" s="340" t="str">
        <f>IF($D43&lt;1," ",IF(S43&lt;1," ",(S43)/$D43))</f>
        <v xml:space="preserve"> </v>
      </c>
      <c r="U43" s="398"/>
      <c r="V43" s="340" t="str">
        <f>IF($D43&lt;1," ",IF(U43&lt;1," ",(U43)/$D43))</f>
        <v xml:space="preserve"> </v>
      </c>
      <c r="W43" s="398"/>
      <c r="X43" s="340" t="str">
        <f>IF($D43&lt;1," ",IF(W43&lt;1," ",(W43)/$D43))</f>
        <v xml:space="preserve"> </v>
      </c>
      <c r="Y43" s="398"/>
      <c r="Z43" s="340" t="str">
        <f>IF($D43&lt;1," ",IF(Y43&lt;1," ",(Y43)/$D43))</f>
        <v xml:space="preserve"> </v>
      </c>
      <c r="AA43" s="398"/>
      <c r="AB43" s="340" t="str">
        <f>IF($D43&lt;1," ",IF(AA43&lt;1," ",(AA43)/$D43))</f>
        <v xml:space="preserve"> </v>
      </c>
      <c r="AC43" s="1605"/>
      <c r="AD43" s="1608">
        <f>+E43+G43+I43+K43+M43+O43+Q43+S43+U43+W43+Y43+AA43</f>
        <v>4720652.3499999996</v>
      </c>
      <c r="AE43" s="399">
        <f>D43-AD43</f>
        <v>36837</v>
      </c>
      <c r="AF43" s="774"/>
      <c r="AG43" s="1609" t="str">
        <f>IF(AD43=D43,"","Prior Year Transactions should be zero'd out by Year End")</f>
        <v>Prior Year Transactions should be zero'd out by Year End</v>
      </c>
    </row>
    <row r="44" spans="1:33" ht="15.75">
      <c r="A44" s="411" t="s">
        <v>292</v>
      </c>
      <c r="B44" s="396"/>
      <c r="C44" s="623">
        <v>9330</v>
      </c>
      <c r="D44" s="1077"/>
      <c r="E44" s="511">
        <v>36834</v>
      </c>
      <c r="F44" s="531" t="str">
        <f>IF($D44&lt;1," ",IF(E44&lt;1," ",(E44)/$D44))</f>
        <v xml:space="preserve"> </v>
      </c>
      <c r="G44" s="398"/>
      <c r="H44" s="531" t="str">
        <f>IF($D44&lt;1," ",IF(G44&lt;1," ",(G44)/$D44))</f>
        <v xml:space="preserve"> </v>
      </c>
      <c r="I44" s="398"/>
      <c r="J44" s="531" t="str">
        <f>IF($D44&lt;1," ",IF(I44&lt;1," ",(I44)/$D44))</f>
        <v xml:space="preserve"> </v>
      </c>
      <c r="K44" s="398"/>
      <c r="L44" s="341" t="str">
        <f>IF($D44&lt;1," ",IF(K44&lt;1," ",(K44)/$D44))</f>
        <v xml:space="preserve"> </v>
      </c>
      <c r="M44" s="511"/>
      <c r="N44" s="340" t="str">
        <f>IF($D44&lt;1," ",IF(M44&lt;1," ",(M44)/$D44))</f>
        <v xml:space="preserve"> </v>
      </c>
      <c r="O44" s="398"/>
      <c r="P44" s="340" t="str">
        <f>IF($D44&lt;1," ",IF(O44&lt;1," ",(O44)/$D44))</f>
        <v xml:space="preserve"> </v>
      </c>
      <c r="Q44" s="398"/>
      <c r="R44" s="531" t="str">
        <f>IF($D44&lt;1," ",IF(Q44&lt;1," ",(Q44)/$D44))</f>
        <v xml:space="preserve"> </v>
      </c>
      <c r="S44" s="398"/>
      <c r="T44" s="340" t="str">
        <f>IF($D44&lt;1," ",IF(S44&lt;1," ",(S44)/$D44))</f>
        <v xml:space="preserve"> </v>
      </c>
      <c r="U44" s="398"/>
      <c r="V44" s="340" t="str">
        <f>IF($D44&lt;1," ",IF(U44&lt;1," ",(U44)/$D44))</f>
        <v xml:space="preserve"> </v>
      </c>
      <c r="W44" s="398"/>
      <c r="X44" s="340" t="str">
        <f>IF($D44&lt;1," ",IF(W44&lt;1," ",(W44)/$D44))</f>
        <v xml:space="preserve"> </v>
      </c>
      <c r="Y44" s="398"/>
      <c r="Z44" s="340" t="str">
        <f>IF($D44&lt;1," ",IF(Y44&lt;1," ",(Y44)/$D44))</f>
        <v xml:space="preserve"> </v>
      </c>
      <c r="AA44" s="398"/>
      <c r="AB44" s="340" t="str">
        <f>IF($D44&lt;1," ",IF(AA44&lt;1," ",(AA44)/$D44))</f>
        <v xml:space="preserve"> </v>
      </c>
      <c r="AC44" s="1605"/>
      <c r="AD44" s="1608">
        <f>+E44+G44+I44+K44+M44+O44+Q44+S44+U44+W44+Y44+AA44</f>
        <v>36834</v>
      </c>
      <c r="AE44" s="399">
        <f>D44-AD44</f>
        <v>-36834</v>
      </c>
      <c r="AF44" s="774"/>
      <c r="AG44" s="1609" t="str">
        <f>IF(AD44=D44,"","Prior Year Transactions should be zero'd out by Year End")</f>
        <v>Prior Year Transactions should be zero'd out by Year End</v>
      </c>
    </row>
    <row r="45" spans="1:33" ht="15.75">
      <c r="A45" s="411" t="s">
        <v>431</v>
      </c>
      <c r="B45" s="396"/>
      <c r="C45" s="623">
        <v>9510</v>
      </c>
      <c r="D45" s="1077">
        <v>2637637.4500000002</v>
      </c>
      <c r="E45" s="511">
        <v>119082</v>
      </c>
      <c r="F45" s="531">
        <f>IF($D45&lt;1," ",IF(E45&lt;1," ",(E45)/$D45))</f>
        <v>4.5147220669011959E-2</v>
      </c>
      <c r="G45" s="398">
        <v>367455</v>
      </c>
      <c r="H45" s="531">
        <f>IF($D45&lt;1," ",IF(G45&lt;1," ",(G45)/$D45))</f>
        <v>0.13931217120078423</v>
      </c>
      <c r="I45" s="398">
        <v>-61434</v>
      </c>
      <c r="J45" s="531" t="str">
        <f>IF($D45&lt;1," ",IF(I45&lt;1," ",(I45)/$D45))</f>
        <v xml:space="preserve"> </v>
      </c>
      <c r="K45" s="398">
        <v>336077</v>
      </c>
      <c r="L45" s="341">
        <f>IF($D45&lt;1," ",IF(K45&lt;1," ",(K45)/$D45))</f>
        <v>0.12741591912110589</v>
      </c>
      <c r="M45" s="511">
        <v>-40921</v>
      </c>
      <c r="N45" s="340" t="str">
        <f>IF($D45&lt;1," ",IF(M45&lt;1," ",(M45)/$D45))</f>
        <v xml:space="preserve"> </v>
      </c>
      <c r="O45" s="398"/>
      <c r="P45" s="340" t="str">
        <f>IF($D45&lt;1," ",IF(O45&lt;1," ",(O45)/$D45))</f>
        <v xml:space="preserve"> </v>
      </c>
      <c r="Q45" s="398"/>
      <c r="R45" s="531" t="str">
        <f>IF($D45&lt;1," ",IF(Q45&lt;1," ",(Q45)/$D45))</f>
        <v xml:space="preserve"> </v>
      </c>
      <c r="S45" s="398"/>
      <c r="T45" s="340" t="str">
        <f>IF($D45&lt;1," ",IF(S45&lt;1," ",(S45)/$D45))</f>
        <v xml:space="preserve"> </v>
      </c>
      <c r="U45" s="398"/>
      <c r="V45" s="340" t="str">
        <f>IF($D45&lt;1," ",IF(U45&lt;1," ",(U45)/$D45))</f>
        <v xml:space="preserve"> </v>
      </c>
      <c r="W45" s="398"/>
      <c r="X45" s="340" t="str">
        <f>IF($D45&lt;1," ",IF(W45&lt;1," ",(W45)/$D45))</f>
        <v xml:space="preserve"> </v>
      </c>
      <c r="Y45" s="398"/>
      <c r="Z45" s="340" t="str">
        <f>IF($D45&lt;1," ",IF(Y45&lt;1," ",(Y45)/$D45))</f>
        <v xml:space="preserve"> </v>
      </c>
      <c r="AA45" s="398"/>
      <c r="AB45" s="340" t="str">
        <f>IF($D45&lt;1," ",IF(AA45&lt;1," ",(AA45)/$D45))</f>
        <v xml:space="preserve"> </v>
      </c>
      <c r="AC45" s="1605"/>
      <c r="AD45" s="1608">
        <f>+E45+G45+I45+K45+M45+O45+Q45+S45+U45+W45+Y45+AA45</f>
        <v>720259</v>
      </c>
      <c r="AE45" s="399">
        <f>D45-AD45</f>
        <v>1917378.4500000002</v>
      </c>
      <c r="AF45" s="774"/>
      <c r="AG45" s="1609" t="str">
        <f>IF(AD45=D45,"","Prior Year Transactions should be zero'd out by Year End")</f>
        <v>Prior Year Transactions should be zero'd out by Year End</v>
      </c>
    </row>
    <row r="46" spans="1:33" ht="15.75">
      <c r="A46" s="411" t="s">
        <v>432</v>
      </c>
      <c r="B46" s="396"/>
      <c r="C46" s="624">
        <v>9640</v>
      </c>
      <c r="D46" s="1078">
        <f>3106777+187500+4209</f>
        <v>3298486</v>
      </c>
      <c r="E46" s="511">
        <v>4209</v>
      </c>
      <c r="F46" s="531">
        <f>IF($D46&lt;1," ",IF(E46&lt;1," ",(E46)/$D46))</f>
        <v>1.2760399771289009E-3</v>
      </c>
      <c r="G46" s="398"/>
      <c r="H46" s="531" t="str">
        <f>IF($D46&lt;1," ",IF(G46&lt;1," ",(G46)/$D46))</f>
        <v xml:space="preserve"> </v>
      </c>
      <c r="I46" s="398">
        <v>62500</v>
      </c>
      <c r="J46" s="531">
        <f>IF($D46&lt;1," ",IF(I46&lt;1," ",(I46)/$D46))</f>
        <v>1.8948087092078E-2</v>
      </c>
      <c r="K46" s="398"/>
      <c r="L46" s="341" t="str">
        <f>IF($D46&lt;1," ",IF(K46&lt;1," ",(K46)/$D46))</f>
        <v xml:space="preserve"> </v>
      </c>
      <c r="M46" s="511"/>
      <c r="N46" s="340" t="str">
        <f>IF($D46&lt;1," ",IF(M46&lt;1," ",(M46)/$D46))</f>
        <v xml:space="preserve"> </v>
      </c>
      <c r="O46" s="398">
        <v>62500</v>
      </c>
      <c r="P46" s="340">
        <f>IF($D46&lt;1," ",IF(O46&lt;1," ",(O46)/$D46))</f>
        <v>1.8948087092078E-2</v>
      </c>
      <c r="Q46" s="398"/>
      <c r="R46" s="531" t="str">
        <f>IF($D46&lt;1," ",IF(Q46&lt;1," ",(Q46)/$D46))</f>
        <v xml:space="preserve"> </v>
      </c>
      <c r="S46" s="398"/>
      <c r="T46" s="340" t="str">
        <f>IF($D46&lt;1," ",IF(S46&lt;1," ",(S46)/$D46))</f>
        <v xml:space="preserve"> </v>
      </c>
      <c r="U46" s="398">
        <v>62500</v>
      </c>
      <c r="V46" s="340">
        <f>IF($D46&lt;1," ",IF(U46&lt;1," ",(U46)/$D46))</f>
        <v>1.8948087092078E-2</v>
      </c>
      <c r="W46" s="398"/>
      <c r="X46" s="340" t="str">
        <f>IF($D46&lt;1," ",IF(W46&lt;1," ",(W46)/$D46))</f>
        <v xml:space="preserve"> </v>
      </c>
      <c r="Y46" s="398"/>
      <c r="Z46" s="340" t="str">
        <f>IF($D46&lt;1," ",IF(Y46&lt;1," ",(Y46)/$D46))</f>
        <v xml:space="preserve"> </v>
      </c>
      <c r="AA46" s="398"/>
      <c r="AB46" s="340" t="str">
        <f>IF($D46&lt;1," ",IF(AA46&lt;1," ",(AA46)/$D46))</f>
        <v xml:space="preserve"> </v>
      </c>
      <c r="AC46" s="1605"/>
      <c r="AD46" s="1608">
        <f>+E46+G46+I46+K46+M46+O46+Q46+S46+U46+W46+Y46+AA46</f>
        <v>191709</v>
      </c>
      <c r="AE46" s="399">
        <f>D46-AD46</f>
        <v>3106777</v>
      </c>
      <c r="AF46" s="774"/>
      <c r="AG46" s="1609" t="str">
        <f>IF(AD46=D46,"","Prior Year Transactions should be zero'd out by Year End")</f>
        <v>Prior Year Transactions should be zero'd out by Year End</v>
      </c>
    </row>
    <row r="47" spans="1:33" ht="15.75">
      <c r="A47" s="411" t="s">
        <v>433</v>
      </c>
      <c r="B47" s="396"/>
      <c r="C47" s="623">
        <v>9650</v>
      </c>
      <c r="D47" s="1077">
        <v>140814</v>
      </c>
      <c r="E47" s="511"/>
      <c r="F47" s="531" t="str">
        <f>IF($D47&lt;1," ",IF(E47&lt;1," ",(E47)/$D47))</f>
        <v xml:space="preserve"> </v>
      </c>
      <c r="G47" s="398"/>
      <c r="H47" s="531" t="str">
        <f>IF($D47&lt;1," ",IF(G47&lt;1," ",(G47)/$D47))</f>
        <v xml:space="preserve"> </v>
      </c>
      <c r="I47" s="398"/>
      <c r="J47" s="531" t="str">
        <f>IF($D47&lt;1," ",IF(I47&lt;1," ",(I47)/$D47))</f>
        <v xml:space="preserve"> </v>
      </c>
      <c r="K47" s="398">
        <v>140814</v>
      </c>
      <c r="L47" s="341">
        <f>IF($D47&lt;1," ",IF(K47&lt;1," ",(K47)/$D47))</f>
        <v>1</v>
      </c>
      <c r="M47" s="511"/>
      <c r="N47" s="340" t="str">
        <f>IF($D47&lt;1," ",IF(M47&lt;1," ",(M47)/$D47))</f>
        <v xml:space="preserve"> </v>
      </c>
      <c r="O47" s="398"/>
      <c r="P47" s="340" t="str">
        <f>IF($D47&lt;1," ",IF(O47&lt;1," ",(O47)/$D47))</f>
        <v xml:space="preserve"> </v>
      </c>
      <c r="Q47" s="398"/>
      <c r="R47" s="531" t="str">
        <f>IF($D47&lt;1," ",IF(Q47&lt;1," ",(Q47)/$D47))</f>
        <v xml:space="preserve"> </v>
      </c>
      <c r="S47" s="398"/>
      <c r="T47" s="340" t="str">
        <f>IF($D47&lt;1," ",IF(S47&lt;1," ",(S47)/$D47))</f>
        <v xml:space="preserve"> </v>
      </c>
      <c r="U47" s="398"/>
      <c r="V47" s="340" t="str">
        <f>IF($D47&lt;1," ",IF(U47&lt;1," ",(U47)/$D47))</f>
        <v xml:space="preserve"> </v>
      </c>
      <c r="W47" s="398"/>
      <c r="X47" s="340" t="str">
        <f>IF($D47&lt;1," ",IF(W47&lt;1," ",(W47)/$D47))</f>
        <v xml:space="preserve"> </v>
      </c>
      <c r="Y47" s="398"/>
      <c r="Z47" s="340" t="str">
        <f>IF($D47&lt;1," ",IF(Y47&lt;1," ",(Y47)/$D47))</f>
        <v xml:space="preserve"> </v>
      </c>
      <c r="AA47" s="398"/>
      <c r="AB47" s="340" t="str">
        <f>IF($D47&lt;1," ",IF(AA47&lt;1," ",(AA47)/$D47))</f>
        <v xml:space="preserve"> </v>
      </c>
      <c r="AC47" s="1605"/>
      <c r="AD47" s="1608">
        <f>+E47+G47+I47+K47+M47+O47+Q47+S47+U47+W47+Y47+AA47</f>
        <v>140814</v>
      </c>
      <c r="AE47" s="399">
        <f>D47-AD47</f>
        <v>0</v>
      </c>
      <c r="AF47" s="774"/>
      <c r="AG47" s="1609" t="str">
        <f>IF(AD47=D47,"","Prior Year Transactions should be zero'd out by Year End")</f>
        <v/>
      </c>
    </row>
    <row r="48" spans="1:33" ht="16.5" thickBot="1">
      <c r="A48" s="69" t="s">
        <v>434</v>
      </c>
      <c r="B48" s="369"/>
      <c r="C48" s="70"/>
      <c r="D48" s="1079">
        <f>+D43+D44-D45-D46-D47</f>
        <v>-1319448.1000000006</v>
      </c>
      <c r="E48" s="1044">
        <f>+E43+E44-E45-E46-E47</f>
        <v>2099540.9500000002</v>
      </c>
      <c r="F48" s="537"/>
      <c r="G48" s="1053">
        <f>+G43+G44-G45-G46-G47</f>
        <v>482121.45999999996</v>
      </c>
      <c r="H48" s="537"/>
      <c r="I48" s="1053">
        <f>+I43+I44-I45-I46-I47</f>
        <v>918873</v>
      </c>
      <c r="J48" s="537"/>
      <c r="K48" s="1053">
        <f>+K43+K44-K45-K46-K47</f>
        <v>-45943.670000000042</v>
      </c>
      <c r="L48" s="521"/>
      <c r="M48" s="1044">
        <f>+M43+M44-M45-M46-M47</f>
        <v>81536</v>
      </c>
      <c r="N48" s="197"/>
      <c r="O48" s="1053">
        <f>+O43+O44-O45-O46-O47</f>
        <v>84288.304999999993</v>
      </c>
      <c r="P48" s="197"/>
      <c r="Q48" s="1053">
        <f>+Q43+Q44-Q45-Q46-Q47</f>
        <v>146788.30499999999</v>
      </c>
      <c r="R48" s="537"/>
      <c r="S48" s="1053">
        <f>+S43+S44-S45-S46-S47</f>
        <v>0</v>
      </c>
      <c r="T48" s="197"/>
      <c r="U48" s="1053">
        <f>+U43+U44-U45-U46-U47</f>
        <v>-62500</v>
      </c>
      <c r="V48" s="197"/>
      <c r="W48" s="1053">
        <f>+W43+W44-W45-W46-W47</f>
        <v>0</v>
      </c>
      <c r="X48" s="197"/>
      <c r="Y48" s="1053">
        <f>+Y43+Y44-Y45-Y46-Y47</f>
        <v>0</v>
      </c>
      <c r="Z48" s="197"/>
      <c r="AA48" s="1053">
        <f>+AA43+AA44-AA45-AA46-AA47</f>
        <v>0</v>
      </c>
      <c r="AB48" s="197"/>
      <c r="AC48" s="1602"/>
      <c r="AD48" s="773">
        <f>+AD43+AD44-AD45-AD46-AD47</f>
        <v>3704704.3499999996</v>
      </c>
      <c r="AE48" s="773">
        <f>+AE43+AE44-AE45-AE46-AE47</f>
        <v>-5024152.45</v>
      </c>
      <c r="AF48" s="1041"/>
    </row>
    <row r="49" spans="1:33" ht="15.75">
      <c r="A49" s="407"/>
      <c r="B49" s="370"/>
      <c r="C49" s="71"/>
      <c r="D49" s="527"/>
      <c r="E49" s="192"/>
      <c r="F49" s="196"/>
      <c r="G49" s="192"/>
      <c r="H49" s="196"/>
      <c r="I49" s="192"/>
      <c r="J49" s="196"/>
      <c r="K49" s="192"/>
      <c r="L49" s="518"/>
      <c r="M49" s="192"/>
      <c r="N49" s="196"/>
      <c r="O49" s="192"/>
      <c r="P49" s="196"/>
      <c r="Q49" s="192"/>
      <c r="R49" s="196"/>
      <c r="S49" s="192"/>
      <c r="T49" s="196"/>
      <c r="U49" s="192"/>
      <c r="V49" s="196"/>
      <c r="W49" s="192"/>
      <c r="X49" s="196"/>
      <c r="Y49" s="192"/>
      <c r="Z49" s="196"/>
      <c r="AA49" s="192"/>
      <c r="AB49" s="196"/>
      <c r="AC49" s="1023"/>
      <c r="AD49" s="1023"/>
      <c r="AE49" s="1023"/>
      <c r="AF49" s="1039"/>
    </row>
    <row r="50" spans="1:33" ht="15.75">
      <c r="A50" s="66" t="s">
        <v>435</v>
      </c>
      <c r="B50" s="180"/>
      <c r="C50" s="373"/>
      <c r="D50" s="1073"/>
      <c r="E50" s="525"/>
      <c r="F50" s="530"/>
      <c r="G50" s="525"/>
      <c r="H50" s="530"/>
      <c r="I50" s="525"/>
      <c r="J50" s="530"/>
      <c r="K50" s="525"/>
      <c r="L50" s="548"/>
      <c r="M50" s="525"/>
      <c r="N50" s="530"/>
      <c r="O50" s="525"/>
      <c r="P50" s="530"/>
      <c r="Q50" s="525"/>
      <c r="R50" s="530"/>
      <c r="S50" s="525"/>
      <c r="T50" s="530"/>
      <c r="U50" s="525"/>
      <c r="V50" s="530"/>
      <c r="W50" s="525"/>
      <c r="X50" s="530"/>
      <c r="Y50" s="525"/>
      <c r="Z50" s="530"/>
      <c r="AA50" s="525"/>
      <c r="AB50" s="530"/>
      <c r="AC50" s="1027"/>
      <c r="AD50" s="1027"/>
      <c r="AE50" s="1027"/>
      <c r="AF50" s="1035"/>
    </row>
    <row r="51" spans="1:33" ht="15.75">
      <c r="A51" s="1806" t="s">
        <v>436</v>
      </c>
      <c r="B51" s="1807"/>
      <c r="C51" s="376"/>
      <c r="D51" s="1070"/>
      <c r="E51" s="511"/>
      <c r="F51" s="531" t="str">
        <f>IF($AE51&lt;1," ",IF(E51&lt;1," ",(E51)/$AE51))</f>
        <v xml:space="preserve"> </v>
      </c>
      <c r="G51" s="398">
        <v>400000</v>
      </c>
      <c r="H51" s="531" t="str">
        <f>IF($AE51&lt;1," ",IF(G51&lt;1," ",(G51)/$AE51))</f>
        <v xml:space="preserve"> </v>
      </c>
      <c r="I51" s="398">
        <v>400000</v>
      </c>
      <c r="J51" s="531" t="str">
        <f>IF($AE51&lt;1," ",IF(I51&lt;1," ",(I51)/$AE51))</f>
        <v xml:space="preserve"> </v>
      </c>
      <c r="K51" s="398">
        <v>400000</v>
      </c>
      <c r="L51" s="341" t="str">
        <f>IF($AE51&lt;1," ",IF(K51&lt;1," ",(K51)/$AE51))</f>
        <v xml:space="preserve"> </v>
      </c>
      <c r="M51" s="511">
        <v>800000</v>
      </c>
      <c r="N51" s="340" t="str">
        <f>IF($AE51&lt;1," ",IF(M51&lt;1," ",(M51)/$AE51))</f>
        <v xml:space="preserve"> </v>
      </c>
      <c r="O51" s="398"/>
      <c r="P51" s="340" t="str">
        <f>IF($AE51&lt;1," ",IF(O51&lt;1," ",(O51)/$AE51))</f>
        <v xml:space="preserve"> </v>
      </c>
      <c r="Q51" s="398"/>
      <c r="R51" s="531" t="str">
        <f>IF($AE51&lt;1," ",IF(Q51&lt;1," ",(Q51)/$AE51))</f>
        <v xml:space="preserve"> </v>
      </c>
      <c r="S51" s="398">
        <v>400000</v>
      </c>
      <c r="T51" s="340" t="str">
        <f>IF($AE51&lt;1," ",IF(S51&lt;1," ",(S51)/$AE51))</f>
        <v xml:space="preserve"> </v>
      </c>
      <c r="U51" s="398">
        <v>600000</v>
      </c>
      <c r="V51" s="340" t="str">
        <f>IF($AE51&lt;1," ",IF(U51&lt;1," ",(U51)/$AE51))</f>
        <v xml:space="preserve"> </v>
      </c>
      <c r="W51" s="398">
        <v>800000</v>
      </c>
      <c r="X51" s="340" t="str">
        <f>IF($AE51&lt;1," ",IF(W51&lt;1," ",(W51)/$AE51))</f>
        <v xml:space="preserve"> </v>
      </c>
      <c r="Y51" s="398">
        <v>850000</v>
      </c>
      <c r="Z51" s="340" t="str">
        <f>IF($AE51&lt;1," ",IF(Y51&lt;1," ",(Y51)/$AE51))</f>
        <v xml:space="preserve"> </v>
      </c>
      <c r="AA51" s="398">
        <v>950000</v>
      </c>
      <c r="AB51" s="340" t="str">
        <f>IF($AE51&lt;1," ",IF(AA51&lt;1," ",(AA51)/$AE51))</f>
        <v xml:space="preserve"> </v>
      </c>
      <c r="AC51" s="1605"/>
      <c r="AD51" s="379">
        <f>+E51+G51+I51+K51+M51+O51+Q51+S51+U51+W51+Y51+AA51+AC51</f>
        <v>5600000</v>
      </c>
      <c r="AE51" s="775"/>
      <c r="AF51" s="776"/>
      <c r="AG51" s="1212"/>
    </row>
    <row r="52" spans="1:33" ht="15.75">
      <c r="A52" s="1806" t="s">
        <v>437</v>
      </c>
      <c r="B52" s="1807"/>
      <c r="C52" s="395"/>
      <c r="D52" s="1076"/>
      <c r="E52" s="511">
        <v>-679499</v>
      </c>
      <c r="F52" s="531" t="str">
        <f>IF($AE52&lt;1," ",IF(E52&lt;1," ",(E52)/$AE52))</f>
        <v xml:space="preserve"> </v>
      </c>
      <c r="G52" s="398">
        <v>-1031955</v>
      </c>
      <c r="H52" s="531" t="str">
        <f>IF($AE52&lt;1," ",IF(G52&lt;1," ",(G52)/$AE52))</f>
        <v xml:space="preserve"> </v>
      </c>
      <c r="I52" s="398">
        <v>-978577</v>
      </c>
      <c r="J52" s="531" t="str">
        <f>IF($AE52&lt;1," ",IF(I52&lt;1," ",(I52)/$AE52))</f>
        <v xml:space="preserve"> </v>
      </c>
      <c r="K52" s="398">
        <v>-672550</v>
      </c>
      <c r="L52" s="341" t="str">
        <f>IF($AE52&lt;1," ",IF(K52&lt;1," ",(K52)/$AE52))</f>
        <v xml:space="preserve"> </v>
      </c>
      <c r="M52" s="511">
        <v>-400000</v>
      </c>
      <c r="N52" s="340" t="str">
        <f>IF($AE52&lt;1," ",IF(M52&lt;1," ",(M52)/$AE52))</f>
        <v xml:space="preserve"> </v>
      </c>
      <c r="O52" s="398">
        <v>-400000</v>
      </c>
      <c r="P52" s="340" t="str">
        <f>IF($AE52&lt;1," ",IF(O52&lt;1," ",(O52)/$AE52))</f>
        <v xml:space="preserve"> </v>
      </c>
      <c r="Q52" s="398">
        <v>-400000</v>
      </c>
      <c r="R52" s="531" t="str">
        <f>IF($AE52&lt;1," ",IF(Q52&lt;1," ",(Q52)/$AE52))</f>
        <v xml:space="preserve"> </v>
      </c>
      <c r="S52" s="398">
        <v>-400000</v>
      </c>
      <c r="T52" s="340" t="str">
        <f>IF($AE52&lt;1," ",IF(S52&lt;1," ",(S52)/$AE52))</f>
        <v xml:space="preserve"> </v>
      </c>
      <c r="U52" s="398">
        <v>-400000</v>
      </c>
      <c r="V52" s="340" t="str">
        <f>IF($AE52&lt;1," ",IF(U52&lt;1," ",(U52)/$AE52))</f>
        <v xml:space="preserve"> </v>
      </c>
      <c r="W52" s="398">
        <v>-400000</v>
      </c>
      <c r="X52" s="340" t="str">
        <f>IF($AE52&lt;1," ",IF(W52&lt;1," ",(W52)/$AE52))</f>
        <v xml:space="preserve"> </v>
      </c>
      <c r="Y52" s="398">
        <v>-600000</v>
      </c>
      <c r="Z52" s="340" t="str">
        <f>IF($AE52&lt;1," ",IF(Y52&lt;1," ",(Y52)/$AE52))</f>
        <v xml:space="preserve"> </v>
      </c>
      <c r="AA52" s="398">
        <v>-800000</v>
      </c>
      <c r="AB52" s="340" t="str">
        <f>IF($AE52&lt;1," ",IF(AA52&lt;1," ",(AA52)/$AE52))</f>
        <v xml:space="preserve"> </v>
      </c>
      <c r="AC52" s="1605"/>
      <c r="AD52" s="379">
        <f>+E52+G52+I52+K52+M52+O52+Q52+S52+U52+W52+Y52+AA52+AC52</f>
        <v>-7162581</v>
      </c>
      <c r="AE52" s="777"/>
      <c r="AF52" s="778"/>
      <c r="AG52" s="1240"/>
    </row>
    <row r="53" spans="1:33" ht="15.75">
      <c r="A53" s="1806" t="s">
        <v>578</v>
      </c>
      <c r="B53" s="1807"/>
      <c r="C53" s="376"/>
      <c r="D53" s="1070"/>
      <c r="E53" s="511">
        <v>-55500</v>
      </c>
      <c r="F53" s="531" t="str">
        <f>IF($AE53&lt;1," ",IF(E53&lt;1," ",(E53)/$AE53))</f>
        <v xml:space="preserve"> </v>
      </c>
      <c r="G53" s="398">
        <v>-67774</v>
      </c>
      <c r="H53" s="531" t="str">
        <f>IF($AE53&lt;1," ",IF(G53&lt;1," ",(G53)/$AE53))</f>
        <v xml:space="preserve"> </v>
      </c>
      <c r="I53" s="398">
        <v>-84583</v>
      </c>
      <c r="J53" s="531" t="str">
        <f>IF($AE53&lt;1," ",IF(I53&lt;1," ",(I53)/$AE53))</f>
        <v xml:space="preserve"> </v>
      </c>
      <c r="K53" s="398">
        <v>-24890</v>
      </c>
      <c r="L53" s="341" t="str">
        <f>IF($AE53&lt;1," ",IF(K53&lt;1," ",(K53)/$AE53))</f>
        <v xml:space="preserve"> </v>
      </c>
      <c r="M53" s="511">
        <v>-213500</v>
      </c>
      <c r="N53" s="340" t="str">
        <f>IF($AE53&lt;1," ",IF(M53&lt;1," ",(M53)/$AE53))</f>
        <v xml:space="preserve"> </v>
      </c>
      <c r="O53" s="398"/>
      <c r="P53" s="340" t="str">
        <f>IF($AE53&lt;1," ",IF(O53&lt;1," ",(O53)/$AE53))</f>
        <v xml:space="preserve"> </v>
      </c>
      <c r="Q53" s="398"/>
      <c r="R53" s="531" t="str">
        <f>IF($AE53&lt;1," ",IF(Q53&lt;1," ",(Q53)/$AE53))</f>
        <v xml:space="preserve"> </v>
      </c>
      <c r="S53" s="398"/>
      <c r="T53" s="340" t="str">
        <f>IF($AE53&lt;1," ",IF(S53&lt;1," ",(S53)/$AE53))</f>
        <v xml:space="preserve"> </v>
      </c>
      <c r="U53" s="398"/>
      <c r="V53" s="340" t="str">
        <f>IF($AE53&lt;1," ",IF(U53&lt;1," ",(U53)/$AE53))</f>
        <v xml:space="preserve"> </v>
      </c>
      <c r="W53" s="398"/>
      <c r="X53" s="340" t="str">
        <f>IF($AE53&lt;1," ",IF(W53&lt;1," ",(W53)/$AE53))</f>
        <v xml:space="preserve"> </v>
      </c>
      <c r="Y53" s="398"/>
      <c r="Z53" s="340" t="str">
        <f>IF($AE53&lt;1," ",IF(Y53&lt;1," ",(Y53)/$AE53))</f>
        <v xml:space="preserve"> </v>
      </c>
      <c r="AA53" s="398"/>
      <c r="AB53" s="340" t="str">
        <f>IF($AE53&lt;1," ",IF(AA53&lt;1," ",(AA53)/$AE53))</f>
        <v xml:space="preserve"> </v>
      </c>
      <c r="AC53" s="1605"/>
      <c r="AD53" s="379">
        <f>+E53+G53+I53+K53+M53+O53+Q53+S53+U53+W53+Y53+AA53+AC53</f>
        <v>-446247</v>
      </c>
      <c r="AE53" s="777"/>
      <c r="AF53" s="778"/>
      <c r="AG53" s="1240"/>
    </row>
    <row r="54" spans="1:33" ht="15.75">
      <c r="A54" s="1806" t="s">
        <v>579</v>
      </c>
      <c r="B54" s="1807"/>
      <c r="C54" s="376"/>
      <c r="D54" s="1070"/>
      <c r="E54" s="511"/>
      <c r="F54" s="531" t="str">
        <f>IF($AE54&lt;1," ",IF(E54&lt;1," ",(E54)/$AE54))</f>
        <v xml:space="preserve"> </v>
      </c>
      <c r="G54" s="398"/>
      <c r="H54" s="531" t="str">
        <f>IF($AE54&lt;1," ",IF(G54&lt;1," ",(G54)/$AE54))</f>
        <v xml:space="preserve"> </v>
      </c>
      <c r="I54" s="398"/>
      <c r="J54" s="531" t="str">
        <f>IF($AE54&lt;1," ",IF(I54&lt;1," ",(I54)/$AE54))</f>
        <v xml:space="preserve"> </v>
      </c>
      <c r="K54" s="398"/>
      <c r="L54" s="341" t="str">
        <f>IF($AE54&lt;1," ",IF(K54&lt;1," ",(K54)/$AE54))</f>
        <v xml:space="preserve"> </v>
      </c>
      <c r="M54" s="511">
        <v>-2000000</v>
      </c>
      <c r="N54" s="340" t="str">
        <f>IF($AE54&lt;1," ",IF(M54&lt;1," ",(M54)/$AE54))</f>
        <v xml:space="preserve"> </v>
      </c>
      <c r="O54" s="398"/>
      <c r="P54" s="340" t="str">
        <f>IF($AE54&lt;1," ",IF(O54&lt;1," ",(O54)/$AE54))</f>
        <v xml:space="preserve"> </v>
      </c>
      <c r="Q54" s="398"/>
      <c r="R54" s="531" t="str">
        <f>IF($AE54&lt;1," ",IF(Q54&lt;1," ",(Q54)/$AE54))</f>
        <v xml:space="preserve"> </v>
      </c>
      <c r="S54" s="398"/>
      <c r="T54" s="340" t="str">
        <f>IF($AE54&lt;1," ",IF(S54&lt;1," ",(S54)/$AE54))</f>
        <v xml:space="preserve"> </v>
      </c>
      <c r="U54" s="398"/>
      <c r="V54" s="340" t="str">
        <f>IF($AE54&lt;1," ",IF(U54&lt;1," ",(U54)/$AE54))</f>
        <v xml:space="preserve"> </v>
      </c>
      <c r="W54" s="398"/>
      <c r="X54" s="340" t="str">
        <f>IF($AE54&lt;1," ",IF(W54&lt;1," ",(W54)/$AE54))</f>
        <v xml:space="preserve"> </v>
      </c>
      <c r="Y54" s="398"/>
      <c r="Z54" s="340" t="str">
        <f>IF($AE54&lt;1," ",IF(Y54&lt;1," ",(Y54)/$AE54))</f>
        <v xml:space="preserve"> </v>
      </c>
      <c r="AA54" s="398"/>
      <c r="AB54" s="340" t="str">
        <f>IF($AE54&lt;1," ",IF(AA54&lt;1," ",(AA54)/$AE54))</f>
        <v xml:space="preserve"> </v>
      </c>
      <c r="AC54" s="1605"/>
      <c r="AD54" s="379">
        <f>+E54+G54+I54+K54+M54+O54+Q54+S54+U54+W54+Y54+AA54+AC54</f>
        <v>-2000000</v>
      </c>
      <c r="AE54" s="777"/>
      <c r="AF54" s="778"/>
      <c r="AG54" s="1212"/>
    </row>
    <row r="55" spans="1:33" ht="15.75">
      <c r="A55" s="1806"/>
      <c r="B55" s="1807"/>
      <c r="C55" s="376"/>
      <c r="D55" s="1070"/>
      <c r="E55" s="511"/>
      <c r="F55" s="531" t="str">
        <f>IF($AE55&lt;1," ",IF(E55&lt;1," ",(E55)/$AE55))</f>
        <v xml:space="preserve"> </v>
      </c>
      <c r="G55" s="398"/>
      <c r="H55" s="531" t="str">
        <f>IF($AE55&lt;1," ",IF(G55&lt;1," ",(G55)/$AE55))</f>
        <v xml:space="preserve"> </v>
      </c>
      <c r="I55" s="398"/>
      <c r="J55" s="531" t="str">
        <f>IF($AE55&lt;1," ",IF(I55&lt;1," ",(I55)/$AE55))</f>
        <v xml:space="preserve"> </v>
      </c>
      <c r="K55" s="398"/>
      <c r="L55" s="341" t="str">
        <f>IF($AE55&lt;1," ",IF(K55&lt;1," ",(K55)/$AE55))</f>
        <v xml:space="preserve"> </v>
      </c>
      <c r="M55" s="511"/>
      <c r="N55" s="340" t="str">
        <f>IF($AE55&lt;1," ",IF(M55&lt;1," ",(M55)/$AE55))</f>
        <v xml:space="preserve"> </v>
      </c>
      <c r="O55" s="398"/>
      <c r="P55" s="340" t="str">
        <f>IF($AE55&lt;1," ",IF(O55&lt;1," ",(O55)/$AE55))</f>
        <v xml:space="preserve"> </v>
      </c>
      <c r="Q55" s="398"/>
      <c r="R55" s="531" t="str">
        <f>IF($AE55&lt;1," ",IF(Q55&lt;1," ",(Q55)/$AE55))</f>
        <v xml:space="preserve"> </v>
      </c>
      <c r="S55" s="398"/>
      <c r="T55" s="340" t="str">
        <f>IF($AE55&lt;1," ",IF(S55&lt;1," ",(S55)/$AE55))</f>
        <v xml:space="preserve"> </v>
      </c>
      <c r="U55" s="398"/>
      <c r="V55" s="340" t="str">
        <f>IF($AE55&lt;1," ",IF(U55&lt;1," ",(U55)/$AE55))</f>
        <v xml:space="preserve"> </v>
      </c>
      <c r="W55" s="398"/>
      <c r="X55" s="340" t="str">
        <f>IF($AE55&lt;1," ",IF(W55&lt;1," ",(W55)/$AE55))</f>
        <v xml:space="preserve"> </v>
      </c>
      <c r="Y55" s="398"/>
      <c r="Z55" s="340" t="str">
        <f>IF($AE55&lt;1," ",IF(Y55&lt;1," ",(Y55)/$AE55))</f>
        <v xml:space="preserve"> </v>
      </c>
      <c r="AA55" s="398"/>
      <c r="AB55" s="340" t="str">
        <f>IF($AE55&lt;1," ",IF(AA55&lt;1," ",(AA55)/$AE55))</f>
        <v xml:space="preserve"> </v>
      </c>
      <c r="AC55" s="1605"/>
      <c r="AD55" s="379">
        <f>+E55+G55+I55+K55+M55+O55+Q55+S55+U55+W55+Y55+AA55+AC55</f>
        <v>0</v>
      </c>
      <c r="AE55" s="777"/>
      <c r="AF55" s="778"/>
      <c r="AG55" s="1212"/>
    </row>
    <row r="56" spans="1:33" ht="16.5" thickBot="1">
      <c r="A56" s="400" t="s">
        <v>438</v>
      </c>
      <c r="B56" s="401"/>
      <c r="C56" s="376"/>
      <c r="D56" s="1070"/>
      <c r="E56" s="772">
        <f>SUM(E51:E55)</f>
        <v>-734999</v>
      </c>
      <c r="F56" s="1056" t="s">
        <v>103</v>
      </c>
      <c r="G56" s="771">
        <f>SUM(G51:G55)</f>
        <v>-699729</v>
      </c>
      <c r="H56" s="1056" t="s">
        <v>103</v>
      </c>
      <c r="I56" s="771">
        <f>SUM(I51:I55)</f>
        <v>-663160</v>
      </c>
      <c r="J56" s="1056" t="s">
        <v>103</v>
      </c>
      <c r="K56" s="771">
        <f>SUM(K51:K55)</f>
        <v>-297440</v>
      </c>
      <c r="L56" s="1055" t="s">
        <v>103</v>
      </c>
      <c r="M56" s="772">
        <f>SUM(M51:M55)</f>
        <v>-1813500</v>
      </c>
      <c r="N56" s="1054" t="s">
        <v>103</v>
      </c>
      <c r="O56" s="771">
        <f>SUM(O51:O55)</f>
        <v>-400000</v>
      </c>
      <c r="P56" s="1054" t="s">
        <v>103</v>
      </c>
      <c r="Q56" s="771">
        <f>SUM(Q51:Q55)</f>
        <v>-400000</v>
      </c>
      <c r="R56" s="1056" t="s">
        <v>103</v>
      </c>
      <c r="S56" s="771">
        <f>SUM(S51:S55)</f>
        <v>0</v>
      </c>
      <c r="T56" s="1054" t="s">
        <v>103</v>
      </c>
      <c r="U56" s="771">
        <f>SUM(U51:U55)</f>
        <v>200000</v>
      </c>
      <c r="V56" s="1054" t="s">
        <v>103</v>
      </c>
      <c r="W56" s="771">
        <f>SUM(W51:W55)</f>
        <v>400000</v>
      </c>
      <c r="X56" s="1054" t="s">
        <v>103</v>
      </c>
      <c r="Y56" s="771">
        <f>SUM(Y51:Y55)</f>
        <v>250000</v>
      </c>
      <c r="Z56" s="1054" t="s">
        <v>103</v>
      </c>
      <c r="AA56" s="771">
        <f>SUM(AA51:AA55)</f>
        <v>150000</v>
      </c>
      <c r="AB56" s="1054" t="s">
        <v>103</v>
      </c>
      <c r="AC56" s="1602"/>
      <c r="AD56" s="773">
        <f>SUM(AD51:AD55)</f>
        <v>-4008828</v>
      </c>
      <c r="AE56" s="779"/>
      <c r="AF56" s="780"/>
      <c r="AG56" s="1212"/>
    </row>
    <row r="57" spans="1:33" ht="15.75">
      <c r="A57" s="68"/>
      <c r="B57" s="182"/>
      <c r="C57" s="22"/>
      <c r="D57" s="528"/>
      <c r="E57" s="1048"/>
      <c r="F57" s="538"/>
      <c r="G57" s="392"/>
      <c r="H57" s="538"/>
      <c r="I57" s="392"/>
      <c r="J57" s="538"/>
      <c r="K57" s="392"/>
      <c r="L57" s="312"/>
      <c r="M57" s="1048"/>
      <c r="N57" s="1052"/>
      <c r="O57" s="392"/>
      <c r="P57" s="51"/>
      <c r="Q57" s="392"/>
      <c r="R57" s="538"/>
      <c r="S57" s="392"/>
      <c r="T57" s="51"/>
      <c r="U57" s="392"/>
      <c r="V57" s="51"/>
      <c r="W57" s="392"/>
      <c r="X57" s="51"/>
      <c r="Y57" s="392"/>
      <c r="Z57" s="51"/>
      <c r="AA57" s="392"/>
      <c r="AB57" s="51"/>
      <c r="AC57" s="1606"/>
      <c r="AD57" s="1035"/>
      <c r="AE57" s="1036"/>
      <c r="AF57" s="1042"/>
      <c r="AG57" s="1212"/>
    </row>
    <row r="58" spans="1:33" ht="16.5" thickBot="1">
      <c r="A58" s="400" t="s">
        <v>439</v>
      </c>
      <c r="B58" s="401"/>
      <c r="C58" s="376"/>
      <c r="D58" s="1070"/>
      <c r="E58" s="772">
        <f>+E23-E34+E39+E48+E56</f>
        <v>556143.2200000002</v>
      </c>
      <c r="F58" s="533"/>
      <c r="G58" s="771">
        <f>+G23-G34+G39+G48+G56</f>
        <v>-594731.03999999957</v>
      </c>
      <c r="H58" s="533"/>
      <c r="I58" s="771">
        <f>+I23-I34+I39+I48+I56</f>
        <v>-357770.60999999894</v>
      </c>
      <c r="J58" s="533"/>
      <c r="K58" s="771">
        <f>+K23-K34+K39+K48+K56</f>
        <v>-212330.60999999836</v>
      </c>
      <c r="L58" s="515"/>
      <c r="M58" s="772">
        <f>+M23-M34+M39+M48+M56</f>
        <v>246041.24313958758</v>
      </c>
      <c r="N58" s="384"/>
      <c r="O58" s="771">
        <f>+O23-O34+O39+O48+O56</f>
        <v>-594845.13688667258</v>
      </c>
      <c r="P58" s="384"/>
      <c r="Q58" s="771">
        <f>+Q23-Q34+Q39+Q48+Q56</f>
        <v>194789.93230834231</v>
      </c>
      <c r="R58" s="533"/>
      <c r="S58" s="771">
        <f>+S23-S34+S39+S48+S56</f>
        <v>175034.91230834229</v>
      </c>
      <c r="T58" s="384"/>
      <c r="U58" s="771">
        <f>+U23-U34+U39+U48+U56</f>
        <v>-468366.70583124319</v>
      </c>
      <c r="V58" s="384"/>
      <c r="W58" s="771">
        <f>+W23-W34+W39+W48+W56</f>
        <v>120799.29416875693</v>
      </c>
      <c r="X58" s="384"/>
      <c r="Y58" s="771">
        <f>+Y23-Y34+Y39+Y48+Y56</f>
        <v>-279982.20583124319</v>
      </c>
      <c r="Z58" s="384"/>
      <c r="AA58" s="771">
        <f>+AA23-AA34+AA39+AA48+AA56</f>
        <v>-145787.20583124307</v>
      </c>
      <c r="AB58" s="384"/>
      <c r="AC58" s="1602">
        <f>+AC23-AC34+AC39+AC48+AC56</f>
        <v>-447710.79754462838</v>
      </c>
      <c r="AD58" s="773">
        <f>+AD23-AD34+AD39+AD48+AD56</f>
        <v>-1808715.7099999981</v>
      </c>
      <c r="AE58" s="779"/>
      <c r="AF58" s="780"/>
      <c r="AG58" s="1212"/>
    </row>
    <row r="59" spans="1:33" ht="16.5" thickBot="1">
      <c r="A59" s="69"/>
      <c r="B59" s="369"/>
      <c r="C59" s="70"/>
      <c r="D59" s="1080"/>
      <c r="E59" s="21"/>
      <c r="F59" s="537"/>
      <c r="G59" s="394"/>
      <c r="H59" s="537"/>
      <c r="I59" s="394"/>
      <c r="J59" s="537"/>
      <c r="K59" s="394"/>
      <c r="L59" s="521"/>
      <c r="M59" s="21"/>
      <c r="N59" s="197"/>
      <c r="O59" s="394"/>
      <c r="P59" s="197"/>
      <c r="Q59" s="394"/>
      <c r="R59" s="537"/>
      <c r="S59" s="394"/>
      <c r="T59" s="197"/>
      <c r="U59" s="394"/>
      <c r="V59" s="197"/>
      <c r="W59" s="394"/>
      <c r="X59" s="197"/>
      <c r="Y59" s="394"/>
      <c r="Z59" s="197"/>
      <c r="AA59" s="394"/>
      <c r="AB59" s="197"/>
      <c r="AC59" s="1607"/>
      <c r="AD59" s="191"/>
      <c r="AE59" s="779"/>
      <c r="AF59" s="780"/>
      <c r="AG59" s="1212"/>
    </row>
    <row r="60" spans="1:33" ht="16.5" thickBot="1">
      <c r="A60" s="69" t="s">
        <v>440</v>
      </c>
      <c r="B60" s="369"/>
      <c r="C60" s="70"/>
      <c r="D60" s="1080"/>
      <c r="E60" s="1044">
        <f>+E6+E58</f>
        <v>1982942.0700000003</v>
      </c>
      <c r="F60" s="537"/>
      <c r="G60" s="1053">
        <f>+G6+G58</f>
        <v>1388211.0300000007</v>
      </c>
      <c r="H60" s="537"/>
      <c r="I60" s="1053">
        <f>+I6+I58</f>
        <v>1030440.4200000018</v>
      </c>
      <c r="J60" s="537"/>
      <c r="K60" s="1053">
        <f>+K6+K58</f>
        <v>818109.81000000343</v>
      </c>
      <c r="L60" s="521"/>
      <c r="M60" s="1044">
        <f>+M6+M58</f>
        <v>1064151.0531395911</v>
      </c>
      <c r="N60" s="197"/>
      <c r="O60" s="1053">
        <f>+O6+O58</f>
        <v>469305.91625291854</v>
      </c>
      <c r="P60" s="197"/>
      <c r="Q60" s="1053">
        <f>+Q6+Q58</f>
        <v>664095.84856126085</v>
      </c>
      <c r="R60" s="537"/>
      <c r="S60" s="1053">
        <f>+S6+S58</f>
        <v>839130.76086960314</v>
      </c>
      <c r="T60" s="197"/>
      <c r="U60" s="1053">
        <f>+U6+U58</f>
        <v>370764.05503835995</v>
      </c>
      <c r="V60" s="197"/>
      <c r="W60" s="1053">
        <f>+W6+W58</f>
        <v>491563.34920711687</v>
      </c>
      <c r="X60" s="197"/>
      <c r="Y60" s="1053">
        <f>+Y6+Y58</f>
        <v>211581.14337587368</v>
      </c>
      <c r="Z60" s="197"/>
      <c r="AA60" s="1053">
        <f>+AA6+AA58</f>
        <v>65793.937544630608</v>
      </c>
      <c r="AB60" s="197"/>
      <c r="AC60" s="1602">
        <f>+AC6+AC58</f>
        <v>-381916.85999999777</v>
      </c>
      <c r="AD60" s="1260"/>
      <c r="AE60" s="1037"/>
      <c r="AF60" s="1043"/>
      <c r="AG60" s="1212"/>
    </row>
    <row r="62" spans="1:33" ht="16.5">
      <c r="AB62" s="1611" t="s">
        <v>441</v>
      </c>
      <c r="AC62" s="1612">
        <f>'1st Interim-Summary MYP'!G55</f>
        <v>2047180.2471289167</v>
      </c>
    </row>
    <row r="63" spans="1:33" ht="17.25" thickBot="1">
      <c r="AB63" s="1613" t="s">
        <v>442</v>
      </c>
      <c r="AC63" s="1615">
        <f>AC60-AC62</f>
        <v>-2429097.1071289144</v>
      </c>
    </row>
    <row r="64" spans="1:33" ht="13.5" thickTop="1"/>
  </sheetData>
  <sheetProtection password="CC5F" sheet="1" objects="1" scenarios="1"/>
  <mergeCells count="11">
    <mergeCell ref="A54:B54"/>
    <mergeCell ref="A55:B55"/>
    <mergeCell ref="G2:K2"/>
    <mergeCell ref="D40:D42"/>
    <mergeCell ref="E7:L7"/>
    <mergeCell ref="T1:Z1"/>
    <mergeCell ref="AE40:AE42"/>
    <mergeCell ref="A51:B51"/>
    <mergeCell ref="A52:B52"/>
    <mergeCell ref="A53:B53"/>
    <mergeCell ref="F1:L1"/>
  </mergeCells>
  <conditionalFormatting sqref="F1">
    <cfRule type="containsText" dxfId="172" priority="8" stopIfTrue="1" operator="containsText" text="Enter">
      <formula>NOT(ISERROR(SEARCH("Enter",F1)))</formula>
    </cfRule>
  </conditionalFormatting>
  <conditionalFormatting sqref="T1">
    <cfRule type="containsText" dxfId="171" priority="6" stopIfTrue="1" operator="containsText" text="Enter">
      <formula>NOT(ISERROR(SEARCH("Enter",T1)))</formula>
    </cfRule>
  </conditionalFormatting>
  <conditionalFormatting sqref="AD47">
    <cfRule type="cellIs" dxfId="170" priority="1" stopIfTrue="1" operator="notEqual">
      <formula>$D$47</formula>
    </cfRule>
  </conditionalFormatting>
  <conditionalFormatting sqref="AD43">
    <cfRule type="cellIs" dxfId="169" priority="5" stopIfTrue="1" operator="notEqual">
      <formula>$D$43</formula>
    </cfRule>
  </conditionalFormatting>
  <conditionalFormatting sqref="AD44">
    <cfRule type="cellIs" dxfId="168" priority="4" stopIfTrue="1" operator="notEqual">
      <formula>$D$44</formula>
    </cfRule>
  </conditionalFormatting>
  <conditionalFormatting sqref="AD45">
    <cfRule type="cellIs" dxfId="167" priority="3" stopIfTrue="1" operator="notEqual">
      <formula>$D$45</formula>
    </cfRule>
  </conditionalFormatting>
  <conditionalFormatting sqref="AD46">
    <cfRule type="cellIs" dxfId="166" priority="2" stopIfTrue="1" operator="notEqual">
      <formula>$D$46</formula>
    </cfRule>
  </conditionalFormatting>
  <pageMargins left="0.7" right="0.7" top="0.75" bottom="0.75" header="0.3" footer="0.3"/>
  <pageSetup scale="53" fitToWidth="2" orientation="landscape" r:id="rId1"/>
  <headerFooter>
    <oddHeader>&amp;RPage &amp;P of &amp;N</oddHeader>
  </headerFooter>
  <colBreaks count="1" manualBreakCount="1">
    <brk id="18" max="1048575" man="1"/>
  </colBreaks>
  <customProperties>
    <customPr name="DrillPoint.FROID" r:id="rId2"/>
    <customPr name="DrillPoint.Mode" r:id="rId3"/>
    <customPr name="DrillPoint.Subsheet" r:id="rId4"/>
  </customProperties>
  <legacy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theme="4"/>
  </sheetPr>
  <dimension ref="A1:AG64"/>
  <sheetViews>
    <sheetView showGridLines="0" zoomScale="87" zoomScaleNormal="87" workbookViewId="0">
      <pane xSplit="4" ySplit="7" topLeftCell="H8" activePane="bottomRight" state="frozen"/>
      <selection pane="topRight" activeCell="E1" sqref="E1"/>
      <selection pane="bottomLeft" activeCell="A8" sqref="A8"/>
      <selection pane="bottomRight" activeCell="N44" sqref="N44"/>
    </sheetView>
  </sheetViews>
  <sheetFormatPr defaultRowHeight="12.75"/>
  <cols>
    <col min="1" max="1" width="2.5703125" customWidth="1"/>
    <col min="2" max="2" width="45.85546875" customWidth="1"/>
    <col min="3" max="3" width="14.7109375" customWidth="1"/>
    <col min="4" max="4" width="12.85546875" customWidth="1"/>
    <col min="5" max="5" width="13.42578125" customWidth="1"/>
    <col min="6" max="6" width="9" bestFit="1" customWidth="1"/>
    <col min="7" max="7" width="13.42578125" customWidth="1"/>
    <col min="8" max="8" width="8.7109375" customWidth="1"/>
    <col min="9" max="9" width="13.42578125" customWidth="1"/>
    <col min="10" max="10" width="8.7109375" customWidth="1"/>
    <col min="11" max="11" width="13.28515625" customWidth="1"/>
    <col min="12" max="12" width="8.7109375" customWidth="1"/>
    <col min="13" max="13" width="13.42578125" customWidth="1"/>
    <col min="14" max="14" width="8.7109375" customWidth="1"/>
    <col min="15" max="15" width="13.7109375" customWidth="1"/>
    <col min="16" max="16" width="8.7109375" customWidth="1"/>
    <col min="17" max="17" width="13.7109375" customWidth="1"/>
    <col min="18" max="18" width="8.7109375" customWidth="1"/>
    <col min="19" max="19" width="13.42578125" customWidth="1"/>
    <col min="20" max="20" width="9.140625" customWidth="1"/>
    <col min="21" max="21" width="13.42578125" customWidth="1"/>
    <col min="22" max="22" width="9.140625" customWidth="1"/>
    <col min="23" max="23" width="13.42578125" customWidth="1"/>
    <col min="24" max="24" width="9.140625" customWidth="1"/>
    <col min="25" max="25" width="13.42578125" customWidth="1"/>
    <col min="26" max="26" width="9.140625" customWidth="1"/>
    <col min="27" max="27" width="13.7109375" customWidth="1"/>
    <col min="28" max="28" width="9.140625" customWidth="1"/>
    <col min="29" max="29" width="13.42578125" style="174" customWidth="1"/>
    <col min="30" max="30" width="16.5703125" style="174" customWidth="1"/>
    <col min="31" max="32" width="13.7109375" customWidth="1"/>
    <col min="33" max="33" width="70.5703125" customWidth="1"/>
  </cols>
  <sheetData>
    <row r="1" spans="1:33" ht="16.5" thickBot="1">
      <c r="A1" s="176"/>
      <c r="B1" s="176"/>
      <c r="C1" s="176"/>
      <c r="D1" s="176"/>
      <c r="E1" s="177"/>
      <c r="F1" s="1815" t="str">
        <f>IF('INTERIM-CERTIFICATION'!$M$1="","CHARTER NAME: Enter Charter Name on INTERIM-CERTIFICATION Worksheet",(CONCATENATE("CHARTER NAME: ",'INTERIM-CERTIFICATION'!$M$1)))</f>
        <v>CHARTER NAME: Encore High School -</v>
      </c>
      <c r="G1" s="1815" t="str">
        <f>IF('INTERIM-CERTIFICATION'!$H$1="","CHARTER NAME: Enter Charter Name on INTERIM-CERTIFICATION Worksheet",(CONCATENATE("CHARTER NAME: ",'INTERIM-CERTIFICATION'!$H$1)))</f>
        <v>CHARTER NAME: Enter Charter Name on INTERIM-CERTIFICATION Worksheet</v>
      </c>
      <c r="H1" s="1815" t="str">
        <f>IF('INTERIM-CERTIFICATION'!$H$1="","CHARTER NAME: Enter Charter Name on INTERIM-CERTIFICATION Worksheet",(CONCATENATE("CHARTER NAME: ",'INTERIM-CERTIFICATION'!$H$1)))</f>
        <v>CHARTER NAME: Enter Charter Name on INTERIM-CERTIFICATION Worksheet</v>
      </c>
      <c r="I1" s="1815"/>
      <c r="J1" s="1815"/>
      <c r="K1" s="1815"/>
      <c r="L1" s="1815"/>
      <c r="M1" s="179"/>
      <c r="N1" s="178"/>
      <c r="O1" s="179"/>
      <c r="P1" s="178"/>
      <c r="Q1" s="179"/>
      <c r="R1" s="178"/>
      <c r="S1" s="179"/>
      <c r="T1" s="1815" t="str">
        <f>F1</f>
        <v>CHARTER NAME: Encore High School -</v>
      </c>
      <c r="U1" s="1815" t="str">
        <f>IF('INTERIM-CERTIFICATION'!$H$1="","CHARTER NAME: Enter Charter Name on INTERIM-CERTIFICATION Worksheet",(CONCATENATE("CHARTER NAME: ",'INTERIM-CERTIFICATION'!$H$1)))</f>
        <v>CHARTER NAME: Enter Charter Name on INTERIM-CERTIFICATION Worksheet</v>
      </c>
      <c r="V1" s="1815" t="str">
        <f>IF('INTERIM-CERTIFICATION'!$H$1="","CHARTER NAME: Enter Charter Name on INTERIM-CERTIFICATION Worksheet",(CONCATENATE("CHARTER NAME: ",'INTERIM-CERTIFICATION'!$H$1)))</f>
        <v>CHARTER NAME: Enter Charter Name on INTERIM-CERTIFICATION Worksheet</v>
      </c>
      <c r="W1" s="1815"/>
      <c r="X1" s="1815"/>
      <c r="Y1" s="1815"/>
      <c r="Z1" s="1815"/>
      <c r="AA1" s="179"/>
      <c r="AB1" s="178"/>
      <c r="AD1" s="1023"/>
      <c r="AE1" s="1023"/>
      <c r="AF1" s="1023"/>
      <c r="AG1" s="1212"/>
    </row>
    <row r="2" spans="1:33" ht="15.75">
      <c r="B2" s="183" t="s">
        <v>405</v>
      </c>
      <c r="C2" s="96">
        <v>44540</v>
      </c>
      <c r="D2" s="184"/>
      <c r="G2" s="1844" t="str">
        <f>""&amp;'Budget-ADA'!N7&amp;"  First Interim Cash Flow"</f>
        <v>2022-23  First Interim Cash Flow</v>
      </c>
      <c r="H2" s="1844" t="str">
        <f>""&amp;'Budget-ADA'!N7&amp;"  First Interim Cash Flow"</f>
        <v>2022-23  First Interim Cash Flow</v>
      </c>
      <c r="I2" s="1844"/>
      <c r="J2" s="1844"/>
      <c r="K2" s="1844"/>
      <c r="M2" s="179"/>
      <c r="O2" s="179"/>
      <c r="Q2" s="179"/>
      <c r="S2" s="179"/>
      <c r="U2" s="178"/>
      <c r="W2" s="52" t="str">
        <f>G2</f>
        <v>2022-23  First Interim Cash Flow</v>
      </c>
      <c r="Y2" s="178"/>
      <c r="AA2" s="179"/>
      <c r="AC2" s="1023"/>
      <c r="AD2" s="1023"/>
      <c r="AE2" s="1023"/>
      <c r="AF2" s="1023"/>
      <c r="AG2" s="1212"/>
    </row>
    <row r="3" spans="1:33" ht="16.5" thickBot="1">
      <c r="A3" s="1090" t="str">
        <f>Instructions!H1</f>
        <v>Rev. 5/28/2021</v>
      </c>
      <c r="B3" s="182"/>
      <c r="C3" s="22"/>
      <c r="D3" s="22"/>
      <c r="E3" s="25"/>
      <c r="F3" s="24"/>
      <c r="G3" s="26"/>
      <c r="H3" s="24"/>
      <c r="I3" s="26"/>
      <c r="J3" s="24"/>
      <c r="K3" s="26"/>
      <c r="L3" s="24"/>
      <c r="M3" s="26"/>
      <c r="N3" s="24"/>
      <c r="O3" s="26"/>
      <c r="P3" s="24"/>
      <c r="Q3" s="26"/>
      <c r="R3" s="24"/>
      <c r="S3" s="26"/>
      <c r="T3" s="24"/>
      <c r="U3" s="26"/>
      <c r="V3" s="24"/>
      <c r="W3" s="26"/>
      <c r="X3" s="24"/>
      <c r="Y3" s="26"/>
      <c r="Z3" s="24"/>
      <c r="AA3" s="26"/>
      <c r="AB3" s="24"/>
      <c r="AC3" s="1023"/>
      <c r="AD3" s="1023"/>
      <c r="AE3" s="1023"/>
      <c r="AF3" s="1023"/>
      <c r="AG3" s="1212"/>
    </row>
    <row r="4" spans="1:33" ht="15.75">
      <c r="A4" s="402"/>
      <c r="B4" s="71"/>
      <c r="C4" s="71"/>
      <c r="D4" s="71"/>
      <c r="E4" s="625" t="s">
        <v>406</v>
      </c>
      <c r="F4" s="403" t="s">
        <v>407</v>
      </c>
      <c r="G4" s="540" t="s">
        <v>408</v>
      </c>
      <c r="H4" s="403" t="s">
        <v>426</v>
      </c>
      <c r="I4" s="540" t="s">
        <v>409</v>
      </c>
      <c r="J4" s="403" t="s">
        <v>426</v>
      </c>
      <c r="K4" s="540" t="s">
        <v>410</v>
      </c>
      <c r="L4" s="403" t="s">
        <v>426</v>
      </c>
      <c r="M4" s="540" t="s">
        <v>411</v>
      </c>
      <c r="N4" s="403" t="s">
        <v>426</v>
      </c>
      <c r="O4" s="540" t="s">
        <v>412</v>
      </c>
      <c r="P4" s="403" t="s">
        <v>426</v>
      </c>
      <c r="Q4" s="540" t="s">
        <v>413</v>
      </c>
      <c r="R4" s="403" t="s">
        <v>426</v>
      </c>
      <c r="S4" s="540" t="s">
        <v>414</v>
      </c>
      <c r="T4" s="403" t="s">
        <v>426</v>
      </c>
      <c r="U4" s="540" t="s">
        <v>415</v>
      </c>
      <c r="V4" s="403" t="s">
        <v>426</v>
      </c>
      <c r="W4" s="540" t="s">
        <v>416</v>
      </c>
      <c r="X4" s="403" t="s">
        <v>426</v>
      </c>
      <c r="Y4" s="540" t="s">
        <v>417</v>
      </c>
      <c r="Z4" s="403" t="s">
        <v>426</v>
      </c>
      <c r="AA4" s="540" t="s">
        <v>418</v>
      </c>
      <c r="AB4" s="403" t="s">
        <v>426</v>
      </c>
      <c r="AC4" s="1024" t="s">
        <v>229</v>
      </c>
      <c r="AD4" s="1032"/>
      <c r="AE4" s="1032" t="s">
        <v>232</v>
      </c>
      <c r="AF4" s="1032"/>
      <c r="AG4" s="1212"/>
    </row>
    <row r="5" spans="1:33" ht="16.5" thickBot="1">
      <c r="A5" s="186"/>
      <c r="B5" s="22"/>
      <c r="C5" s="22"/>
      <c r="D5" s="22"/>
      <c r="E5" s="219" t="s">
        <v>229</v>
      </c>
      <c r="F5" s="1045" t="s">
        <v>419</v>
      </c>
      <c r="G5" s="187" t="s">
        <v>229</v>
      </c>
      <c r="H5" s="1045" t="s">
        <v>419</v>
      </c>
      <c r="I5" s="187" t="s">
        <v>229</v>
      </c>
      <c r="J5" s="1045" t="s">
        <v>419</v>
      </c>
      <c r="K5" s="187" t="s">
        <v>229</v>
      </c>
      <c r="L5" s="1045" t="s">
        <v>419</v>
      </c>
      <c r="M5" s="187" t="s">
        <v>229</v>
      </c>
      <c r="N5" s="1045" t="s">
        <v>419</v>
      </c>
      <c r="O5" s="187" t="s">
        <v>229</v>
      </c>
      <c r="P5" s="60" t="s">
        <v>419</v>
      </c>
      <c r="Q5" s="187" t="s">
        <v>229</v>
      </c>
      <c r="R5" s="1045" t="s">
        <v>419</v>
      </c>
      <c r="S5" s="187" t="s">
        <v>229</v>
      </c>
      <c r="T5" s="60" t="s">
        <v>419</v>
      </c>
      <c r="U5" s="187" t="s">
        <v>229</v>
      </c>
      <c r="V5" s="60" t="s">
        <v>419</v>
      </c>
      <c r="W5" s="187" t="s">
        <v>229</v>
      </c>
      <c r="X5" s="60" t="s">
        <v>419</v>
      </c>
      <c r="Y5" s="187" t="s">
        <v>229</v>
      </c>
      <c r="Z5" s="60" t="s">
        <v>419</v>
      </c>
      <c r="AA5" s="187" t="s">
        <v>229</v>
      </c>
      <c r="AB5" s="60" t="s">
        <v>419</v>
      </c>
      <c r="AC5" s="1025" t="s">
        <v>420</v>
      </c>
      <c r="AD5" s="1033" t="s">
        <v>400</v>
      </c>
      <c r="AE5" s="1033" t="s">
        <v>234</v>
      </c>
      <c r="AF5" s="1033" t="s">
        <v>421</v>
      </c>
      <c r="AG5" s="1212"/>
    </row>
    <row r="6" spans="1:33" ht="17.25" thickTop="1" thickBot="1">
      <c r="A6" s="189" t="s">
        <v>422</v>
      </c>
      <c r="B6" s="180"/>
      <c r="D6" s="412" t="s">
        <v>575</v>
      </c>
      <c r="E6" s="1439">
        <f>'1st Interim-Cash Flow Year 1'!AA60</f>
        <v>65793.937544630608</v>
      </c>
      <c r="F6" s="61"/>
      <c r="G6" s="190">
        <f>E60</f>
        <v>512894.01668966917</v>
      </c>
      <c r="H6" s="61"/>
      <c r="I6" s="190">
        <f>G60</f>
        <v>585874.80107452266</v>
      </c>
      <c r="J6" s="61"/>
      <c r="K6" s="190">
        <f>I60</f>
        <v>584204.8266845597</v>
      </c>
      <c r="L6" s="61"/>
      <c r="M6" s="190">
        <f>K60</f>
        <v>945596.54078417039</v>
      </c>
      <c r="N6" s="1046"/>
      <c r="O6" s="513">
        <f>M60</f>
        <v>762662.94644509524</v>
      </c>
      <c r="P6" s="61"/>
      <c r="Q6" s="513">
        <f>O60</f>
        <v>667547.88240263786</v>
      </c>
      <c r="R6" s="61"/>
      <c r="S6" s="513">
        <f>Q60</f>
        <v>259009.16836018034</v>
      </c>
      <c r="T6" s="61"/>
      <c r="U6" s="190">
        <f>S60</f>
        <v>100470.35431772284</v>
      </c>
      <c r="V6" s="61"/>
      <c r="W6" s="190">
        <f>U60</f>
        <v>653713.82856996357</v>
      </c>
      <c r="X6" s="61"/>
      <c r="Y6" s="190">
        <f>W60</f>
        <v>589203.12643044523</v>
      </c>
      <c r="Z6" s="61"/>
      <c r="AA6" s="190">
        <f>Y60</f>
        <v>316850.92429092689</v>
      </c>
      <c r="AB6" s="61"/>
      <c r="AC6" s="389">
        <f>+AA60</f>
        <v>487446.07453822857</v>
      </c>
      <c r="AD6" s="57"/>
      <c r="AE6" s="57"/>
      <c r="AF6" s="57"/>
      <c r="AG6" s="1212"/>
    </row>
    <row r="7" spans="1:33" ht="16.5" thickTop="1">
      <c r="A7" s="404"/>
      <c r="B7" s="368"/>
      <c r="C7" s="64"/>
      <c r="D7" s="64"/>
      <c r="E7" s="1071"/>
      <c r="F7" s="1057"/>
      <c r="G7" s="1057"/>
      <c r="H7" s="1057"/>
      <c r="I7" s="1057"/>
      <c r="J7" s="1057"/>
      <c r="K7" s="1057"/>
      <c r="L7" s="1057"/>
      <c r="M7" s="65"/>
      <c r="N7" s="62"/>
      <c r="O7" s="65"/>
      <c r="P7" s="62"/>
      <c r="Q7" s="65"/>
      <c r="R7" s="62"/>
      <c r="S7" s="65"/>
      <c r="T7" s="62"/>
      <c r="U7" s="65"/>
      <c r="V7" s="62"/>
      <c r="W7" s="65"/>
      <c r="X7" s="62"/>
      <c r="Y7" s="65"/>
      <c r="Z7" s="62"/>
      <c r="AA7" s="65"/>
      <c r="AB7" s="62"/>
      <c r="AC7" s="1026"/>
      <c r="AD7" s="1026"/>
      <c r="AE7" s="1026"/>
      <c r="AF7" s="1038"/>
      <c r="AG7" s="1212"/>
    </row>
    <row r="8" spans="1:33" ht="15.75">
      <c r="A8" s="66" t="s">
        <v>423</v>
      </c>
      <c r="B8" s="522"/>
      <c r="C8" s="373"/>
      <c r="D8" s="373"/>
      <c r="E8" s="374"/>
      <c r="F8" s="165"/>
      <c r="G8" s="375"/>
      <c r="H8" s="165"/>
      <c r="I8" s="375"/>
      <c r="J8" s="165"/>
      <c r="K8" s="375"/>
      <c r="L8" s="165"/>
      <c r="M8" s="375"/>
      <c r="N8" s="165"/>
      <c r="O8" s="375"/>
      <c r="P8" s="165"/>
      <c r="Q8" s="375"/>
      <c r="R8" s="165"/>
      <c r="S8" s="375"/>
      <c r="T8" s="165"/>
      <c r="U8" s="375"/>
      <c r="V8" s="165"/>
      <c r="W8" s="375"/>
      <c r="X8" s="165"/>
      <c r="Y8" s="375"/>
      <c r="Z8" s="165"/>
      <c r="AA8" s="375"/>
      <c r="AB8" s="165"/>
      <c r="AC8" s="1027"/>
      <c r="AD8" s="1027"/>
      <c r="AE8" s="1027"/>
      <c r="AF8" s="1035"/>
      <c r="AG8" s="1212"/>
    </row>
    <row r="9" spans="1:33" ht="15.75">
      <c r="A9" s="405" t="s">
        <v>236</v>
      </c>
      <c r="B9" s="146"/>
      <c r="C9" s="140"/>
      <c r="D9" s="376"/>
      <c r="E9" s="385"/>
      <c r="F9" s="386"/>
      <c r="G9" s="509"/>
      <c r="H9" s="386"/>
      <c r="I9" s="509"/>
      <c r="J9" s="386"/>
      <c r="K9" s="509"/>
      <c r="L9" s="386"/>
      <c r="M9" s="509"/>
      <c r="N9" s="386"/>
      <c r="O9" s="509"/>
      <c r="P9" s="386"/>
      <c r="Q9" s="509"/>
      <c r="R9" s="386"/>
      <c r="S9" s="509"/>
      <c r="T9" s="386"/>
      <c r="U9" s="509"/>
      <c r="V9" s="386"/>
      <c r="W9" s="509"/>
      <c r="X9" s="386"/>
      <c r="Y9" s="509"/>
      <c r="Z9" s="386"/>
      <c r="AA9" s="509"/>
      <c r="AB9" s="386"/>
      <c r="AC9" s="1028"/>
      <c r="AD9" s="1031"/>
      <c r="AE9" s="1031"/>
      <c r="AF9" s="387"/>
      <c r="AG9" s="1212"/>
    </row>
    <row r="10" spans="1:33" ht="15.75">
      <c r="A10" s="406"/>
      <c r="B10" s="140" t="s">
        <v>237</v>
      </c>
      <c r="C10" s="278">
        <v>8011</v>
      </c>
      <c r="D10" s="376"/>
      <c r="E10" s="377">
        <v>265379.3</v>
      </c>
      <c r="F10" s="531">
        <f>IF($AE10&lt;1," ",IF(E10&lt;1," ",(E10)/$AE10))</f>
        <v>3.0736217628468357E-2</v>
      </c>
      <c r="G10" s="390">
        <v>265379.3</v>
      </c>
      <c r="H10" s="531">
        <f>IF($AE10&lt;1," ",IF(G10&lt;1," ",(G10)/$AE10))</f>
        <v>3.0736217628468357E-2</v>
      </c>
      <c r="I10" s="390">
        <v>477682.74</v>
      </c>
      <c r="J10" s="531">
        <f>IF($AE10&lt;1," ",IF(I10&lt;1," ",(I10)/$AE10))</f>
        <v>5.5325191731243048E-2</v>
      </c>
      <c r="K10" s="390">
        <v>477682.74</v>
      </c>
      <c r="L10" s="531">
        <f>IF($AE10&lt;1," ",IF(K10&lt;1," ",(K10)/$AE10))</f>
        <v>5.5325191731243048E-2</v>
      </c>
      <c r="M10" s="390">
        <v>477682.74</v>
      </c>
      <c r="N10" s="340">
        <f>IF($AE10&lt;1," ",IF(M10&lt;1," ",(M10)/$AE10))</f>
        <v>5.5325191731243048E-2</v>
      </c>
      <c r="O10" s="390">
        <v>477682.74</v>
      </c>
      <c r="P10" s="340">
        <f>IF($AE10&lt;1," ",IF(O10&lt;1," ",(O10)/$AE10))</f>
        <v>5.5325191731243048E-2</v>
      </c>
      <c r="Q10" s="390">
        <v>477682.74</v>
      </c>
      <c r="R10" s="531">
        <f>IF($AE10&lt;1," ",IF(Q10&lt;1," ",(Q10)/$AE10))</f>
        <v>5.5325191731243048E-2</v>
      </c>
      <c r="S10" s="390">
        <v>477682.74</v>
      </c>
      <c r="T10" s="340">
        <f>IF($AE10&lt;1," ",IF(S10&lt;1," ",(S10)/$AE10))</f>
        <v>5.5325191731243048E-2</v>
      </c>
      <c r="U10" s="390">
        <v>608690.27190293907</v>
      </c>
      <c r="V10" s="340">
        <f>IF($AE10&lt;1," ",IF(U10&lt;1," ",(U10)/$AE10))</f>
        <v>7.0498477709227181E-2</v>
      </c>
      <c r="W10" s="390">
        <v>608690.27190293907</v>
      </c>
      <c r="X10" s="340">
        <f>IF($AE10&lt;1," ",IF(W10&lt;1," ",(W10)/$AE10))</f>
        <v>7.0498477709227181E-2</v>
      </c>
      <c r="Y10" s="390">
        <v>608690.27190293907</v>
      </c>
      <c r="Z10" s="340">
        <f>IF($AE10&lt;1," ",IF(Y10&lt;1," ",(Y10)/$AE10))</f>
        <v>7.0498477709227181E-2</v>
      </c>
      <c r="AA10" s="390">
        <v>608690</v>
      </c>
      <c r="AB10" s="340">
        <f>IF($AE10&lt;1," ",IF(AA10&lt;1," ",(AA10)/$AE10))</f>
        <v>7.0498446217442001E-2</v>
      </c>
      <c r="AC10" s="1600">
        <f>AE10-(E10+G10+I10+K10+M10+O10+Q10+S10+U10+W10+Y10+AA10)</f>
        <v>2802475.144291182</v>
      </c>
      <c r="AD10" s="379">
        <f>+E10+G10+I10+K10+M10+O10+Q10+S10+U10+W10+Y10+AA10+AC10</f>
        <v>8634091</v>
      </c>
      <c r="AE10" s="379">
        <f>'1st Interim-Summary MYP'!I13</f>
        <v>8634091</v>
      </c>
      <c r="AF10" s="379">
        <f>+AE10-AD10</f>
        <v>0</v>
      </c>
      <c r="AG10" s="1212"/>
    </row>
    <row r="11" spans="1:33" ht="15.75">
      <c r="A11" s="406"/>
      <c r="B11" s="140" t="s">
        <v>239</v>
      </c>
      <c r="C11" s="278">
        <v>8012</v>
      </c>
      <c r="D11" s="376"/>
      <c r="E11" s="377">
        <v>0</v>
      </c>
      <c r="F11" s="531" t="str">
        <f>IF($AE11&lt;1," ",IF(E11&lt;1," ",(E11)/$AE11))</f>
        <v xml:space="preserve"> </v>
      </c>
      <c r="G11" s="390">
        <v>0</v>
      </c>
      <c r="H11" s="531" t="str">
        <f>IF($AE11&lt;1," ",IF(G11&lt;1," ",(G11)/$AE11))</f>
        <v xml:space="preserve"> </v>
      </c>
      <c r="I11" s="390">
        <v>390135.75</v>
      </c>
      <c r="J11" s="531" t="str">
        <f>IF($AE11&lt;1," ",IF(I11&lt;1," ",(I11)/$AE11))</f>
        <v xml:space="preserve"> </v>
      </c>
      <c r="K11" s="390">
        <v>0</v>
      </c>
      <c r="L11" s="531" t="str">
        <f>IF($AE11&lt;1," ",IF(K11&lt;1," ",(K11)/$AE11))</f>
        <v xml:space="preserve"> </v>
      </c>
      <c r="M11" s="390">
        <v>0</v>
      </c>
      <c r="N11" s="340" t="str">
        <f>IF($AE11&lt;1," ",IF(M11&lt;1," ",(M11)/$AE11))</f>
        <v xml:space="preserve"> </v>
      </c>
      <c r="O11" s="390">
        <v>390135.75</v>
      </c>
      <c r="P11" s="340" t="str">
        <f>IF($AE11&lt;1," ",IF(O11&lt;1," ",(O11)/$AE11))</f>
        <v xml:space="preserve"> </v>
      </c>
      <c r="Q11" s="390">
        <v>0</v>
      </c>
      <c r="R11" s="531" t="str">
        <f>IF($AE11&lt;1," ",IF(Q11&lt;1," ",(Q11)/$AE11))</f>
        <v xml:space="preserve"> </v>
      </c>
      <c r="S11" s="390">
        <v>0</v>
      </c>
      <c r="T11" s="340" t="str">
        <f>IF($AE11&lt;1," ",IF(S11&lt;1," ",(S11)/$AE11))</f>
        <v xml:space="preserve"> </v>
      </c>
      <c r="U11" s="390">
        <v>556657.67639175907</v>
      </c>
      <c r="V11" s="340" t="str">
        <f>IF($AE11&lt;1," ",IF(U11&lt;1," ",(U11)/$AE11))</f>
        <v xml:space="preserve"> </v>
      </c>
      <c r="W11" s="390">
        <v>0</v>
      </c>
      <c r="X11" s="340" t="str">
        <f>IF($AE11&lt;1," ",IF(W11&lt;1," ",(W11)/$AE11))</f>
        <v xml:space="preserve"> </v>
      </c>
      <c r="Y11" s="390">
        <v>0</v>
      </c>
      <c r="Z11" s="340" t="str">
        <f>IF($AE11&lt;1," ",IF(Y11&lt;1," ",(Y11)/$AE11))</f>
        <v xml:space="preserve"> </v>
      </c>
      <c r="AA11" s="390">
        <v>556657.67639175919</v>
      </c>
      <c r="AB11" s="340" t="str">
        <f>IF($AE11&lt;1," ",IF(AA11&lt;1," ",(AA11)/$AE11))</f>
        <v xml:space="preserve"> </v>
      </c>
      <c r="AC11" s="1600">
        <f t="shared" ref="AC11:AC22" si="0">AE11-(E11+G11+I11+K11+M11+O11+Q11+S11+U11+W11+Y11+AA11)</f>
        <v>-1893586.8527835181</v>
      </c>
      <c r="AD11" s="379">
        <f>+E11+G11+I11+K11+M11+O11+Q11+S11+U11+W11+Y11+AA11+AC11</f>
        <v>0</v>
      </c>
      <c r="AE11" s="379">
        <f>'1st Interim-Summary MYP'!I14</f>
        <v>0</v>
      </c>
      <c r="AF11" s="379">
        <f>+AE11-AD11</f>
        <v>0</v>
      </c>
      <c r="AG11" s="1212"/>
    </row>
    <row r="12" spans="1:33" ht="15.75">
      <c r="A12" s="406"/>
      <c r="B12" s="140" t="s">
        <v>240</v>
      </c>
      <c r="C12" s="278">
        <v>8019</v>
      </c>
      <c r="D12" s="346"/>
      <c r="E12" s="377">
        <v>0</v>
      </c>
      <c r="F12" s="531" t="str">
        <f>IF($AE12&lt;1," ",IF(E12&lt;1," ",(E12)/$AE12))</f>
        <v xml:space="preserve"> </v>
      </c>
      <c r="G12" s="390">
        <v>0</v>
      </c>
      <c r="H12" s="531" t="str">
        <f>IF($AE12&lt;1," ",IF(G12&lt;1," ",(G12)/$AE12))</f>
        <v xml:space="preserve"> </v>
      </c>
      <c r="I12" s="390">
        <v>0</v>
      </c>
      <c r="J12" s="531" t="str">
        <f>IF($AE12&lt;1," ",IF(I12&lt;1," ",(I12)/$AE12))</f>
        <v xml:space="preserve"> </v>
      </c>
      <c r="K12" s="390">
        <v>0</v>
      </c>
      <c r="L12" s="531" t="str">
        <f>IF($AE12&lt;1," ",IF(K12&lt;1," ",(K12)/$AE12))</f>
        <v xml:space="preserve"> </v>
      </c>
      <c r="M12" s="390">
        <v>0</v>
      </c>
      <c r="N12" s="340" t="str">
        <f>IF($AE12&lt;1," ",IF(M12&lt;1," ",(M12)/$AE12))</f>
        <v xml:space="preserve"> </v>
      </c>
      <c r="O12" s="390">
        <v>0</v>
      </c>
      <c r="P12" s="340" t="str">
        <f>IF($AE12&lt;1," ",IF(O12&lt;1," ",(O12)/$AE12))</f>
        <v xml:space="preserve"> </v>
      </c>
      <c r="Q12" s="390">
        <v>0</v>
      </c>
      <c r="R12" s="531" t="str">
        <f>IF($AE12&lt;1," ",IF(Q12&lt;1," ",(Q12)/$AE12))</f>
        <v xml:space="preserve"> </v>
      </c>
      <c r="S12" s="390">
        <v>0</v>
      </c>
      <c r="T12" s="340" t="str">
        <f>IF($AE12&lt;1," ",IF(S12&lt;1," ",(S12)/$AE12))</f>
        <v xml:space="preserve"> </v>
      </c>
      <c r="U12" s="390">
        <v>0</v>
      </c>
      <c r="V12" s="340" t="str">
        <f>IF($AE12&lt;1," ",IF(U12&lt;1," ",(U12)/$AE12))</f>
        <v xml:space="preserve"> </v>
      </c>
      <c r="W12" s="390">
        <v>0</v>
      </c>
      <c r="X12" s="340" t="str">
        <f>IF($AE12&lt;1," ",IF(W12&lt;1," ",(W12)/$AE12))</f>
        <v xml:space="preserve"> </v>
      </c>
      <c r="Y12" s="390">
        <v>0</v>
      </c>
      <c r="Z12" s="340" t="str">
        <f>IF($AE12&lt;1," ",IF(Y12&lt;1," ",(Y12)/$AE12))</f>
        <v xml:space="preserve"> </v>
      </c>
      <c r="AA12" s="390">
        <v>0</v>
      </c>
      <c r="AB12" s="340" t="str">
        <f>IF($AE12&lt;1," ",IF(AA12&lt;1," ",(AA12)/$AE12))</f>
        <v xml:space="preserve"> </v>
      </c>
      <c r="AC12" s="1600">
        <f t="shared" si="0"/>
        <v>0</v>
      </c>
      <c r="AD12" s="379">
        <f>+E12+G12+I12+K12+M12+O12+Q12+S12+U12+W12+Y12+AA12+AC12</f>
        <v>0</v>
      </c>
      <c r="AE12" s="380">
        <f>'1st Interim-Summary MYP'!I15</f>
        <v>0</v>
      </c>
      <c r="AF12" s="379">
        <f>+AE12-AD12</f>
        <v>0</v>
      </c>
      <c r="AG12" s="1212"/>
    </row>
    <row r="13" spans="1:33" ht="15.75">
      <c r="A13" s="406"/>
      <c r="B13" s="140" t="s">
        <v>241</v>
      </c>
      <c r="C13" s="278">
        <v>8096</v>
      </c>
      <c r="D13" s="346"/>
      <c r="E13" s="377">
        <v>0</v>
      </c>
      <c r="F13" s="531" t="str">
        <f>IF($AE13&lt;1," ",IF(E13&lt;1," ",(E13)/$AE13))</f>
        <v xml:space="preserve"> </v>
      </c>
      <c r="G13" s="390">
        <v>14844</v>
      </c>
      <c r="H13" s="531" t="str">
        <f>IF($AE13&lt;1," ",IF(G13&lt;1," ",(G13)/$AE13))</f>
        <v xml:space="preserve"> </v>
      </c>
      <c r="I13" s="390">
        <v>29687.879999999997</v>
      </c>
      <c r="J13" s="531" t="str">
        <f>IF($AE13&lt;1," ",IF(I13&lt;1," ",(I13)/$AE13))</f>
        <v xml:space="preserve"> </v>
      </c>
      <c r="K13" s="390">
        <v>19791.920000000002</v>
      </c>
      <c r="L13" s="531" t="str">
        <f>IF($AE13&lt;1," ",IF(K13&lt;1," ",(K13)/$AE13))</f>
        <v xml:space="preserve"> </v>
      </c>
      <c r="M13" s="390">
        <v>19791.920000000002</v>
      </c>
      <c r="N13" s="340" t="str">
        <f>IF($AE13&lt;1," ",IF(M13&lt;1," ",(M13)/$AE13))</f>
        <v xml:space="preserve"> </v>
      </c>
      <c r="O13" s="390">
        <v>19791.920000000002</v>
      </c>
      <c r="P13" s="340" t="str">
        <f>IF($AE13&lt;1," ",IF(O13&lt;1," ",(O13)/$AE13))</f>
        <v xml:space="preserve"> </v>
      </c>
      <c r="Q13" s="390">
        <v>19791.920000000002</v>
      </c>
      <c r="R13" s="531" t="str">
        <f>IF($AE13&lt;1," ",IF(Q13&lt;1," ",(Q13)/$AE13))</f>
        <v xml:space="preserve"> </v>
      </c>
      <c r="S13" s="390">
        <v>19791.920000000002</v>
      </c>
      <c r="T13" s="340" t="str">
        <f>IF($AE13&lt;1," ",IF(S13&lt;1," ",(S13)/$AE13))</f>
        <v xml:space="preserve"> </v>
      </c>
      <c r="U13" s="390">
        <v>49942</v>
      </c>
      <c r="V13" s="340" t="str">
        <f>IF($AE13&lt;1," ",IF(U13&lt;1," ",(U13)/$AE13))</f>
        <v xml:space="preserve"> </v>
      </c>
      <c r="W13" s="390">
        <v>24971</v>
      </c>
      <c r="X13" s="340" t="str">
        <f>IF($AE13&lt;1," ",IF(W13&lt;1," ",(W13)/$AE13))</f>
        <v xml:space="preserve"> </v>
      </c>
      <c r="Y13" s="390">
        <v>24971</v>
      </c>
      <c r="Z13" s="340" t="str">
        <f>IF($AE13&lt;1," ",IF(Y13&lt;1," ",(Y13)/$AE13))</f>
        <v xml:space="preserve"> </v>
      </c>
      <c r="AA13" s="390">
        <v>24971</v>
      </c>
      <c r="AB13" s="340" t="str">
        <f>IF($AE13&lt;1," ",IF(AA13&lt;1," ",(AA13)/$AE13))</f>
        <v xml:space="preserve"> </v>
      </c>
      <c r="AC13" s="1600">
        <f t="shared" si="0"/>
        <v>-268346.48</v>
      </c>
      <c r="AD13" s="379">
        <f>+E13+G13+I13+K13+M13+O13+Q13+S13+U13+W13+Y13+AA13+AC13</f>
        <v>0</v>
      </c>
      <c r="AE13" s="379">
        <f>'1st Interim-Summary MYP'!I16</f>
        <v>0</v>
      </c>
      <c r="AF13" s="379">
        <f>+AE13-AD13</f>
        <v>0</v>
      </c>
      <c r="AG13" s="1212"/>
    </row>
    <row r="14" spans="1:33" ht="15.75">
      <c r="A14" s="405" t="s">
        <v>242</v>
      </c>
      <c r="B14" s="146"/>
      <c r="C14" s="278" t="s">
        <v>243</v>
      </c>
      <c r="D14" s="376"/>
      <c r="E14" s="377">
        <v>0</v>
      </c>
      <c r="F14" s="531" t="str">
        <f>IF($AE14&lt;1," ",IF(E14&lt;1," ",(E14)/$AE14))</f>
        <v xml:space="preserve"> </v>
      </c>
      <c r="G14" s="390">
        <v>0</v>
      </c>
      <c r="H14" s="531" t="str">
        <f>IF($AE14&lt;1," ",IF(G14&lt;1," ",(G14)/$AE14))</f>
        <v xml:space="preserve"> </v>
      </c>
      <c r="I14" s="390">
        <v>0</v>
      </c>
      <c r="J14" s="531" t="str">
        <f>IF($AE14&lt;1," ",IF(I14&lt;1," ",(I14)/$AE14))</f>
        <v xml:space="preserve"> </v>
      </c>
      <c r="K14" s="390">
        <v>200000</v>
      </c>
      <c r="L14" s="531">
        <f>IF($AE14&lt;1," ",IF(K14&lt;1," ",(K14)/$AE14))</f>
        <v>0.25764984310170613</v>
      </c>
      <c r="M14" s="390">
        <v>0</v>
      </c>
      <c r="N14" s="340" t="str">
        <f>IF($AE14&lt;1," ",IF(M14&lt;1," ",(M14)/$AE14))</f>
        <v xml:space="preserve"> </v>
      </c>
      <c r="O14" s="390">
        <v>172874</v>
      </c>
      <c r="P14" s="340">
        <f>IF($AE14&lt;1," ",IF(O14&lt;1," ",(O14)/$AE14))</f>
        <v>0.22270479488182171</v>
      </c>
      <c r="Q14" s="390">
        <v>0</v>
      </c>
      <c r="R14" s="531" t="str">
        <f>IF($AE14&lt;1," ",IF(Q14&lt;1," ",(Q14)/$AE14))</f>
        <v xml:space="preserve"> </v>
      </c>
      <c r="S14" s="390">
        <v>0</v>
      </c>
      <c r="T14" s="340" t="str">
        <f>IF($AE14&lt;1," ",IF(S14&lt;1," ",(S14)/$AE14))</f>
        <v xml:space="preserve"> </v>
      </c>
      <c r="U14" s="390">
        <v>192498.8</v>
      </c>
      <c r="V14" s="340">
        <f>IF($AE14&lt;1," ",IF(U14&lt;1," ",(U14)/$AE14))</f>
        <v>0.24798642808633353</v>
      </c>
      <c r="W14" s="390">
        <v>0</v>
      </c>
      <c r="X14" s="340" t="str">
        <f>IF($AE14&lt;1," ",IF(W14&lt;1," ",(W14)/$AE14))</f>
        <v xml:space="preserve"> </v>
      </c>
      <c r="Y14" s="390">
        <v>0</v>
      </c>
      <c r="Z14" s="340" t="str">
        <f>IF($AE14&lt;1," ",IF(Y14&lt;1," ",(Y14)/$AE14))</f>
        <v xml:space="preserve"> </v>
      </c>
      <c r="AA14" s="390">
        <f>O14</f>
        <v>172874</v>
      </c>
      <c r="AB14" s="340">
        <f>IF($AE14&lt;1," ",IF(AA14&lt;1," ",(AA14)/$AE14))</f>
        <v>0.22270479488182171</v>
      </c>
      <c r="AC14" s="1600">
        <f t="shared" si="0"/>
        <v>38000.519199999981</v>
      </c>
      <c r="AD14" s="379">
        <f>+E14+G14+I14+K14+M14+O14+Q14+S14+U14+W14+Y14+AA14+AC14</f>
        <v>776247.31920000003</v>
      </c>
      <c r="AE14" s="379">
        <f>'1st Interim-Summary MYP'!I17</f>
        <v>776247.31920000003</v>
      </c>
      <c r="AF14" s="379">
        <f t="shared" ref="AF14:AF22" si="1">+AE14-AD14</f>
        <v>0</v>
      </c>
      <c r="AG14" s="1212"/>
    </row>
    <row r="15" spans="1:33" ht="15.75">
      <c r="A15" s="406" t="s">
        <v>244</v>
      </c>
      <c r="B15" s="140"/>
      <c r="C15" s="140"/>
      <c r="D15" s="376"/>
      <c r="E15" s="381"/>
      <c r="F15" s="531"/>
      <c r="G15" s="391"/>
      <c r="H15" s="531"/>
      <c r="I15" s="391"/>
      <c r="J15" s="531"/>
      <c r="K15" s="391"/>
      <c r="L15" s="531"/>
      <c r="M15" s="391"/>
      <c r="N15" s="340"/>
      <c r="O15" s="391"/>
      <c r="P15" s="340"/>
      <c r="Q15" s="391"/>
      <c r="R15" s="531"/>
      <c r="S15" s="391"/>
      <c r="T15" s="340"/>
      <c r="U15" s="391"/>
      <c r="V15" s="340"/>
      <c r="W15" s="391"/>
      <c r="X15" s="340"/>
      <c r="Y15" s="391"/>
      <c r="Z15" s="340"/>
      <c r="AA15" s="391"/>
      <c r="AB15" s="340"/>
      <c r="AC15" s="1601"/>
      <c r="AD15" s="379"/>
      <c r="AE15" s="379"/>
      <c r="AF15" s="379"/>
      <c r="AG15" s="1212"/>
    </row>
    <row r="16" spans="1:33" ht="15.75">
      <c r="A16" s="406"/>
      <c r="B16" s="140" t="s">
        <v>245</v>
      </c>
      <c r="C16" s="278">
        <v>8560</v>
      </c>
      <c r="D16" s="376"/>
      <c r="E16" s="377">
        <v>0</v>
      </c>
      <c r="F16" s="531" t="str">
        <f>IF($AE16&lt;1," ",IF(E16&lt;1," ",(E16)/$AE16))</f>
        <v xml:space="preserve"> </v>
      </c>
      <c r="G16" s="390">
        <v>0</v>
      </c>
      <c r="H16" s="531" t="str">
        <f>IF($AE16&lt;1," ",IF(G16&lt;1," ",(G16)/$AE16))</f>
        <v xml:space="preserve"> </v>
      </c>
      <c r="I16" s="390">
        <v>0</v>
      </c>
      <c r="J16" s="531" t="str">
        <f>IF($AE16&lt;1," ",IF(I16&lt;1," ",(I16)/$AE16))</f>
        <v xml:space="preserve"> </v>
      </c>
      <c r="K16" s="390">
        <v>0</v>
      </c>
      <c r="L16" s="531" t="str">
        <f>IF($AE16&lt;1," ",IF(K16&lt;1," ",(K16)/$AE16))</f>
        <v xml:space="preserve"> </v>
      </c>
      <c r="M16" s="390">
        <v>0</v>
      </c>
      <c r="N16" s="340" t="str">
        <f>IF($AE16&lt;1," ",IF(M16&lt;1," ",(M16)/$AE16))</f>
        <v xml:space="preserve"> </v>
      </c>
      <c r="O16" s="390">
        <v>40659</v>
      </c>
      <c r="P16" s="340">
        <f>IF($AE16&lt;1," ",IF(O16&lt;1," ",(O16)/$AE16))</f>
        <v>0.29999952223554288</v>
      </c>
      <c r="Q16" s="390">
        <v>0</v>
      </c>
      <c r="R16" s="531" t="str">
        <f>IF($AE16&lt;1," ",IF(Q16&lt;1," ",(Q16)/$AE16))</f>
        <v xml:space="preserve"> </v>
      </c>
      <c r="S16" s="390">
        <v>0</v>
      </c>
      <c r="T16" s="340" t="str">
        <f>IF($AE16&lt;1," ",IF(S16&lt;1," ",(S16)/$AE16))</f>
        <v xml:space="preserve"> </v>
      </c>
      <c r="U16" s="390">
        <f>O16</f>
        <v>40659</v>
      </c>
      <c r="V16" s="340">
        <f>IF($AE16&lt;1," ",IF(U16&lt;1," ",(U16)/$AE16))</f>
        <v>0.29999952223554288</v>
      </c>
      <c r="W16" s="390">
        <v>0</v>
      </c>
      <c r="X16" s="340" t="str">
        <f>IF($AE16&lt;1," ",IF(W16&lt;1," ",(W16)/$AE16))</f>
        <v xml:space="preserve"> </v>
      </c>
      <c r="Y16" s="390">
        <v>0</v>
      </c>
      <c r="Z16" s="340" t="str">
        <f>IF($AE16&lt;1," ",IF(Y16&lt;1," ",(Y16)/$AE16))</f>
        <v xml:space="preserve"> </v>
      </c>
      <c r="AA16" s="390">
        <v>33882.5</v>
      </c>
      <c r="AB16" s="340">
        <f>IF($AE16&lt;1," ",IF(AA16&lt;1," ",(AA16)/$AE16))</f>
        <v>0.24999960186295239</v>
      </c>
      <c r="AC16" s="1600">
        <f t="shared" si="0"/>
        <v>20329.715838399978</v>
      </c>
      <c r="AD16" s="379">
        <f>+E16+G16+I16+K16+M16+O16+Q16+S16+U16+W16+Y16+AA16+AC16</f>
        <v>135530.21583839998</v>
      </c>
      <c r="AE16" s="379">
        <f>'1st Interim-Summary MYP'!I19</f>
        <v>135530.21583839998</v>
      </c>
      <c r="AF16" s="379">
        <f t="shared" si="1"/>
        <v>0</v>
      </c>
      <c r="AG16" s="1212"/>
    </row>
    <row r="17" spans="1:33" ht="15.75">
      <c r="A17" s="406"/>
      <c r="B17" s="140" t="s">
        <v>246</v>
      </c>
      <c r="C17" s="278">
        <v>8560</v>
      </c>
      <c r="D17" s="376"/>
      <c r="E17" s="377">
        <v>0</v>
      </c>
      <c r="F17" s="531" t="str">
        <f>IF($AE17&lt;1," ",IF(E17&lt;1," ",(E17)/$AE17))</f>
        <v xml:space="preserve"> </v>
      </c>
      <c r="G17" s="390">
        <v>0</v>
      </c>
      <c r="H17" s="531" t="str">
        <f>IF($AE17&lt;1," ",IF(G17&lt;1," ",(G17)/$AE17))</f>
        <v xml:space="preserve"> </v>
      </c>
      <c r="I17" s="390">
        <v>0</v>
      </c>
      <c r="J17" s="531" t="str">
        <f>IF($AE17&lt;1," ",IF(I17&lt;1," ",(I17)/$AE17))</f>
        <v xml:space="preserve"> </v>
      </c>
      <c r="K17" s="390">
        <v>0</v>
      </c>
      <c r="L17" s="531" t="str">
        <f>IF($AE17&lt;1," ",IF(K17&lt;1," ",(K17)/$AE17))</f>
        <v xml:space="preserve"> </v>
      </c>
      <c r="M17" s="390">
        <v>0</v>
      </c>
      <c r="N17" s="340" t="str">
        <f>IF($AE17&lt;1," ",IF(M17&lt;1," ",(M17)/$AE17))</f>
        <v xml:space="preserve"> </v>
      </c>
      <c r="O17" s="390">
        <v>0</v>
      </c>
      <c r="P17" s="340" t="str">
        <f>IF($AE17&lt;1," ",IF(O17&lt;1," ",(O17)/$AE17))</f>
        <v xml:space="preserve"> </v>
      </c>
      <c r="Q17" s="390">
        <v>0</v>
      </c>
      <c r="R17" s="531" t="str">
        <f>IF($AE17&lt;1," ",IF(Q17&lt;1," ",(Q17)/$AE17))</f>
        <v xml:space="preserve"> </v>
      </c>
      <c r="S17" s="390">
        <v>0</v>
      </c>
      <c r="T17" s="340" t="str">
        <f>IF($AE17&lt;1," ",IF(S17&lt;1," ",(S17)/$AE17))</f>
        <v xml:space="preserve"> </v>
      </c>
      <c r="U17" s="390">
        <v>10809.2</v>
      </c>
      <c r="V17" s="340">
        <f>IF($AE17&lt;1," ",IF(U17&lt;1," ",(U17)/$AE17))</f>
        <v>0.20000077122748644</v>
      </c>
      <c r="W17" s="390">
        <v>0</v>
      </c>
      <c r="X17" s="340" t="str">
        <f>IF($AE17&lt;1," ",IF(W17&lt;1," ",(W17)/$AE17))</f>
        <v xml:space="preserve"> </v>
      </c>
      <c r="Y17" s="390">
        <v>0</v>
      </c>
      <c r="Z17" s="340" t="str">
        <f>IF($AE17&lt;1," ",IF(Y17&lt;1," ",(Y17)/$AE17))</f>
        <v xml:space="preserve"> </v>
      </c>
      <c r="AA17" s="390">
        <v>13511.447897999999</v>
      </c>
      <c r="AB17" s="340">
        <f>IF($AE17&lt;1," ",IF(AA17&lt;1," ",(AA17)/$AE17))</f>
        <v>0.25</v>
      </c>
      <c r="AC17" s="1600">
        <f t="shared" si="0"/>
        <v>29725.143693999995</v>
      </c>
      <c r="AD17" s="379">
        <f>+E17+G17+I17+K17+M17+O17+Q17+S17+U17+W17+Y17+AA17+AC17</f>
        <v>54045.791591999994</v>
      </c>
      <c r="AE17" s="379">
        <f>'1st Interim-Summary MYP'!I20</f>
        <v>54045.791591999994</v>
      </c>
      <c r="AF17" s="379">
        <f>+AE17-AD17</f>
        <v>0</v>
      </c>
      <c r="AG17" s="1212"/>
    </row>
    <row r="18" spans="1:33" ht="15.75">
      <c r="A18" s="406"/>
      <c r="B18" s="140" t="s">
        <v>247</v>
      </c>
      <c r="C18" s="278" t="s">
        <v>248</v>
      </c>
      <c r="D18" s="376"/>
      <c r="E18" s="377"/>
      <c r="F18" s="531" t="str">
        <f>IF($AE18&lt;1," ",IF(E18&lt;1," ",(E18)/$AE18))</f>
        <v xml:space="preserve"> </v>
      </c>
      <c r="G18" s="390">
        <v>0</v>
      </c>
      <c r="H18" s="531" t="str">
        <f>IF($AE18&lt;1," ",IF(G18&lt;1," ",(G18)/$AE18))</f>
        <v xml:space="preserve"> </v>
      </c>
      <c r="I18" s="390">
        <v>0</v>
      </c>
      <c r="J18" s="531" t="str">
        <f>IF($AE18&lt;1," ",IF(I18&lt;1," ",(I18)/$AE18))</f>
        <v xml:space="preserve"> </v>
      </c>
      <c r="K18" s="390">
        <v>166273.20000000001</v>
      </c>
      <c r="L18" s="531">
        <f>IF($AE18&lt;1," ",IF(K18&lt;1," ",(K18)/$AE18))</f>
        <v>0.12548931625103515</v>
      </c>
      <c r="M18" s="390">
        <v>34625.5</v>
      </c>
      <c r="N18" s="340">
        <f>IF($AE18&lt;1," ",IF(M18&lt;1," ",(M18)/$AE18))</f>
        <v>2.6132475467184231E-2</v>
      </c>
      <c r="O18" s="390">
        <v>211030.5</v>
      </c>
      <c r="P18" s="340">
        <f>IF($AE18&lt;1," ",IF(O18&lt;1," ",(O18)/$AE18))</f>
        <v>0.15926843985148581</v>
      </c>
      <c r="Q18" s="390">
        <v>1275.5999999999999</v>
      </c>
      <c r="R18" s="531">
        <f>IF($AE18&lt;1," ",IF(Q18&lt;1," ",(Q18)/$AE18))</f>
        <v>9.6271781507675563E-4</v>
      </c>
      <c r="S18" s="390">
        <v>1275.5</v>
      </c>
      <c r="T18" s="340">
        <f>IF($AE18&lt;1," ",IF(S18&lt;1," ",(S18)/$AE18))</f>
        <v>9.6264234331326583E-4</v>
      </c>
      <c r="U18" s="390">
        <f>1275.5</f>
        <v>1275.5</v>
      </c>
      <c r="V18" s="340">
        <f>IF($AE18&lt;1," ",IF(U18&lt;1," ",(U18)/$AE18))</f>
        <v>9.6264234331326583E-4</v>
      </c>
      <c r="W18" s="390">
        <v>209117</v>
      </c>
      <c r="X18" s="340">
        <f>IF($AE18&lt;1," ",IF(W18&lt;1," ",(W18)/$AE18))</f>
        <v>0.15782428765710718</v>
      </c>
      <c r="Y18" s="390">
        <f>1275.5</f>
        <v>1275.5</v>
      </c>
      <c r="Z18" s="340">
        <f>IF($AE18&lt;1," ",IF(Y18&lt;1," ",(Y18)/$AE18))</f>
        <v>9.6264234331326583E-4</v>
      </c>
      <c r="AA18" s="390">
        <f>334595*0.5</f>
        <v>167297.5</v>
      </c>
      <c r="AB18" s="340">
        <f>IF($AE18&lt;1," ",IF(AA18&lt;1," ",(AA18)/$AE18))</f>
        <v>0.12626237352446185</v>
      </c>
      <c r="AC18" s="1600">
        <f t="shared" si="0"/>
        <v>531553.05223199981</v>
      </c>
      <c r="AD18" s="379">
        <f>+E18+G18+I18+K18+M18+O18+Q18+S18+U18+W18+Y18+AA18+AC18</f>
        <v>1324998.8522319999</v>
      </c>
      <c r="AE18" s="379">
        <f>'1st Interim-Summary MYP'!I21</f>
        <v>1324998.8522319999</v>
      </c>
      <c r="AF18" s="379">
        <f t="shared" si="1"/>
        <v>0</v>
      </c>
      <c r="AG18" s="1212"/>
    </row>
    <row r="19" spans="1:33" ht="15.75">
      <c r="A19" s="406" t="s">
        <v>249</v>
      </c>
      <c r="B19" s="140"/>
      <c r="C19" s="140"/>
      <c r="D19" s="376"/>
      <c r="E19" s="381"/>
      <c r="F19" s="531"/>
      <c r="G19" s="391"/>
      <c r="H19" s="531"/>
      <c r="I19" s="391"/>
      <c r="J19" s="531"/>
      <c r="K19" s="391"/>
      <c r="L19" s="531"/>
      <c r="M19" s="391"/>
      <c r="N19" s="340"/>
      <c r="O19" s="391"/>
      <c r="P19" s="340"/>
      <c r="Q19" s="391"/>
      <c r="R19" s="531"/>
      <c r="S19" s="391"/>
      <c r="T19" s="340"/>
      <c r="U19" s="391"/>
      <c r="V19" s="340"/>
      <c r="W19" s="391"/>
      <c r="X19" s="340"/>
      <c r="Y19" s="391"/>
      <c r="Z19" s="340"/>
      <c r="AA19" s="391"/>
      <c r="AB19" s="340"/>
      <c r="AC19" s="1601"/>
      <c r="AD19" s="379"/>
      <c r="AE19" s="379"/>
      <c r="AF19" s="379"/>
      <c r="AG19" s="1212"/>
    </row>
    <row r="20" spans="1:33" ht="15.75">
      <c r="A20" s="406"/>
      <c r="B20" s="140" t="s">
        <v>250</v>
      </c>
      <c r="C20" s="278">
        <v>8660</v>
      </c>
      <c r="D20" s="376"/>
      <c r="E20" s="377">
        <v>0</v>
      </c>
      <c r="F20" s="531" t="str">
        <f>IF($AE20&lt;1," ",IF(E20&lt;1," ",(E20)/$AE20))</f>
        <v xml:space="preserve"> </v>
      </c>
      <c r="G20" s="390">
        <v>0</v>
      </c>
      <c r="H20" s="531" t="str">
        <f>IF($AE20&lt;1," ",IF(G20&lt;1," ",(G20)/$AE20))</f>
        <v xml:space="preserve"> </v>
      </c>
      <c r="I20" s="390">
        <v>0</v>
      </c>
      <c r="J20" s="531" t="str">
        <f>IF($AE20&lt;1," ",IF(I20&lt;1," ",(I20)/$AE20))</f>
        <v xml:space="preserve"> </v>
      </c>
      <c r="K20" s="390">
        <v>0</v>
      </c>
      <c r="L20" s="531" t="str">
        <f>IF($AE20&lt;1," ",IF(K20&lt;1," ",(K20)/$AE20))</f>
        <v xml:space="preserve"> </v>
      </c>
      <c r="M20" s="390">
        <v>0</v>
      </c>
      <c r="N20" s="340" t="str">
        <f>IF($AE20&lt;1," ",IF(M20&lt;1," ",(M20)/$AE20))</f>
        <v xml:space="preserve"> </v>
      </c>
      <c r="O20" s="390">
        <v>0</v>
      </c>
      <c r="P20" s="340" t="str">
        <f>IF($AE20&lt;1," ",IF(O20&lt;1," ",(O20)/$AE20))</f>
        <v xml:space="preserve"> </v>
      </c>
      <c r="Q20" s="390">
        <v>0</v>
      </c>
      <c r="R20" s="531" t="str">
        <f>IF($AE20&lt;1," ",IF(Q20&lt;1," ",(Q20)/$AE20))</f>
        <v xml:space="preserve"> </v>
      </c>
      <c r="S20" s="390">
        <v>0</v>
      </c>
      <c r="T20" s="340" t="str">
        <f>IF($AE20&lt;1," ",IF(S20&lt;1," ",(S20)/$AE20))</f>
        <v xml:space="preserve"> </v>
      </c>
      <c r="U20" s="390">
        <v>0</v>
      </c>
      <c r="V20" s="340" t="str">
        <f>IF($AE20&lt;1," ",IF(U20&lt;1," ",(U20)/$AE20))</f>
        <v xml:space="preserve"> </v>
      </c>
      <c r="W20" s="390">
        <v>0</v>
      </c>
      <c r="X20" s="340" t="str">
        <f>IF($AE20&lt;1," ",IF(W20&lt;1," ",(W20)/$AE20))</f>
        <v xml:space="preserve"> </v>
      </c>
      <c r="Y20" s="390">
        <v>0</v>
      </c>
      <c r="Z20" s="340" t="str">
        <f>IF($AE20&lt;1," ",IF(Y20&lt;1," ",(Y20)/$AE20))</f>
        <v xml:space="preserve"> </v>
      </c>
      <c r="AA20" s="390">
        <v>0</v>
      </c>
      <c r="AB20" s="340" t="str">
        <f>IF($AE20&lt;1," ",IF(AA20&lt;1," ",(AA20)/$AE20))</f>
        <v xml:space="preserve"> </v>
      </c>
      <c r="AC20" s="1600">
        <f t="shared" si="0"/>
        <v>0</v>
      </c>
      <c r="AD20" s="379">
        <f>+E20+G20+I20+K20+M20+O20+Q20+S20+U20+W20+Y20+AA20+AC20</f>
        <v>0</v>
      </c>
      <c r="AE20" s="379">
        <f>'1st Interim-Summary MYP'!I23</f>
        <v>0</v>
      </c>
      <c r="AF20" s="379">
        <f t="shared" si="1"/>
        <v>0</v>
      </c>
      <c r="AG20" s="1212"/>
    </row>
    <row r="21" spans="1:33" ht="15.75">
      <c r="A21" s="406"/>
      <c r="B21" s="140" t="s">
        <v>251</v>
      </c>
      <c r="C21" s="278">
        <v>8792</v>
      </c>
      <c r="D21" s="376"/>
      <c r="E21" s="377">
        <v>0</v>
      </c>
      <c r="F21" s="531" t="str">
        <f>IF($AE21&lt;1," ",IF(E21&lt;1," ",(E21)/$AE21))</f>
        <v xml:space="preserve"> </v>
      </c>
      <c r="G21" s="390">
        <v>22376.350000000002</v>
      </c>
      <c r="H21" s="531" t="str">
        <f>IF($AE21&lt;1," ",IF(G21&lt;1," ",(G21)/$AE21))</f>
        <v xml:space="preserve"> </v>
      </c>
      <c r="I21" s="390">
        <v>22376.350000000002</v>
      </c>
      <c r="J21" s="531" t="str">
        <f>IF($AE21&lt;1," ",IF(I21&lt;1," ",(I21)/$AE21))</f>
        <v xml:space="preserve"> </v>
      </c>
      <c r="K21" s="390">
        <v>40277.43</v>
      </c>
      <c r="L21" s="531" t="str">
        <f>IF($AE21&lt;1," ",IF(K21&lt;1," ",(K21)/$AE21))</f>
        <v xml:space="preserve"> </v>
      </c>
      <c r="M21" s="390">
        <v>40277.43</v>
      </c>
      <c r="N21" s="340" t="str">
        <f>IF($AE21&lt;1," ",IF(M21&lt;1," ",(M21)/$AE21))</f>
        <v xml:space="preserve"> </v>
      </c>
      <c r="O21" s="390">
        <v>40277.43</v>
      </c>
      <c r="P21" s="340" t="str">
        <f>IF($AE21&lt;1," ",IF(O21&lt;1," ",(O21)/$AE21))</f>
        <v xml:space="preserve"> </v>
      </c>
      <c r="Q21" s="390">
        <v>40277.43</v>
      </c>
      <c r="R21" s="531" t="str">
        <f>IF($AE21&lt;1," ",IF(Q21&lt;1," ",(Q21)/$AE21))</f>
        <v xml:space="preserve"> </v>
      </c>
      <c r="S21" s="390">
        <v>40277.43</v>
      </c>
      <c r="T21" s="340" t="str">
        <f>IF($AE21&lt;1," ",IF(S21&lt;1," ",(S21)/$AE21))</f>
        <v xml:space="preserve"> </v>
      </c>
      <c r="U21" s="390">
        <v>40277.43</v>
      </c>
      <c r="V21" s="340" t="str">
        <f>IF($AE21&lt;1," ",IF(U21&lt;1," ",(U21)/$AE21))</f>
        <v xml:space="preserve"> </v>
      </c>
      <c r="W21" s="390">
        <v>40277.43</v>
      </c>
      <c r="X21" s="340" t="str">
        <f>IF($AE21&lt;1," ",IF(W21&lt;1," ",(W21)/$AE21))</f>
        <v xml:space="preserve"> </v>
      </c>
      <c r="Y21" s="390">
        <v>40277.43</v>
      </c>
      <c r="Z21" s="340" t="str">
        <f>IF($AE21&lt;1," ",IF(Y21&lt;1," ",(Y21)/$AE21))</f>
        <v xml:space="preserve"> </v>
      </c>
      <c r="AA21" s="390">
        <v>40277.43</v>
      </c>
      <c r="AB21" s="340" t="str">
        <f>IF($AE21&lt;1," ",IF(AA21&lt;1," ",(AA21)/$AE21))</f>
        <v xml:space="preserve"> </v>
      </c>
      <c r="AC21" s="1600">
        <f t="shared" si="0"/>
        <v>-407249.56999999995</v>
      </c>
      <c r="AD21" s="379">
        <f>+E21+G21+I21+K21+M21+O21+Q21+S21+U21+W21+Y21+AA21+AC21</f>
        <v>0</v>
      </c>
      <c r="AE21" s="379">
        <f>'1st Interim-Summary MYP'!I24</f>
        <v>0</v>
      </c>
      <c r="AF21" s="379">
        <f t="shared" si="1"/>
        <v>0</v>
      </c>
      <c r="AG21" s="1212"/>
    </row>
    <row r="22" spans="1:33" ht="15.75">
      <c r="A22" s="406"/>
      <c r="B22" s="140" t="s">
        <v>252</v>
      </c>
      <c r="C22" s="278" t="s">
        <v>253</v>
      </c>
      <c r="D22" s="376"/>
      <c r="E22" s="377">
        <v>0</v>
      </c>
      <c r="F22" s="531" t="str">
        <f>IF($AE22&lt;1," ",IF(E22&lt;1," ",(E22)/$AE22))</f>
        <v xml:space="preserve"> </v>
      </c>
      <c r="G22" s="390">
        <v>106.22802078714439</v>
      </c>
      <c r="H22" s="531">
        <f>IF($AE22&lt;1," ",IF(G22&lt;1," ",(G22)/$AE22))</f>
        <v>1.6918253322579496E-3</v>
      </c>
      <c r="I22" s="390">
        <v>268.28187778343505</v>
      </c>
      <c r="J22" s="531">
        <f>IF($AE22&lt;1," ",IF(I22&lt;1," ",(I22)/$AE22))</f>
        <v>4.2727528354239604E-3</v>
      </c>
      <c r="K22" s="390">
        <v>5.8762724695213997</v>
      </c>
      <c r="L22" s="531">
        <f>IF($AE22&lt;1," ",IF(K22&lt;1," ",(K22)/$AE22))</f>
        <v>9.3587610401844274E-5</v>
      </c>
      <c r="M22" s="390">
        <v>62408.502884959737</v>
      </c>
      <c r="N22" s="340">
        <f>IF($AE22&lt;1," ",IF(M22&lt;1," ",(M22)/$AE22))</f>
        <v>0.99394006728821505</v>
      </c>
      <c r="O22" s="390">
        <v>0</v>
      </c>
      <c r="P22" s="340" t="str">
        <f>IF($AE22&lt;1," ",IF(O22&lt;1," ",(O22)/$AE22))</f>
        <v xml:space="preserve"> </v>
      </c>
      <c r="Q22" s="390">
        <v>0</v>
      </c>
      <c r="R22" s="531" t="str">
        <f>IF($AE22&lt;1," ",IF(Q22&lt;1," ",(Q22)/$AE22))</f>
        <v xml:space="preserve"> </v>
      </c>
      <c r="S22" s="390">
        <v>0</v>
      </c>
      <c r="T22" s="340" t="str">
        <f>IF($AE22&lt;1," ",IF(S22&lt;1," ",(S22)/$AE22))</f>
        <v xml:space="preserve"> </v>
      </c>
      <c r="U22" s="390">
        <v>0</v>
      </c>
      <c r="V22" s="340" t="str">
        <f>IF($AE22&lt;1," ",IF(U22&lt;1," ",(U22)/$AE22))</f>
        <v xml:space="preserve"> </v>
      </c>
      <c r="W22" s="390">
        <v>0</v>
      </c>
      <c r="X22" s="340" t="str">
        <f>IF($AE22&lt;1," ",IF(W22&lt;1," ",(W22)/$AE22))</f>
        <v xml:space="preserve"> </v>
      </c>
      <c r="Y22" s="390">
        <v>0</v>
      </c>
      <c r="Z22" s="340" t="str">
        <f>IF($AE22&lt;1," ",IF(Y22&lt;1," ",(Y22)/$AE22))</f>
        <v xml:space="preserve"> </v>
      </c>
      <c r="AA22" s="390">
        <v>0</v>
      </c>
      <c r="AB22" s="340" t="str">
        <f>IF($AE22&lt;1," ",IF(AA22&lt;1," ",(AA22)/$AE22))</f>
        <v xml:space="preserve"> </v>
      </c>
      <c r="AC22" s="1600">
        <f t="shared" si="0"/>
        <v>0.11094400016008876</v>
      </c>
      <c r="AD22" s="379">
        <f>+E22+G22+I22+K22+M22+O22+Q22+S22+U22+W22+Y22+AA22+AC22</f>
        <v>62789</v>
      </c>
      <c r="AE22" s="379">
        <f>'1st Interim-Summary MYP'!I25</f>
        <v>62789</v>
      </c>
      <c r="AF22" s="379">
        <f t="shared" si="1"/>
        <v>0</v>
      </c>
      <c r="AG22" s="1212"/>
    </row>
    <row r="23" spans="1:33" ht="16.5" thickBot="1">
      <c r="A23" s="405" t="s">
        <v>254</v>
      </c>
      <c r="B23" s="382"/>
      <c r="C23" s="383"/>
      <c r="D23" s="383"/>
      <c r="E23" s="770">
        <f>SUM(E10:E22)</f>
        <v>265379.3</v>
      </c>
      <c r="F23" s="533">
        <f>IF($AE23&lt;1," ",IF(E23&lt;1," ",(E23)/$AE23))</f>
        <v>2.415239289162056E-2</v>
      </c>
      <c r="G23" s="771">
        <f>SUM(G10:G22)</f>
        <v>302705.87802078709</v>
      </c>
      <c r="H23" s="533">
        <f>IF($AE23&lt;1," ",IF(G23&lt;1," ",(G23)/$AE23))</f>
        <v>2.7549516094740694E-2</v>
      </c>
      <c r="I23" s="771">
        <f>SUM(I10:I22)</f>
        <v>920151.00187778345</v>
      </c>
      <c r="J23" s="533">
        <f>IF($AE23&lt;1," ",IF(I23&lt;1," ",(I23)/$AE23))</f>
        <v>8.3743715191691728E-2</v>
      </c>
      <c r="K23" s="771">
        <f>SUM(K10:K22)</f>
        <v>904031.16627246945</v>
      </c>
      <c r="L23" s="533">
        <f>IF($AE23&lt;1," ",IF(K23&lt;1," ",(K23)/$AE23))</f>
        <v>8.2276635419878785E-2</v>
      </c>
      <c r="M23" s="771">
        <f>SUM(M10:M22)</f>
        <v>634786.09288495965</v>
      </c>
      <c r="N23" s="384">
        <f>IF($AE23&lt;1," ",IF(M23&lt;1," ",(M23)/$AE23))</f>
        <v>5.7772415246759218E-2</v>
      </c>
      <c r="O23" s="771">
        <f>SUM(O10:O22)</f>
        <v>1352451.34</v>
      </c>
      <c r="P23" s="384">
        <f>IF($AE23&lt;1," ",IF(O23&lt;1," ",(O23)/$AE23))</f>
        <v>0.12308773190101378</v>
      </c>
      <c r="Q23" s="771">
        <f>SUM(Q10:Q22)</f>
        <v>539027.68999999994</v>
      </c>
      <c r="R23" s="533">
        <f>IF($AE23&lt;1," ",IF(Q23&lt;1," ",(Q23)/$AE23))</f>
        <v>4.9057362606437845E-2</v>
      </c>
      <c r="S23" s="771">
        <f>SUM(S10:S22)</f>
        <v>539027.59</v>
      </c>
      <c r="T23" s="384">
        <f>IF($AE23&lt;1," ",IF(S23&lt;1," ",(S23)/$AE23))</f>
        <v>4.9057353505353889E-2</v>
      </c>
      <c r="U23" s="771">
        <f>SUM(U10:U22)</f>
        <v>1500809.8782946982</v>
      </c>
      <c r="V23" s="384">
        <f>IF($AE23&lt;1," ",IF(U23&lt;1," ",(U23)/$AE23))</f>
        <v>0.13658996702530601</v>
      </c>
      <c r="W23" s="771">
        <f>SUM(W10:W22)</f>
        <v>883055.70190293912</v>
      </c>
      <c r="X23" s="384">
        <f>IF($AE23&lt;1," ",IF(W23&lt;1," ",(W23)/$AE23))</f>
        <v>8.0367640797701825E-2</v>
      </c>
      <c r="Y23" s="771">
        <f>SUM(Y10:Y22)</f>
        <v>675214.20190293912</v>
      </c>
      <c r="Z23" s="384">
        <f>IF($AE23&lt;1," ",IF(Y23&lt;1," ",(Y23)/$AE23))</f>
        <v>6.1451811389817507E-2</v>
      </c>
      <c r="AA23" s="771">
        <f>SUM(AA10:AA22)</f>
        <v>1618161.5542897591</v>
      </c>
      <c r="AB23" s="384">
        <f>IF($AE23&lt;1," ",IF(AA23&lt;1," ",(AA23)/$AE23))</f>
        <v>0.14727024157996368</v>
      </c>
      <c r="AC23" s="1602">
        <f>SUM(AC10:AC22)</f>
        <v>852900.78341606399</v>
      </c>
      <c r="AD23" s="773">
        <f>SUM(AD10:AD22)</f>
        <v>10987702.1788624</v>
      </c>
      <c r="AE23" s="773">
        <f>SUM(AE10:AE22)</f>
        <v>10987702.1788624</v>
      </c>
      <c r="AF23" s="773">
        <f>SUM(AF10:AF22)</f>
        <v>0</v>
      </c>
      <c r="AG23" s="1212"/>
    </row>
    <row r="24" spans="1:33" ht="15.75">
      <c r="A24" s="407"/>
      <c r="B24" s="370"/>
      <c r="C24" s="71"/>
      <c r="D24" s="71"/>
      <c r="E24" s="72"/>
      <c r="F24" s="195"/>
      <c r="G24" s="73"/>
      <c r="H24" s="195"/>
      <c r="I24" s="73"/>
      <c r="J24" s="195"/>
      <c r="K24" s="73"/>
      <c r="L24" s="195"/>
      <c r="M24" s="73"/>
      <c r="N24" s="195"/>
      <c r="O24" s="73"/>
      <c r="P24" s="195"/>
      <c r="Q24" s="73"/>
      <c r="R24" s="195"/>
      <c r="S24" s="73"/>
      <c r="T24" s="195"/>
      <c r="U24" s="73"/>
      <c r="V24" s="195"/>
      <c r="W24" s="73"/>
      <c r="X24" s="195"/>
      <c r="Y24" s="73"/>
      <c r="Z24" s="195"/>
      <c r="AA24" s="73"/>
      <c r="AB24" s="195"/>
      <c r="AC24" s="1023"/>
      <c r="AD24" s="1023"/>
      <c r="AE24" s="1023"/>
      <c r="AF24" s="1039"/>
      <c r="AG24" s="1212"/>
    </row>
    <row r="25" spans="1:33" ht="15.75">
      <c r="A25" s="66" t="s">
        <v>255</v>
      </c>
      <c r="B25" s="180"/>
      <c r="C25" s="373"/>
      <c r="D25" s="373"/>
      <c r="E25" s="545"/>
      <c r="F25" s="482"/>
      <c r="G25" s="525"/>
      <c r="H25" s="482"/>
      <c r="I25" s="525"/>
      <c r="J25" s="482"/>
      <c r="K25" s="525"/>
      <c r="L25" s="482"/>
      <c r="M25" s="525"/>
      <c r="N25" s="482"/>
      <c r="O25" s="525"/>
      <c r="P25" s="482"/>
      <c r="Q25" s="525"/>
      <c r="R25" s="482"/>
      <c r="S25" s="525"/>
      <c r="T25" s="482"/>
      <c r="U25" s="525"/>
      <c r="V25" s="482"/>
      <c r="W25" s="525"/>
      <c r="X25" s="482"/>
      <c r="Y25" s="525"/>
      <c r="Z25" s="482"/>
      <c r="AA25" s="525"/>
      <c r="AB25" s="482"/>
      <c r="AC25" s="1027"/>
      <c r="AD25" s="1027"/>
      <c r="AE25" s="1027"/>
      <c r="AF25" s="1035"/>
      <c r="AG25" s="1212"/>
    </row>
    <row r="26" spans="1:33" ht="15.75">
      <c r="A26" s="406" t="s">
        <v>256</v>
      </c>
      <c r="B26" s="140"/>
      <c r="C26" s="278" t="s">
        <v>257</v>
      </c>
      <c r="D26" s="376"/>
      <c r="E26" s="377">
        <v>38180.147922816694</v>
      </c>
      <c r="F26" s="531">
        <f>IF($AE$26&lt;1," ",IF(E26&lt;1," ",(E26)/$AE$26))</f>
        <v>1.4599611579155463E-2</v>
      </c>
      <c r="G26" s="390">
        <v>72120.700605949445</v>
      </c>
      <c r="H26" s="531">
        <f>IF($AE$26&lt;1," ",IF(G26&lt;1," ",(G26)/$AE$26))</f>
        <v>2.757805490413472E-2</v>
      </c>
      <c r="I26" s="390">
        <v>170606.87535432805</v>
      </c>
      <c r="J26" s="531">
        <f>IF($AE$26&lt;1," ",IF(I26&lt;1," ",(I26)/$AE$26))</f>
        <v>6.5237937735125082E-2</v>
      </c>
      <c r="K26" s="390">
        <v>265769.28263156896</v>
      </c>
      <c r="L26" s="531">
        <f>IF($AE$26&lt;1," ",IF(K26&lt;1," ",(K26)/$AE$26))</f>
        <v>0.10162685340914844</v>
      </c>
      <c r="M26" s="390">
        <v>266041.46694603009</v>
      </c>
      <c r="N26" s="340">
        <f>IF($AE$26&lt;1," ",IF(M26&lt;1," ",(M26)/$AE$26))</f>
        <v>0.10173093329058588</v>
      </c>
      <c r="O26" s="390">
        <v>257489.96074718682</v>
      </c>
      <c r="P26" s="531">
        <f>IF($AE$26&lt;1," ",IF(O26&lt;1," ",(O26)/$AE$26))</f>
        <v>9.8460944154550048E-2</v>
      </c>
      <c r="Q26" s="390">
        <v>257489.96074718682</v>
      </c>
      <c r="R26" s="531">
        <f>IF($AE$26&lt;1," ",IF(Q26&lt;1," ",(Q26)/$AE$26))</f>
        <v>9.8460944154550048E-2</v>
      </c>
      <c r="S26" s="390">
        <v>257489.96074718682</v>
      </c>
      <c r="T26" s="340">
        <f>IF($AE$26&lt;1," ",IF(S26&lt;1," ",(S26)/$AE$26))</f>
        <v>9.8460944154550048E-2</v>
      </c>
      <c r="U26" s="390">
        <v>257489.96074718682</v>
      </c>
      <c r="V26" s="340">
        <f>IF($AE$26&lt;1," ",IF(U26&lt;1," ",(U26)/$AE$26))</f>
        <v>9.8460944154550048E-2</v>
      </c>
      <c r="W26" s="390">
        <v>257489.96074718682</v>
      </c>
      <c r="X26" s="340">
        <f>IF($AE$26&lt;1," ",IF(W26&lt;1," ",(W26)/$AE$26))</f>
        <v>9.8460944154550048E-2</v>
      </c>
      <c r="Y26" s="390">
        <v>257489.96074718682</v>
      </c>
      <c r="Z26" s="340">
        <f>IF($AE$26&lt;1," ",IF(Y26&lt;1," ",(Y26)/$AE$26))</f>
        <v>9.8460944154550048E-2</v>
      </c>
      <c r="AA26" s="390">
        <v>257489.96074718682</v>
      </c>
      <c r="AB26" s="340">
        <f>IF($AE$26&lt;1," ",IF(AA26&lt;1," ",(AA26)/$AE$26))</f>
        <v>9.8460944154550048E-2</v>
      </c>
      <c r="AC26" s="1603">
        <f t="shared" ref="AC26:AC33" si="2">AE26-(E26+G26+I26+K26+M26+O26+Q26+S26+U26+W26+Y26+AA26)</f>
        <v>0</v>
      </c>
      <c r="AD26" s="387">
        <f t="shared" ref="AD26:AD33" si="3">+E26+G26+I26+K26+M26+O26+Q26+S26+U26+W26+Y26+AA26+AC26</f>
        <v>2615148.1986910012</v>
      </c>
      <c r="AE26" s="387">
        <f>'1st Interim-Summary MYP'!I29</f>
        <v>2615148.1986910012</v>
      </c>
      <c r="AF26" s="387">
        <f t="shared" ref="AF26:AF33" si="4">+AE26-AD26</f>
        <v>0</v>
      </c>
      <c r="AG26" s="1212"/>
    </row>
    <row r="27" spans="1:33" ht="15.75">
      <c r="A27" s="406" t="s">
        <v>258</v>
      </c>
      <c r="B27" s="140"/>
      <c r="C27" s="278" t="s">
        <v>259</v>
      </c>
      <c r="D27" s="376"/>
      <c r="E27" s="377">
        <v>48432.879788783401</v>
      </c>
      <c r="F27" s="531">
        <f>IF($AE$27&lt;1," ",IF(E27&lt;1," ",(E27)/$AE$27))</f>
        <v>3.0091805907770729E-2</v>
      </c>
      <c r="G27" s="390">
        <v>105479.80259393576</v>
      </c>
      <c r="H27" s="531">
        <f>IF($AE$27&lt;1," ",IF(G27&lt;1," ",(G27)/$AE$27))</f>
        <v>6.5535598145080212E-2</v>
      </c>
      <c r="I27" s="390">
        <v>121432.51146703977</v>
      </c>
      <c r="J27" s="531">
        <f>IF($AE$27&lt;1," ",IF(I27&lt;1," ",(I27)/$AE$27))</f>
        <v>7.5447166922450168E-2</v>
      </c>
      <c r="K27" s="390">
        <v>129236.48863624046</v>
      </c>
      <c r="L27" s="531">
        <f>IF($AE$27&lt;1," ",IF(K27&lt;1," ",(K27)/$AE$27))</f>
        <v>8.029585168594934E-2</v>
      </c>
      <c r="M27" s="390">
        <v>130015.17077439834</v>
      </c>
      <c r="N27" s="340">
        <f>IF($AE$27&lt;1," ",IF(M27&lt;1," ",(M27)/$AE$27))</f>
        <v>8.077965425700194E-2</v>
      </c>
      <c r="O27" s="390">
        <v>153558.15343744319</v>
      </c>
      <c r="P27" s="531">
        <f>IF($AE$27&lt;1," ",IF(O27&lt;1," ",(O27)/$AE$27))</f>
        <v>9.5407131868821077E-2</v>
      </c>
      <c r="Q27" s="390">
        <v>153558.15343744319</v>
      </c>
      <c r="R27" s="531">
        <f>IF($AE$27&lt;1," ",IF(Q27&lt;1," ",(Q27)/$AE$27))</f>
        <v>9.5407131868821077E-2</v>
      </c>
      <c r="S27" s="390">
        <v>153558.15343744319</v>
      </c>
      <c r="T27" s="340">
        <f>IF($AE$27&lt;1," ",IF(S27&lt;1," ",(S27)/$AE$27))</f>
        <v>9.5407131868821077E-2</v>
      </c>
      <c r="U27" s="390">
        <v>153558.15343744319</v>
      </c>
      <c r="V27" s="340">
        <f>IF($AE$27&lt;1," ",IF(U27&lt;1," ",(U27)/$AE$27))</f>
        <v>9.5407131868821077E-2</v>
      </c>
      <c r="W27" s="390">
        <v>153558.15343744319</v>
      </c>
      <c r="X27" s="340">
        <f>IF($AE$27&lt;1," ",IF(W27&lt;1," ",(W27)/$AE$27))</f>
        <v>9.5407131868821077E-2</v>
      </c>
      <c r="Y27" s="390">
        <v>153558.15343744319</v>
      </c>
      <c r="Z27" s="340">
        <f>IF($AE$27&lt;1," ",IF(Y27&lt;1," ",(Y27)/$AE$27))</f>
        <v>9.5407131868821077E-2</v>
      </c>
      <c r="AA27" s="390">
        <v>153558.15343744319</v>
      </c>
      <c r="AB27" s="340">
        <f>IF($AE$27&lt;1," ",IF(AA27&lt;1," ",(AA27)/$AE$27))</f>
        <v>9.5407131868821077E-2</v>
      </c>
      <c r="AC27" s="1603">
        <f t="shared" si="2"/>
        <v>0</v>
      </c>
      <c r="AD27" s="387">
        <f t="shared" si="3"/>
        <v>1609503.9273224999</v>
      </c>
      <c r="AE27" s="387">
        <f>'1st Interim-Summary MYP'!I30</f>
        <v>1609503.9273225002</v>
      </c>
      <c r="AF27" s="387">
        <f t="shared" si="4"/>
        <v>0</v>
      </c>
      <c r="AG27" s="1212"/>
    </row>
    <row r="28" spans="1:33" ht="15.75">
      <c r="A28" s="406" t="s">
        <v>260</v>
      </c>
      <c r="B28" s="140"/>
      <c r="C28" s="278" t="s">
        <v>261</v>
      </c>
      <c r="D28" s="376"/>
      <c r="E28" s="377">
        <v>48449.633761113102</v>
      </c>
      <c r="F28" s="531">
        <f>IF($AE$28&lt;1," ",IF(E28&lt;1," ",(E28)/$AE$28))</f>
        <v>2.5740816099354073E-2</v>
      </c>
      <c r="G28" s="390">
        <v>99174.049483312469</v>
      </c>
      <c r="H28" s="531">
        <f>IF($AE$28&lt;1," ",IF(G28&lt;1," ",(G28)/$AE$28))</f>
        <v>5.2690201584705179E-2</v>
      </c>
      <c r="I28" s="390">
        <v>126245.50820961208</v>
      </c>
      <c r="J28" s="531">
        <f>IF($AE$28&lt;1," ",IF(I28&lt;1," ",(I28)/$AE$28))</f>
        <v>6.7073002578636215E-2</v>
      </c>
      <c r="K28" s="390">
        <v>156663.65008944206</v>
      </c>
      <c r="L28" s="531">
        <f>IF($AE$28&lt;1," ",IF(K28&lt;1," ",(K28)/$AE$28))</f>
        <v>8.3233863568285424E-2</v>
      </c>
      <c r="M28" s="390">
        <v>154660.18870719196</v>
      </c>
      <c r="N28" s="340">
        <f>IF($AE$28&lt;1," ",IF(M28&lt;1," ",(M28)/$AE$28))</f>
        <v>8.2169444149617923E-2</v>
      </c>
      <c r="O28" s="390">
        <v>185288.2067471745</v>
      </c>
      <c r="P28" s="531">
        <f>IF($AE$28&lt;1," ",IF(O28&lt;1," ",(O28)/$AE$28))</f>
        <v>9.8441810288485851E-2</v>
      </c>
      <c r="Q28" s="390">
        <v>185288.2067471745</v>
      </c>
      <c r="R28" s="531">
        <f>IF($AE$28&lt;1," ",IF(Q28&lt;1," ",(Q28)/$AE$28))</f>
        <v>9.8441810288485851E-2</v>
      </c>
      <c r="S28" s="390">
        <v>185288.2067471745</v>
      </c>
      <c r="T28" s="340">
        <f>IF($AE$28&lt;1," ",IF(S28&lt;1," ",(S28)/$AE$28))</f>
        <v>9.8441810288485851E-2</v>
      </c>
      <c r="U28" s="390">
        <v>185288.2067471745</v>
      </c>
      <c r="V28" s="340">
        <f>IF($AE$28&lt;1," ",IF(U28&lt;1," ",(U28)/$AE$28))</f>
        <v>9.8441810288485851E-2</v>
      </c>
      <c r="W28" s="390">
        <v>185288.2067471745</v>
      </c>
      <c r="X28" s="340">
        <f>IF($AE$28&lt;1," ",IF(W28&lt;1," ",(W28)/$AE$28))</f>
        <v>9.8441810288485851E-2</v>
      </c>
      <c r="Y28" s="390">
        <v>185288.2067471745</v>
      </c>
      <c r="Z28" s="340">
        <f>IF($AE$28&lt;1," ",IF(Y28&lt;1," ",(Y28)/$AE$28))</f>
        <v>9.8441810288485851E-2</v>
      </c>
      <c r="AA28" s="390">
        <v>185288.2067471745</v>
      </c>
      <c r="AB28" s="340">
        <f>IF($AE$28&lt;1," ",IF(AA28&lt;1," ",(AA28)/$AE$28))</f>
        <v>9.8441810288485851E-2</v>
      </c>
      <c r="AC28" s="1603">
        <f t="shared" si="2"/>
        <v>0</v>
      </c>
      <c r="AD28" s="387">
        <f t="shared" si="3"/>
        <v>1882210.477480893</v>
      </c>
      <c r="AE28" s="387">
        <f>'1st Interim-Summary MYP'!I31</f>
        <v>1882210.4774808935</v>
      </c>
      <c r="AF28" s="387">
        <f t="shared" si="4"/>
        <v>0</v>
      </c>
      <c r="AG28" s="1212"/>
    </row>
    <row r="29" spans="1:33" ht="15.75">
      <c r="A29" s="406" t="s">
        <v>262</v>
      </c>
      <c r="B29" s="140"/>
      <c r="C29" s="278" t="s">
        <v>263</v>
      </c>
      <c r="D29" s="376"/>
      <c r="E29" s="377">
        <v>318593.00831771822</v>
      </c>
      <c r="F29" s="531">
        <f>IF($AE$29&lt;1," ",IF(E29&lt;1," ",(E29)/$AE$29))</f>
        <v>0.62772884592771627</v>
      </c>
      <c r="G29" s="390">
        <v>65579.728379878128</v>
      </c>
      <c r="H29" s="531">
        <f>IF($AE$29&lt;1," ",IF(G29&lt;1," ",(G29)/$AE$29))</f>
        <v>0.12921277660651218</v>
      </c>
      <c r="I29" s="390">
        <v>63897.717002401223</v>
      </c>
      <c r="J29" s="531">
        <f>IF($AE$29&lt;1," ",IF(I29&lt;1," ",(I29)/$AE$29))</f>
        <v>0.12589868297214116</v>
      </c>
      <c r="K29" s="390">
        <v>25228.465532226946</v>
      </c>
      <c r="L29" s="531">
        <f>IF($AE$29&lt;1," ",IF(K29&lt;1," ",(K29)/$AE$29))</f>
        <v>4.9708044871087813E-2</v>
      </c>
      <c r="M29" s="390">
        <v>13704.950966191938</v>
      </c>
      <c r="N29" s="340">
        <f>IF($AE$29&lt;1," ",IF(M29&lt;1," ",(M29)/$AE$29))</f>
        <v>2.7003081765448647E-2</v>
      </c>
      <c r="O29" s="390">
        <v>2932.7109716548039</v>
      </c>
      <c r="P29" s="531">
        <f>IF($AE$29&lt;1," ",IF(O29&lt;1," ",(O29)/$AE$29))</f>
        <v>5.7783668367277202E-3</v>
      </c>
      <c r="Q29" s="390">
        <v>2932.7109716548039</v>
      </c>
      <c r="R29" s="531">
        <f>IF($AE$29&lt;1," ",IF(Q29&lt;1," ",(Q29)/$AE$29))</f>
        <v>5.7783668367277202E-3</v>
      </c>
      <c r="S29" s="390">
        <v>2932.7109716548039</v>
      </c>
      <c r="T29" s="340">
        <f>IF($AE$29&lt;1," ",IF(S29&lt;1," ",(S29)/$AE$29))</f>
        <v>5.7783668367277202E-3</v>
      </c>
      <c r="U29" s="390">
        <v>2932.7109716548039</v>
      </c>
      <c r="V29" s="340">
        <f>IF($AE$29&lt;1," ",IF(U29&lt;1," ",(U29)/$AE$29))</f>
        <v>5.7783668367277202E-3</v>
      </c>
      <c r="W29" s="390">
        <v>2932.7109716548039</v>
      </c>
      <c r="X29" s="340">
        <f>IF($AE$29&lt;1," ",IF(W29&lt;1," ",(W29)/$AE$29))</f>
        <v>5.7783668367277202E-3</v>
      </c>
      <c r="Y29" s="390">
        <v>2932.7109716548039</v>
      </c>
      <c r="Z29" s="340">
        <f>IF($AE$29&lt;1," ",IF(Y29&lt;1," ",(Y29)/$AE$29))</f>
        <v>5.7783668367277202E-3</v>
      </c>
      <c r="AA29" s="390">
        <v>2932.7109716548039</v>
      </c>
      <c r="AB29" s="340">
        <f>IF($AE$29&lt;1," ",IF(AA29&lt;1," ",(AA29)/$AE$29))</f>
        <v>5.7783668367277202E-3</v>
      </c>
      <c r="AC29" s="1603">
        <f t="shared" si="2"/>
        <v>0</v>
      </c>
      <c r="AD29" s="387">
        <f t="shared" si="3"/>
        <v>507532.84700000013</v>
      </c>
      <c r="AE29" s="387">
        <f>'1st Interim-Summary MYP'!I32</f>
        <v>507532.84700000001</v>
      </c>
      <c r="AF29" s="387">
        <f t="shared" si="4"/>
        <v>0</v>
      </c>
      <c r="AG29" s="1212"/>
    </row>
    <row r="30" spans="1:33" ht="15.75">
      <c r="A30" s="406" t="s">
        <v>264</v>
      </c>
      <c r="B30" s="140"/>
      <c r="C30" s="278" t="s">
        <v>265</v>
      </c>
      <c r="D30" s="376"/>
      <c r="E30" s="377">
        <v>188235.03106453002</v>
      </c>
      <c r="F30" s="531">
        <f>IF($AE$30&lt;1," ",IF(E30&lt;1," ",(E30)/$AE$30))</f>
        <v>4.6630453548343907E-2</v>
      </c>
      <c r="G30" s="390">
        <v>387567.02129368647</v>
      </c>
      <c r="H30" s="531">
        <f>IF($AE$30&lt;1," ",IF(G30&lt;1," ",(G30)/$AE$30))</f>
        <v>9.6009897207229938E-2</v>
      </c>
      <c r="I30" s="390">
        <v>343709.84795519407</v>
      </c>
      <c r="J30" s="531">
        <f>IF($AE$30&lt;1," ",IF(I30&lt;1," ",(I30)/$AE$30))</f>
        <v>8.5145395140018287E-2</v>
      </c>
      <c r="K30" s="390">
        <v>461309.04528338031</v>
      </c>
      <c r="L30" s="531">
        <f>IF($AE$30&lt;1," ",IF(K30&lt;1," ",(K30)/$AE$30))</f>
        <v>0.11427761286443651</v>
      </c>
      <c r="M30" s="390">
        <v>248865.38983022244</v>
      </c>
      <c r="N30" s="340">
        <f>IF($AE$30&lt;1," ",IF(M30&lt;1," ",(M30)/$AE$30))</f>
        <v>6.1650086780554704E-2</v>
      </c>
      <c r="O30" s="390">
        <v>343864.85213899805</v>
      </c>
      <c r="P30" s="531">
        <f>IF($AE$30&lt;1," ",IF(O30&lt;1," ",(O30)/$AE$30))</f>
        <v>8.5183793494202381E-2</v>
      </c>
      <c r="Q30" s="390">
        <v>343864.85213899805</v>
      </c>
      <c r="R30" s="531">
        <f>IF($AE$30&lt;1," ",IF(Q30&lt;1," ",(Q30)/$AE$30))</f>
        <v>8.5183793494202381E-2</v>
      </c>
      <c r="S30" s="390">
        <v>343864.85213899805</v>
      </c>
      <c r="T30" s="340">
        <f>IF($AE$30&lt;1," ",IF(S30&lt;1," ",(S30)/$AE$30))</f>
        <v>8.5183793494202381E-2</v>
      </c>
      <c r="U30" s="390">
        <v>343864.85213899805</v>
      </c>
      <c r="V30" s="340">
        <f>IF($AE$30&lt;1," ",IF(U30&lt;1," ",(U30)/$AE$30))</f>
        <v>8.5183793494202381E-2</v>
      </c>
      <c r="W30" s="390">
        <v>343864.85213899805</v>
      </c>
      <c r="X30" s="340">
        <f>IF($AE$30&lt;1," ",IF(W30&lt;1," ",(W30)/$AE$30))</f>
        <v>8.5183793494202381E-2</v>
      </c>
      <c r="Y30" s="390">
        <v>343864.85213899805</v>
      </c>
      <c r="Z30" s="340">
        <f>IF($AE$30&lt;1," ",IF(Y30&lt;1," ",(Y30)/$AE$30))</f>
        <v>8.5183793494202381E-2</v>
      </c>
      <c r="AA30" s="390">
        <v>343864.85213899805</v>
      </c>
      <c r="AB30" s="340">
        <f>IF($AE$30&lt;1," ",IF(AA30&lt;1," ",(AA30)/$AE$30))</f>
        <v>8.5183793494202381E-2</v>
      </c>
      <c r="AC30" s="1603">
        <f t="shared" si="2"/>
        <v>0</v>
      </c>
      <c r="AD30" s="387">
        <f t="shared" si="3"/>
        <v>4036740.3003999991</v>
      </c>
      <c r="AE30" s="387">
        <f>'1st Interim-Summary MYP'!I33</f>
        <v>4036740.3003999996</v>
      </c>
      <c r="AF30" s="387">
        <f t="shared" si="4"/>
        <v>0</v>
      </c>
      <c r="AG30" s="1212"/>
    </row>
    <row r="31" spans="1:33" ht="15.75">
      <c r="A31" s="406" t="s">
        <v>266</v>
      </c>
      <c r="B31" s="140"/>
      <c r="C31" s="278" t="s">
        <v>267</v>
      </c>
      <c r="D31" s="376"/>
      <c r="E31" s="377"/>
      <c r="F31" s="531" t="str">
        <f>IF($AE$31&lt;1," ",IF(E31&lt;1," ",(E31)/$AE$31))</f>
        <v xml:space="preserve"> </v>
      </c>
      <c r="G31" s="390"/>
      <c r="H31" s="531" t="str">
        <f>IF($AE$31&lt;1," ",IF(G31&lt;1," ",(G31)/$AE$31))</f>
        <v xml:space="preserve"> </v>
      </c>
      <c r="I31" s="390"/>
      <c r="J31" s="531" t="str">
        <f>IF($AE$31&lt;1," ",IF(I31&lt;1," ",(I31)/$AE$31))</f>
        <v xml:space="preserve"> </v>
      </c>
      <c r="K31" s="390"/>
      <c r="L31" s="531" t="str">
        <f>IF($AE$31&lt;1," ",IF(K31&lt;1," ",(K31)/$AE$31))</f>
        <v xml:space="preserve"> </v>
      </c>
      <c r="M31" s="390"/>
      <c r="N31" s="340" t="str">
        <f>IF($AE$31&lt;1," ",IF(M31&lt;1," ",(M31)/$AE$31))</f>
        <v xml:space="preserve"> </v>
      </c>
      <c r="O31" s="390"/>
      <c r="P31" s="531" t="str">
        <f>IF($AE$31&lt;1," ",IF(O31&lt;1," ",(O31)/$AE$31))</f>
        <v xml:space="preserve"> </v>
      </c>
      <c r="Q31" s="390"/>
      <c r="R31" s="531" t="str">
        <f>IF($AE$31&lt;1," ",IF(Q31&lt;1," ",(Q31)/$AE$31))</f>
        <v xml:space="preserve"> </v>
      </c>
      <c r="S31" s="390"/>
      <c r="T31" s="340" t="str">
        <f>IF($AE$31&lt;1," ",IF(S31&lt;1," ",(S31)/$AE$31))</f>
        <v xml:space="preserve"> </v>
      </c>
      <c r="U31" s="390"/>
      <c r="V31" s="340" t="str">
        <f>IF($AE$31&lt;1," ",IF(U31&lt;1," ",(U31)/$AE$31))</f>
        <v xml:space="preserve"> </v>
      </c>
      <c r="W31" s="390"/>
      <c r="X31" s="340" t="str">
        <f>IF($AE$31&lt;1," ",IF(W31&lt;1," ",(W31)/$AE$31))</f>
        <v xml:space="preserve"> </v>
      </c>
      <c r="Y31" s="390"/>
      <c r="Z31" s="340" t="str">
        <f>IF($AE$31&lt;1," ",IF(Y31&lt;1," ",(Y31)/$AE$31))</f>
        <v xml:space="preserve"> </v>
      </c>
      <c r="AA31" s="390"/>
      <c r="AB31" s="340" t="str">
        <f>IF($AE$31&lt;1," ",IF(AA31&lt;1," ",(AA31)/$AE$31))</f>
        <v xml:space="preserve"> </v>
      </c>
      <c r="AC31" s="1603">
        <f t="shared" si="2"/>
        <v>208325.09142857144</v>
      </c>
      <c r="AD31" s="387">
        <f t="shared" si="3"/>
        <v>208325.09142857144</v>
      </c>
      <c r="AE31" s="387">
        <f>'1st Interim-Summary MYP'!I34</f>
        <v>208325.09142857144</v>
      </c>
      <c r="AF31" s="387">
        <f t="shared" si="4"/>
        <v>0</v>
      </c>
      <c r="AG31" s="1212"/>
    </row>
    <row r="32" spans="1:33" ht="15.75">
      <c r="A32" s="406" t="s">
        <v>268</v>
      </c>
      <c r="B32" s="140"/>
      <c r="C32" s="278" t="s">
        <v>269</v>
      </c>
      <c r="D32" s="376"/>
      <c r="E32" s="377"/>
      <c r="F32" s="531" t="str">
        <f>IF($AE$32&lt;1," ",IF(E32&lt;1," ",(E32)/$AE$32))</f>
        <v xml:space="preserve"> </v>
      </c>
      <c r="G32" s="390"/>
      <c r="H32" s="531" t="str">
        <f>IF($AE$32&lt;1," ",IF(G32&lt;1," ",(G32)/$AE$32))</f>
        <v xml:space="preserve"> </v>
      </c>
      <c r="I32" s="390"/>
      <c r="J32" s="531" t="str">
        <f>IF($AE$32&lt;1," ",IF(I32&lt;1," ",(I32)/$AE$32))</f>
        <v xml:space="preserve"> </v>
      </c>
      <c r="K32" s="390"/>
      <c r="L32" s="531" t="str">
        <f>IF($AE$32&lt;1," ",IF(K32&lt;1," ",(K32)/$AE$32))</f>
        <v xml:space="preserve"> </v>
      </c>
      <c r="M32" s="390"/>
      <c r="N32" s="340" t="str">
        <f>IF($AE$32&lt;1," ",IF(M32&lt;1," ",(M32)/$AE$32))</f>
        <v xml:space="preserve"> </v>
      </c>
      <c r="O32" s="390"/>
      <c r="P32" s="531" t="str">
        <f>IF($AE$32&lt;1," ",IF(O32&lt;1," ",(O32)/$AE$32))</f>
        <v xml:space="preserve"> </v>
      </c>
      <c r="Q32" s="390"/>
      <c r="R32" s="531" t="str">
        <f>IF($AE$32&lt;1," ",IF(Q32&lt;1," ",(Q32)/$AE$32))</f>
        <v xml:space="preserve"> </v>
      </c>
      <c r="S32" s="390"/>
      <c r="T32" s="340" t="str">
        <f>IF($AE$32&lt;1," ",IF(S32&lt;1," ",(S32)/$AE$32))</f>
        <v xml:space="preserve"> </v>
      </c>
      <c r="U32" s="390"/>
      <c r="V32" s="340" t="str">
        <f>IF($AE$32&lt;1," ",IF(U32&lt;1," ",(U32)/$AE$32))</f>
        <v xml:space="preserve"> </v>
      </c>
      <c r="W32" s="390"/>
      <c r="X32" s="340" t="str">
        <f>IF($AE$32&lt;1," ",IF(W32&lt;1," ",(W32)/$AE$32))</f>
        <v xml:space="preserve"> </v>
      </c>
      <c r="Y32" s="390"/>
      <c r="Z32" s="340" t="str">
        <f>IF($AE$32&lt;1," ",IF(Y32&lt;1," ",(Y32)/$AE$32))</f>
        <v xml:space="preserve"> </v>
      </c>
      <c r="AA32" s="390"/>
      <c r="AB32" s="340" t="str">
        <f>IF($AE$32&lt;1," ",IF(AA32&lt;1," ",(AA32)/$AE$32))</f>
        <v xml:space="preserve"> </v>
      </c>
      <c r="AC32" s="1603">
        <f t="shared" si="2"/>
        <v>0</v>
      </c>
      <c r="AD32" s="387">
        <f t="shared" si="3"/>
        <v>0</v>
      </c>
      <c r="AE32" s="387">
        <f>'1st Interim-Summary MYP'!I35</f>
        <v>0</v>
      </c>
      <c r="AF32" s="387">
        <f t="shared" si="4"/>
        <v>0</v>
      </c>
      <c r="AG32" s="1212"/>
    </row>
    <row r="33" spans="1:33" ht="15.75">
      <c r="A33" s="406" t="s">
        <v>270</v>
      </c>
      <c r="B33" s="140"/>
      <c r="C33" s="278" t="s">
        <v>271</v>
      </c>
      <c r="D33" s="376"/>
      <c r="E33" s="377">
        <v>4432.5200000000004</v>
      </c>
      <c r="F33" s="531">
        <f>IF($AE33&lt;1," ",IF(E33&lt;1," ",(E33)/$AE33))</f>
        <v>8.3333709343861639E-2</v>
      </c>
      <c r="G33" s="390">
        <v>4432.5200000000004</v>
      </c>
      <c r="H33" s="531">
        <f>IF($AE33&lt;1," ",IF(G33&lt;1," ",(G33)/$AE33))</f>
        <v>8.3333709343861639E-2</v>
      </c>
      <c r="I33" s="390">
        <v>4432.5200000000004</v>
      </c>
      <c r="J33" s="531">
        <f>IF($AE33&lt;1," ",IF(I33&lt;1," ",(I33)/$AE33))</f>
        <v>8.3333709343861639E-2</v>
      </c>
      <c r="K33" s="390">
        <v>4432.5200000000004</v>
      </c>
      <c r="L33" s="531">
        <f>IF($AE33&lt;1," ",IF(K33&lt;1," ",(K33)/$AE33))</f>
        <v>8.3333709343861639E-2</v>
      </c>
      <c r="M33" s="390">
        <v>4432.5200000000004</v>
      </c>
      <c r="N33" s="340">
        <f>IF($AE33&lt;1," ",IF(M33&lt;1," ",(M33)/$AE33))</f>
        <v>8.3333709343861639E-2</v>
      </c>
      <c r="O33" s="390">
        <v>4432.5200000000004</v>
      </c>
      <c r="P33" s="531">
        <f>IF($AE33&lt;1," ",IF(O33&lt;1," ",(O33)/$AE33))</f>
        <v>8.3333709343861639E-2</v>
      </c>
      <c r="Q33" s="390">
        <v>4432.5200000000004</v>
      </c>
      <c r="R33" s="531">
        <f>IF($AE33&lt;1," ",IF(Q33&lt;1," ",(Q33)/$AE33))</f>
        <v>8.3333709343861639E-2</v>
      </c>
      <c r="S33" s="390">
        <v>4432.5200000000004</v>
      </c>
      <c r="T33" s="340">
        <f>IF($AE33&lt;1," ",IF(S33&lt;1," ",(S33)/$AE33))</f>
        <v>8.3333709343861639E-2</v>
      </c>
      <c r="U33" s="390">
        <v>4432.5200000000004</v>
      </c>
      <c r="V33" s="340">
        <f>IF($AE33&lt;1," ",IF(U33&lt;1," ",(U33)/$AE33))</f>
        <v>8.3333709343861639E-2</v>
      </c>
      <c r="W33" s="390">
        <v>4432.5200000000004</v>
      </c>
      <c r="X33" s="340">
        <f>IF($AE33&lt;1," ",IF(W33&lt;1," ",(W33)/$AE33))</f>
        <v>8.3333709343861639E-2</v>
      </c>
      <c r="Y33" s="390">
        <v>4432.5200000000004</v>
      </c>
      <c r="Z33" s="340">
        <f>IF($AE33&lt;1," ",IF(Y33&lt;1," ",(Y33)/$AE33))</f>
        <v>8.3333709343861639E-2</v>
      </c>
      <c r="AA33" s="390">
        <v>4432.5200000000004</v>
      </c>
      <c r="AB33" s="340">
        <f>IF($AE33&lt;1," ",IF(AA33&lt;1," ",(AA33)/$AE33))</f>
        <v>8.3333709343861639E-2</v>
      </c>
      <c r="AC33" s="1603">
        <f t="shared" si="2"/>
        <v>-0.2400000000197906</v>
      </c>
      <c r="AD33" s="387">
        <f t="shared" si="3"/>
        <v>53190</v>
      </c>
      <c r="AE33" s="387">
        <f>'1st Interim-Summary MYP'!I36</f>
        <v>53190</v>
      </c>
      <c r="AF33" s="387">
        <f t="shared" si="4"/>
        <v>0</v>
      </c>
      <c r="AG33" s="1212"/>
    </row>
    <row r="34" spans="1:33" ht="16.5" thickBot="1">
      <c r="A34" s="408" t="s">
        <v>272</v>
      </c>
      <c r="B34" s="382"/>
      <c r="C34" s="383"/>
      <c r="D34" s="383"/>
      <c r="E34" s="770">
        <f>+SUM(E26:E33)</f>
        <v>646323.22085496143</v>
      </c>
      <c r="F34" s="532">
        <f>IF($AE34&lt;1," ",IF(E34&lt;1," ",(E34)/$AE34))</f>
        <v>5.9226967873681112E-2</v>
      </c>
      <c r="G34" s="771">
        <f>+SUM(G26:G33)</f>
        <v>734353.82235676225</v>
      </c>
      <c r="H34" s="532">
        <f>IF($AE34&lt;1," ",IF(G34&lt;1," ",(G34)/$AE34))</f>
        <v>6.7293807248802351E-2</v>
      </c>
      <c r="I34" s="771">
        <f>+SUM(I26:I33)</f>
        <v>830324.97998857521</v>
      </c>
      <c r="J34" s="532">
        <f>IF($AE34&lt;1," ",IF(I34&lt;1," ",(I34)/$AE34))</f>
        <v>7.6088293484869229E-2</v>
      </c>
      <c r="K34" s="771">
        <f>+SUM(K26:K33)</f>
        <v>1042639.4521728588</v>
      </c>
      <c r="L34" s="532">
        <f>IF($AE34&lt;1," ",IF(K34&lt;1," ",(K34)/$AE34))</f>
        <v>9.5544104474519512E-2</v>
      </c>
      <c r="M34" s="771">
        <f>+SUM(M26:M33)</f>
        <v>817719.6872240348</v>
      </c>
      <c r="N34" s="388">
        <f>IF($AE34&lt;1," ",IF(M34&lt;1," ",(M34)/$AE34))</f>
        <v>7.4933185258034662E-2</v>
      </c>
      <c r="O34" s="771">
        <f>+SUM(O26:O33)</f>
        <v>947566.40404245746</v>
      </c>
      <c r="P34" s="532">
        <f>IF($AE34&lt;1," ",IF(O34&lt;1," ",(O34)/$AE34))</f>
        <v>8.6831918086068799E-2</v>
      </c>
      <c r="Q34" s="771">
        <f>+SUM(Q26:Q33)</f>
        <v>947566.40404245746</v>
      </c>
      <c r="R34" s="532">
        <f>IF($AE34&lt;1," ",IF(Q34&lt;1," ",(Q34)/$AE34))</f>
        <v>8.6831918086068799E-2</v>
      </c>
      <c r="S34" s="771">
        <f>+SUM(S26:S33)</f>
        <v>947566.40404245746</v>
      </c>
      <c r="T34" s="388">
        <f>IF($AE34&lt;1," ",IF(S34&lt;1," ",(S34)/$AE34))</f>
        <v>8.6831918086068799E-2</v>
      </c>
      <c r="U34" s="771">
        <f>+SUM(U26:U33)</f>
        <v>947566.40404245746</v>
      </c>
      <c r="V34" s="388">
        <f>IF($AE34&lt;1," ",IF(U34&lt;1," ",(U34)/$AE34))</f>
        <v>8.6831918086068799E-2</v>
      </c>
      <c r="W34" s="771">
        <f>+SUM(W26:W33)</f>
        <v>947566.40404245746</v>
      </c>
      <c r="X34" s="388">
        <f>IF($AE34&lt;1," ",IF(W34&lt;1," ",(W34)/$AE34))</f>
        <v>8.6831918086068799E-2</v>
      </c>
      <c r="Y34" s="771">
        <f>+SUM(Y26:Y33)</f>
        <v>947566.40404245746</v>
      </c>
      <c r="Z34" s="388">
        <f>IF($AE34&lt;1," ",IF(Y34&lt;1," ",(Y34)/$AE34))</f>
        <v>8.6831918086068799E-2</v>
      </c>
      <c r="AA34" s="771">
        <f>+SUM(AA26:AA33)</f>
        <v>947566.40404245746</v>
      </c>
      <c r="AB34" s="388">
        <f>IF($AE34&lt;1," ",IF(AA34&lt;1," ",(AA34)/$AE34))</f>
        <v>8.6831918086068799E-2</v>
      </c>
      <c r="AC34" s="1602">
        <f>+SUM(AC26:AC33)</f>
        <v>208324.85142857142</v>
      </c>
      <c r="AD34" s="773">
        <f>+SUM(AD26:AD33)</f>
        <v>10912650.842322966</v>
      </c>
      <c r="AE34" s="773">
        <f>+SUM(AE26:AE33)</f>
        <v>10912650.842322966</v>
      </c>
      <c r="AF34" s="773">
        <f>+SUM(AF26:AF33)</f>
        <v>0</v>
      </c>
      <c r="AG34" s="1212"/>
    </row>
    <row r="35" spans="1:33" ht="15.75">
      <c r="A35" s="409"/>
      <c r="B35" s="371"/>
      <c r="C35" s="71"/>
      <c r="D35" s="71"/>
      <c r="E35" s="74"/>
      <c r="F35" s="196"/>
      <c r="G35" s="75"/>
      <c r="H35" s="196"/>
      <c r="I35" s="75"/>
      <c r="J35" s="196"/>
      <c r="K35" s="75"/>
      <c r="L35" s="196"/>
      <c r="M35" s="75"/>
      <c r="N35" s="196"/>
      <c r="O35" s="75"/>
      <c r="P35" s="196"/>
      <c r="Q35" s="75"/>
      <c r="R35" s="196"/>
      <c r="S35" s="75"/>
      <c r="T35" s="196"/>
      <c r="U35" s="75"/>
      <c r="V35" s="196"/>
      <c r="W35" s="75"/>
      <c r="X35" s="196"/>
      <c r="Y35" s="75"/>
      <c r="Z35" s="196"/>
      <c r="AA35" s="75"/>
      <c r="AB35" s="196"/>
      <c r="AC35" s="1023"/>
      <c r="AD35" s="1023"/>
      <c r="AE35" s="1023"/>
      <c r="AF35" s="1039"/>
      <c r="AG35" s="1212"/>
    </row>
    <row r="36" spans="1:33" ht="15.75">
      <c r="A36" s="66" t="s">
        <v>424</v>
      </c>
      <c r="B36" s="180"/>
      <c r="C36" s="373"/>
      <c r="D36" s="373"/>
      <c r="E36" s="374"/>
      <c r="F36" s="482"/>
      <c r="G36" s="523"/>
      <c r="H36" s="482"/>
      <c r="I36" s="523"/>
      <c r="J36" s="482"/>
      <c r="K36" s="523"/>
      <c r="L36" s="482"/>
      <c r="M36" s="523"/>
      <c r="N36" s="482"/>
      <c r="O36" s="523"/>
      <c r="P36" s="482"/>
      <c r="Q36" s="523"/>
      <c r="R36" s="482"/>
      <c r="S36" s="523"/>
      <c r="T36" s="482"/>
      <c r="U36" s="523"/>
      <c r="V36" s="482"/>
      <c r="W36" s="523"/>
      <c r="X36" s="482"/>
      <c r="Y36" s="523"/>
      <c r="Z36" s="482"/>
      <c r="AA36" s="523"/>
      <c r="AB36" s="482"/>
      <c r="AC36" s="1027"/>
      <c r="AD36" s="1027"/>
      <c r="AE36" s="1027"/>
      <c r="AF36" s="1035"/>
      <c r="AG36" s="1212"/>
    </row>
    <row r="37" spans="1:33" ht="15.75">
      <c r="A37" s="406" t="s">
        <v>275</v>
      </c>
      <c r="B37" s="140"/>
      <c r="C37" s="278">
        <v>8900</v>
      </c>
      <c r="D37" s="395"/>
      <c r="E37" s="377"/>
      <c r="F37" s="531" t="str">
        <f>IF($AE37&lt;1," ",IF(E37&lt;1," ",(E37)/$AE37))</f>
        <v xml:space="preserve"> </v>
      </c>
      <c r="G37" s="390"/>
      <c r="H37" s="531" t="str">
        <f>IF($AE37&lt;1," ",IF(G37&lt;1," ",(G37)/$AE37))</f>
        <v xml:space="preserve"> </v>
      </c>
      <c r="I37" s="390"/>
      <c r="J37" s="531" t="str">
        <f>IF($AE37&lt;1," ",IF(I37&lt;1," ",(I37)/$AE37))</f>
        <v xml:space="preserve"> </v>
      </c>
      <c r="K37" s="390"/>
      <c r="L37" s="531" t="str">
        <f>IF($AE37&lt;1," ",IF(K37&lt;1," ",(K37)/$AE37))</f>
        <v xml:space="preserve"> </v>
      </c>
      <c r="M37" s="390"/>
      <c r="N37" s="340" t="str">
        <f>IF($AE37&lt;1," ",IF(M37&lt;1," ",(M37)/$AE37))</f>
        <v xml:space="preserve"> </v>
      </c>
      <c r="O37" s="390"/>
      <c r="P37" s="340" t="str">
        <f>IF($AE37&lt;1," ",IF(O37&lt;1," ",(O37)/$AE37))</f>
        <v xml:space="preserve"> </v>
      </c>
      <c r="Q37" s="390"/>
      <c r="R37" s="340" t="str">
        <f>IF($AE37&lt;1," ",IF(Q37&lt;1," ",(Q37)/$AE37))</f>
        <v xml:space="preserve"> </v>
      </c>
      <c r="S37" s="390"/>
      <c r="T37" s="340" t="str">
        <f>IF($AE37&lt;1," ",IF(S37&lt;1," ",(S37)/$AE37))</f>
        <v xml:space="preserve"> </v>
      </c>
      <c r="U37" s="390"/>
      <c r="V37" s="340" t="str">
        <f>IF($AE37&lt;1," ",IF(U37&lt;1," ",(U37)/$AE37))</f>
        <v xml:space="preserve"> </v>
      </c>
      <c r="W37" s="390"/>
      <c r="X37" s="340" t="str">
        <f>IF($AE37&lt;1," ",IF(W37&lt;1," ",(W37)/$AE37))</f>
        <v xml:space="preserve"> </v>
      </c>
      <c r="Y37" s="390"/>
      <c r="Z37" s="340" t="str">
        <f>IF($AE37&lt;1," ",IF(Y37&lt;1," ",(Y37)/$AE37))</f>
        <v xml:space="preserve"> </v>
      </c>
      <c r="AA37" s="390"/>
      <c r="AB37" s="340" t="str">
        <f>IF($AE37&lt;1," ",IF(AA37&lt;1," ",(AA37)/$AE37))</f>
        <v xml:space="preserve"> </v>
      </c>
      <c r="AC37" s="1603">
        <f>AE37-(E37+G37+I37+K37+M37+O37+Q37+S37+U37+W37+Y37+AA37)</f>
        <v>0</v>
      </c>
      <c r="AD37" s="387">
        <f>+E37+G37+I37+K37+M37+O37+Q37+S37+U37+W37+Y37+AA37+AC37</f>
        <v>0</v>
      </c>
      <c r="AE37" s="387">
        <f>'1st Interim-Summary MYP'!I42</f>
        <v>0</v>
      </c>
      <c r="AF37" s="387">
        <f>+AE37-AD37</f>
        <v>0</v>
      </c>
      <c r="AG37" s="1212"/>
    </row>
    <row r="38" spans="1:33" ht="15.75">
      <c r="A38" s="406" t="s">
        <v>276</v>
      </c>
      <c r="B38" s="140"/>
      <c r="C38" s="278">
        <v>7600</v>
      </c>
      <c r="D38" s="395"/>
      <c r="E38" s="377"/>
      <c r="F38" s="531" t="str">
        <f>IF($AE38&lt;1," ",IF(E38&lt;1," ",(E38)/$AE38))</f>
        <v xml:space="preserve"> </v>
      </c>
      <c r="G38" s="390"/>
      <c r="H38" s="531" t="str">
        <f>IF($AE38&lt;1," ",IF(G38&lt;1," ",(G38)/$AE38))</f>
        <v xml:space="preserve"> </v>
      </c>
      <c r="I38" s="390"/>
      <c r="J38" s="531" t="str">
        <f>IF($AE38&lt;1," ",IF(I38&lt;1," ",(I38)/$AE38))</f>
        <v xml:space="preserve"> </v>
      </c>
      <c r="K38" s="390"/>
      <c r="L38" s="531" t="str">
        <f>IF($AE38&lt;1," ",IF(K38&lt;1," ",(K38)/$AE38))</f>
        <v xml:space="preserve"> </v>
      </c>
      <c r="M38" s="390"/>
      <c r="N38" s="340" t="str">
        <f>IF($AE38&lt;1," ",IF(M38&lt;1," ",(M38)/$AE38))</f>
        <v xml:space="preserve"> </v>
      </c>
      <c r="O38" s="390"/>
      <c r="P38" s="340" t="str">
        <f>IF($AE38&lt;1," ",IF(O38&lt;1," ",(O38)/$AE38))</f>
        <v xml:space="preserve"> </v>
      </c>
      <c r="Q38" s="390"/>
      <c r="R38" s="340" t="str">
        <f>IF($AE38&lt;1," ",IF(Q38&lt;1," ",(Q38)/$AE38))</f>
        <v xml:space="preserve"> </v>
      </c>
      <c r="S38" s="390"/>
      <c r="T38" s="340" t="str">
        <f>IF($AE38&lt;1," ",IF(S38&lt;1," ",(S38)/$AE38))</f>
        <v xml:space="preserve"> </v>
      </c>
      <c r="U38" s="390"/>
      <c r="V38" s="340" t="str">
        <f>IF($AE38&lt;1," ",IF(U38&lt;1," ",(U38)/$AE38))</f>
        <v xml:space="preserve"> </v>
      </c>
      <c r="W38" s="390"/>
      <c r="X38" s="340" t="str">
        <f>IF($AE38&lt;1," ",IF(W38&lt;1," ",(W38)/$AE38))</f>
        <v xml:space="preserve"> </v>
      </c>
      <c r="Y38" s="390"/>
      <c r="Z38" s="340" t="str">
        <f>IF($AE38&lt;1," ",IF(Y38&lt;1," ",(Y38)/$AE38))</f>
        <v xml:space="preserve"> </v>
      </c>
      <c r="AA38" s="390"/>
      <c r="AB38" s="340" t="str">
        <f>IF($AE38&lt;1," ",IF(AA38&lt;1," ",(AA38)/$AE38))</f>
        <v xml:space="preserve"> </v>
      </c>
      <c r="AC38" s="1603">
        <f>AE38-(E38+G38+I38+K38+M38+O38+Q38+S38+U38+W38+Y38+AA38)</f>
        <v>0</v>
      </c>
      <c r="AD38" s="387">
        <f>+E38+G38+I38+K38+M38+O38+Q38+S38+U38+W38+Y38+AA38+AC38</f>
        <v>0</v>
      </c>
      <c r="AE38" s="387">
        <f>'1st Interim-Summary MYP'!I43</f>
        <v>0</v>
      </c>
      <c r="AF38" s="387">
        <f>+AE38-AD38</f>
        <v>0</v>
      </c>
      <c r="AG38" s="1212"/>
    </row>
    <row r="39" spans="1:33" ht="16.5" thickBot="1">
      <c r="A39" s="410" t="s">
        <v>277</v>
      </c>
      <c r="B39" s="382"/>
      <c r="C39" s="383"/>
      <c r="D39" s="383"/>
      <c r="E39" s="770">
        <f>+E37-E38</f>
        <v>0</v>
      </c>
      <c r="F39" s="532" t="str">
        <f>IF($AE39&lt;1," ",IF(E39&lt;1," ",(E39)/$AE39))</f>
        <v xml:space="preserve"> </v>
      </c>
      <c r="G39" s="771">
        <f>+G37-G38</f>
        <v>0</v>
      </c>
      <c r="H39" s="532" t="str">
        <f>IF($AE39&lt;1," ",IF(G39&lt;1," ",(G39)/$AE39))</f>
        <v xml:space="preserve"> </v>
      </c>
      <c r="I39" s="771">
        <f>+I37-I38</f>
        <v>0</v>
      </c>
      <c r="J39" s="532" t="str">
        <f>IF($AE39&lt;1," ",IF(I39&lt;1," ",(I39)/$AE39))</f>
        <v xml:space="preserve"> </v>
      </c>
      <c r="K39" s="771">
        <f>+K37-K38</f>
        <v>0</v>
      </c>
      <c r="L39" s="532" t="str">
        <f>IF($AE39&lt;1," ",IF(K39&lt;1," ",(K39)/$AE39))</f>
        <v xml:space="preserve"> </v>
      </c>
      <c r="M39" s="771">
        <f>+M37-M38</f>
        <v>0</v>
      </c>
      <c r="N39" s="388" t="str">
        <f>IF($AE39&lt;1," ",IF(M39&lt;1," ",(M39)/$AE39))</f>
        <v xml:space="preserve"> </v>
      </c>
      <c r="O39" s="771">
        <f>+O37-O38</f>
        <v>0</v>
      </c>
      <c r="P39" s="388" t="str">
        <f>IF($AE39&lt;1," ",IF(O39&lt;1," ",(O39)/$AE39))</f>
        <v xml:space="preserve"> </v>
      </c>
      <c r="Q39" s="771">
        <f>+Q37-Q38</f>
        <v>0</v>
      </c>
      <c r="R39" s="388" t="str">
        <f>IF($AE39&lt;1," ",IF(Q39&lt;1," ",(Q39)/$AE39))</f>
        <v xml:space="preserve"> </v>
      </c>
      <c r="S39" s="771">
        <f>+S37-S38</f>
        <v>0</v>
      </c>
      <c r="T39" s="388" t="str">
        <f>IF($AE39&lt;1," ",IF(S39&lt;1," ",(S39)/$AE39))</f>
        <v xml:space="preserve"> </v>
      </c>
      <c r="U39" s="771">
        <f>+U37-U38</f>
        <v>0</v>
      </c>
      <c r="V39" s="388" t="str">
        <f>IF($AE39&lt;1," ",IF(U39&lt;1," ",(U39)/$AE39))</f>
        <v xml:space="preserve"> </v>
      </c>
      <c r="W39" s="771">
        <f>+W37-W38</f>
        <v>0</v>
      </c>
      <c r="X39" s="388" t="str">
        <f>IF($AE39&lt;1," ",IF(W39&lt;1," ",(W39)/$AE39))</f>
        <v xml:space="preserve"> </v>
      </c>
      <c r="Y39" s="771">
        <f>+Y37-Y38</f>
        <v>0</v>
      </c>
      <c r="Z39" s="388" t="str">
        <f>IF($AE39&lt;1," ",IF(Y39&lt;1," ",(Y39)/$AE39))</f>
        <v xml:space="preserve"> </v>
      </c>
      <c r="AA39" s="771">
        <f>+AA37-AA38</f>
        <v>0</v>
      </c>
      <c r="AB39" s="388" t="str">
        <f>IF($AE39&lt;1," ",IF(AA39&lt;1," ",(AA39)/$AE39))</f>
        <v xml:space="preserve"> </v>
      </c>
      <c r="AC39" s="1602">
        <f>+AC37-AC38</f>
        <v>0</v>
      </c>
      <c r="AD39" s="773">
        <f>+AD37-AD38</f>
        <v>0</v>
      </c>
      <c r="AE39" s="773">
        <f>+AE37-AE38</f>
        <v>0</v>
      </c>
      <c r="AF39" s="773">
        <f>+AF37-AF38</f>
        <v>0</v>
      </c>
      <c r="AG39" s="1212"/>
    </row>
    <row r="40" spans="1:33" ht="15.75" customHeight="1">
      <c r="A40" s="409"/>
      <c r="B40" s="182"/>
      <c r="C40" s="22"/>
      <c r="D40" s="1845" t="s">
        <v>425</v>
      </c>
      <c r="E40" s="48"/>
      <c r="F40" s="535" t="s">
        <v>426</v>
      </c>
      <c r="G40" s="393"/>
      <c r="H40" s="535" t="s">
        <v>426</v>
      </c>
      <c r="I40" s="393"/>
      <c r="J40" s="535" t="s">
        <v>426</v>
      </c>
      <c r="K40" s="393"/>
      <c r="L40" s="535" t="s">
        <v>426</v>
      </c>
      <c r="M40" s="393"/>
      <c r="N40" s="1050" t="s">
        <v>426</v>
      </c>
      <c r="O40" s="393"/>
      <c r="P40" s="198" t="s">
        <v>426</v>
      </c>
      <c r="Q40" s="393"/>
      <c r="R40" s="534" t="s">
        <v>426</v>
      </c>
      <c r="S40" s="393"/>
      <c r="T40" s="198" t="s">
        <v>426</v>
      </c>
      <c r="U40" s="393"/>
      <c r="V40" s="198" t="s">
        <v>426</v>
      </c>
      <c r="W40" s="393"/>
      <c r="X40" s="198" t="s">
        <v>426</v>
      </c>
      <c r="Y40" s="393"/>
      <c r="Z40" s="198" t="s">
        <v>426</v>
      </c>
      <c r="AA40" s="393"/>
      <c r="AB40" s="198" t="s">
        <v>426</v>
      </c>
      <c r="AC40" s="1604"/>
      <c r="AD40" s="1034"/>
      <c r="AE40" s="1813" t="s">
        <v>427</v>
      </c>
      <c r="AF40" s="1040"/>
    </row>
    <row r="41" spans="1:33" ht="15.75">
      <c r="A41" s="66" t="s">
        <v>428</v>
      </c>
      <c r="B41" s="180"/>
      <c r="C41" s="22"/>
      <c r="D41" s="1846"/>
      <c r="E41" s="48"/>
      <c r="F41" s="535" t="s">
        <v>429</v>
      </c>
      <c r="G41" s="393"/>
      <c r="H41" s="535" t="s">
        <v>429</v>
      </c>
      <c r="I41" s="393"/>
      <c r="J41" s="535" t="s">
        <v>429</v>
      </c>
      <c r="K41" s="393"/>
      <c r="L41" s="535" t="s">
        <v>429</v>
      </c>
      <c r="M41" s="393"/>
      <c r="N41" s="1050" t="s">
        <v>429</v>
      </c>
      <c r="O41" s="393"/>
      <c r="P41" s="198" t="s">
        <v>429</v>
      </c>
      <c r="Q41" s="393"/>
      <c r="R41" s="535" t="s">
        <v>429</v>
      </c>
      <c r="S41" s="393"/>
      <c r="T41" s="198" t="s">
        <v>429</v>
      </c>
      <c r="U41" s="393"/>
      <c r="V41" s="198" t="s">
        <v>429</v>
      </c>
      <c r="W41" s="393"/>
      <c r="X41" s="198" t="s">
        <v>429</v>
      </c>
      <c r="Y41" s="393"/>
      <c r="Z41" s="198" t="s">
        <v>429</v>
      </c>
      <c r="AA41" s="393"/>
      <c r="AB41" s="198" t="s">
        <v>429</v>
      </c>
      <c r="AC41" s="1604"/>
      <c r="AD41" s="1034"/>
      <c r="AE41" s="1813"/>
      <c r="AF41" s="774"/>
    </row>
    <row r="42" spans="1:33" ht="15.75">
      <c r="A42" s="68"/>
      <c r="B42" s="182"/>
      <c r="C42" s="22"/>
      <c r="D42" s="1847"/>
      <c r="E42" s="48"/>
      <c r="F42" s="536"/>
      <c r="G42" s="393"/>
      <c r="H42" s="536"/>
      <c r="I42" s="393"/>
      <c r="J42" s="536"/>
      <c r="K42" s="393"/>
      <c r="L42" s="536"/>
      <c r="M42" s="393"/>
      <c r="N42" s="1051"/>
      <c r="O42" s="393"/>
      <c r="P42" s="194"/>
      <c r="Q42" s="393"/>
      <c r="R42" s="536"/>
      <c r="S42" s="393"/>
      <c r="T42" s="194"/>
      <c r="U42" s="393"/>
      <c r="V42" s="194"/>
      <c r="W42" s="393"/>
      <c r="X42" s="194"/>
      <c r="Y42" s="393"/>
      <c r="Z42" s="194"/>
      <c r="AA42" s="393"/>
      <c r="AB42" s="194"/>
      <c r="AC42" s="1604"/>
      <c r="AD42" s="1034"/>
      <c r="AE42" s="1813"/>
      <c r="AF42" s="774"/>
    </row>
    <row r="43" spans="1:33" ht="15.75" customHeight="1">
      <c r="A43" s="411" t="s">
        <v>430</v>
      </c>
      <c r="B43" s="396"/>
      <c r="C43" s="623">
        <v>9210</v>
      </c>
      <c r="D43" s="1018"/>
      <c r="E43" s="397">
        <v>345030</v>
      </c>
      <c r="F43" s="531" t="str">
        <f>IF($D43&lt;1," ",IF(E43&lt;1," ",(E43)/$D43))</f>
        <v xml:space="preserve"> </v>
      </c>
      <c r="G43" s="398">
        <v>854628.72872082866</v>
      </c>
      <c r="H43" s="531" t="str">
        <f>IF($D43&lt;1," ",IF(G43&lt;1," ",(G43)/$D43))</f>
        <v xml:space="preserve"> </v>
      </c>
      <c r="I43" s="398">
        <v>358504.0037208288</v>
      </c>
      <c r="J43" s="531" t="str">
        <f>IF($D43&lt;1," ",IF(I43&lt;1," ",(I43)/$D43))</f>
        <v xml:space="preserve"> </v>
      </c>
      <c r="K43" s="398"/>
      <c r="L43" s="531" t="str">
        <f>IF($D43&lt;1," ",IF(K43&lt;1," ",(K43)/$D43))</f>
        <v xml:space="preserve"> </v>
      </c>
      <c r="M43" s="398"/>
      <c r="N43" s="340" t="str">
        <f>IF($D43&lt;1," ",IF(M43&lt;1," ",(M43)/$D43))</f>
        <v xml:space="preserve"> </v>
      </c>
      <c r="O43" s="398"/>
      <c r="P43" s="340" t="str">
        <f>IF($D43&lt;1," ",IF(O43&lt;1," ",(O43)/$D43))</f>
        <v xml:space="preserve"> </v>
      </c>
      <c r="Q43" s="398"/>
      <c r="R43" s="531" t="str">
        <f>IF($D43&lt;1," ",IF(Q43&lt;1," ",(Q43)/$D43))</f>
        <v xml:space="preserve"> </v>
      </c>
      <c r="S43" s="398"/>
      <c r="T43" s="340" t="str">
        <f>IF($D43&lt;1," ",IF(S43&lt;1," ",(S43)/$D43))</f>
        <v xml:space="preserve"> </v>
      </c>
      <c r="U43" s="398"/>
      <c r="V43" s="340" t="str">
        <f>IF($D43&lt;1," ",IF(U43&lt;1," ",(U43)/$D43))</f>
        <v xml:space="preserve"> </v>
      </c>
      <c r="W43" s="398"/>
      <c r="X43" s="340" t="str">
        <f>IF($D43&lt;1," ",IF(W43&lt;1," ",(W43)/$D43))</f>
        <v xml:space="preserve"> </v>
      </c>
      <c r="Y43" s="398"/>
      <c r="Z43" s="340" t="str">
        <f>IF($D43&lt;1," ",IF(Y43&lt;1," ",(Y43)/$D43))</f>
        <v xml:space="preserve"> </v>
      </c>
      <c r="AA43" s="398"/>
      <c r="AB43" s="340" t="str">
        <f>IF($D43&lt;1," ",IF(AA43&lt;1," ",(AA43)/$D43))</f>
        <v xml:space="preserve"> </v>
      </c>
      <c r="AC43" s="1605"/>
      <c r="AD43" s="1608">
        <f>+E43+G43+I43+K43+M43+O43+Q43+S43+U43+W43+Y43+AA43</f>
        <v>1558162.7324416575</v>
      </c>
      <c r="AE43" s="399">
        <f>D43-AD43</f>
        <v>-1558162.7324416575</v>
      </c>
      <c r="AF43" s="774"/>
      <c r="AG43" s="1609" t="str">
        <f>IF(AD43=D43,"","Prior Year Transactions should be zero'd out by Year End")</f>
        <v>Prior Year Transactions should be zero'd out by Year End</v>
      </c>
    </row>
    <row r="44" spans="1:33" ht="15.75">
      <c r="A44" s="411" t="s">
        <v>292</v>
      </c>
      <c r="B44" s="396"/>
      <c r="C44" s="623">
        <v>9330</v>
      </c>
      <c r="D44" s="1018"/>
      <c r="E44" s="397"/>
      <c r="F44" s="531" t="str">
        <f>IF($D44&lt;1," ",IF(E44&lt;1," ",(E44)/$D44))</f>
        <v xml:space="preserve"> </v>
      </c>
      <c r="G44" s="398"/>
      <c r="H44" s="531" t="str">
        <f>IF($D44&lt;1," ",IF(G44&lt;1," ",(G44)/$D44))</f>
        <v xml:space="preserve"> </v>
      </c>
      <c r="I44" s="398"/>
      <c r="J44" s="531" t="str">
        <f>IF($D44&lt;1," ",IF(I44&lt;1," ",(I44)/$D44))</f>
        <v xml:space="preserve"> </v>
      </c>
      <c r="K44" s="398"/>
      <c r="L44" s="531" t="str">
        <f>IF($D44&lt;1," ",IF(K44&lt;1," ",(K44)/$D44))</f>
        <v xml:space="preserve"> </v>
      </c>
      <c r="M44" s="398"/>
      <c r="N44" s="340" t="str">
        <f>IF($D44&lt;1," ",IF(M44&lt;1," ",(M44)/$D44))</f>
        <v xml:space="preserve"> </v>
      </c>
      <c r="O44" s="398"/>
      <c r="P44" s="340" t="str">
        <f>IF($D44&lt;1," ",IF(O44&lt;1," ",(O44)/$D44))</f>
        <v xml:space="preserve"> </v>
      </c>
      <c r="Q44" s="398"/>
      <c r="R44" s="531" t="str">
        <f>IF($D44&lt;1," ",IF(Q44&lt;1," ",(Q44)/$D44))</f>
        <v xml:space="preserve"> </v>
      </c>
      <c r="S44" s="398"/>
      <c r="T44" s="340" t="str">
        <f>IF($D44&lt;1," ",IF(S44&lt;1," ",(S44)/$D44))</f>
        <v xml:space="preserve"> </v>
      </c>
      <c r="U44" s="398"/>
      <c r="V44" s="340" t="str">
        <f>IF($D44&lt;1," ",IF(U44&lt;1," ",(U44)/$D44))</f>
        <v xml:space="preserve"> </v>
      </c>
      <c r="W44" s="398"/>
      <c r="X44" s="340" t="str">
        <f>IF($D44&lt;1," ",IF(W44&lt;1," ",(W44)/$D44))</f>
        <v xml:space="preserve"> </v>
      </c>
      <c r="Y44" s="398"/>
      <c r="Z44" s="340" t="str">
        <f>IF($D44&lt;1," ",IF(Y44&lt;1," ",(Y44)/$D44))</f>
        <v xml:space="preserve"> </v>
      </c>
      <c r="AA44" s="398"/>
      <c r="AB44" s="340" t="str">
        <f>IF($D44&lt;1," ",IF(AA44&lt;1," ",(AA44)/$D44))</f>
        <v xml:space="preserve"> </v>
      </c>
      <c r="AC44" s="1605"/>
      <c r="AD44" s="1608">
        <f>+E44+G44+I44+K44+M44+O44+Q44+S44+U44+W44+Y44+AA44</f>
        <v>0</v>
      </c>
      <c r="AE44" s="399">
        <f>D44-AD44</f>
        <v>0</v>
      </c>
      <c r="AF44" s="774"/>
      <c r="AG44" s="1609" t="str">
        <f>IF(AD44=D44,"","Prior Year Transactions should be zero'd out by Year End")</f>
        <v/>
      </c>
    </row>
    <row r="45" spans="1:33" ht="15.75">
      <c r="A45" s="411" t="s">
        <v>431</v>
      </c>
      <c r="B45" s="396"/>
      <c r="C45" s="623">
        <v>9510</v>
      </c>
      <c r="D45" s="1018"/>
      <c r="E45" s="397">
        <v>16986</v>
      </c>
      <c r="F45" s="531" t="str">
        <f>IF($D45&lt;1," ",IF(E45&lt;1," ",(E45)/$D45))</f>
        <v xml:space="preserve"> </v>
      </c>
      <c r="G45" s="398"/>
      <c r="H45" s="531" t="str">
        <f>IF($D45&lt;1," ",IF(G45&lt;1," ",(G45)/$D45))</f>
        <v xml:space="preserve"> </v>
      </c>
      <c r="I45" s="398"/>
      <c r="J45" s="531" t="str">
        <f>IF($D45&lt;1," ",IF(I45&lt;1," ",(I45)/$D45))</f>
        <v xml:space="preserve"> </v>
      </c>
      <c r="K45" s="398"/>
      <c r="L45" s="531" t="str">
        <f>IF($D45&lt;1," ",IF(K45&lt;1," ",(K45)/$D45))</f>
        <v xml:space="preserve"> </v>
      </c>
      <c r="M45" s="398"/>
      <c r="N45" s="340" t="str">
        <f>IF($D45&lt;1," ",IF(M45&lt;1," ",(M45)/$D45))</f>
        <v xml:space="preserve"> </v>
      </c>
      <c r="O45" s="398"/>
      <c r="P45" s="340" t="str">
        <f>IF($D45&lt;1," ",IF(O45&lt;1," ",(O45)/$D45))</f>
        <v xml:space="preserve"> </v>
      </c>
      <c r="Q45" s="398"/>
      <c r="R45" s="531" t="str">
        <f>IF($D45&lt;1," ",IF(Q45&lt;1," ",(Q45)/$D45))</f>
        <v xml:space="preserve"> </v>
      </c>
      <c r="S45" s="398"/>
      <c r="T45" s="340" t="str">
        <f>IF($D45&lt;1," ",IF(S45&lt;1," ",(S45)/$D45))</f>
        <v xml:space="preserve"> </v>
      </c>
      <c r="U45" s="398"/>
      <c r="V45" s="340" t="str">
        <f>IF($D45&lt;1," ",IF(U45&lt;1," ",(U45)/$D45))</f>
        <v xml:space="preserve"> </v>
      </c>
      <c r="W45" s="398"/>
      <c r="X45" s="340" t="str">
        <f>IF($D45&lt;1," ",IF(W45&lt;1," ",(W45)/$D45))</f>
        <v xml:space="preserve"> </v>
      </c>
      <c r="Y45" s="398"/>
      <c r="Z45" s="340" t="str">
        <f>IF($D45&lt;1," ",IF(Y45&lt;1," ",(Y45)/$D45))</f>
        <v xml:space="preserve"> </v>
      </c>
      <c r="AA45" s="398"/>
      <c r="AB45" s="340" t="str">
        <f>IF($D45&lt;1," ",IF(AA45&lt;1," ",(AA45)/$D45))</f>
        <v xml:space="preserve"> </v>
      </c>
      <c r="AC45" s="1605"/>
      <c r="AD45" s="1608">
        <f>+E45+G45+I45+K45+M45+O45+Q45+S45+U45+W45+Y45+AA45</f>
        <v>16986</v>
      </c>
      <c r="AE45" s="399">
        <f>D45-AD45</f>
        <v>-16986</v>
      </c>
      <c r="AF45" s="774"/>
      <c r="AG45" s="1609" t="str">
        <f>IF(AD45=D45,"","Prior Year Transactions should be zero'd out by Year End")</f>
        <v>Prior Year Transactions should be zero'd out by Year End</v>
      </c>
    </row>
    <row r="46" spans="1:33" ht="15.75">
      <c r="A46" s="411" t="s">
        <v>432</v>
      </c>
      <c r="B46" s="396"/>
      <c r="C46" s="624">
        <v>9640</v>
      </c>
      <c r="D46" s="1019"/>
      <c r="E46" s="397"/>
      <c r="F46" s="531" t="str">
        <f>IF($D46&lt;1," ",IF(E46&lt;1," ",(E46)/$D46))</f>
        <v xml:space="preserve"> </v>
      </c>
      <c r="G46" s="398"/>
      <c r="H46" s="531" t="str">
        <f>IF($D46&lt;1," ",IF(G46&lt;1," ",(G46)/$D46))</f>
        <v xml:space="preserve"> </v>
      </c>
      <c r="I46" s="398"/>
      <c r="J46" s="531" t="str">
        <f>IF($D46&lt;1," ",IF(I46&lt;1," ",(I46)/$D46))</f>
        <v xml:space="preserve"> </v>
      </c>
      <c r="K46" s="398"/>
      <c r="L46" s="531" t="str">
        <f>IF($D46&lt;1," ",IF(K46&lt;1," ",(K46)/$D46))</f>
        <v xml:space="preserve"> </v>
      </c>
      <c r="M46" s="398"/>
      <c r="N46" s="340" t="str">
        <f>IF($D46&lt;1," ",IF(M46&lt;1," ",(M46)/$D46))</f>
        <v xml:space="preserve"> </v>
      </c>
      <c r="O46" s="398"/>
      <c r="P46" s="340" t="str">
        <f>IF($D46&lt;1," ",IF(O46&lt;1," ",(O46)/$D46))</f>
        <v xml:space="preserve"> </v>
      </c>
      <c r="Q46" s="398"/>
      <c r="R46" s="531" t="str">
        <f>IF($D46&lt;1," ",IF(Q46&lt;1," ",(Q46)/$D46))</f>
        <v xml:space="preserve"> </v>
      </c>
      <c r="S46" s="398"/>
      <c r="T46" s="340" t="str">
        <f>IF($D46&lt;1," ",IF(S46&lt;1," ",(S46)/$D46))</f>
        <v xml:space="preserve"> </v>
      </c>
      <c r="U46" s="398"/>
      <c r="V46" s="340" t="str">
        <f>IF($D46&lt;1," ",IF(U46&lt;1," ",(U46)/$D46))</f>
        <v xml:space="preserve"> </v>
      </c>
      <c r="W46" s="398"/>
      <c r="X46" s="340" t="str">
        <f>IF($D46&lt;1," ",IF(W46&lt;1," ",(W46)/$D46))</f>
        <v xml:space="preserve"> </v>
      </c>
      <c r="Y46" s="398"/>
      <c r="Z46" s="340" t="str">
        <f>IF($D46&lt;1," ",IF(Y46&lt;1," ",(Y46)/$D46))</f>
        <v xml:space="preserve"> </v>
      </c>
      <c r="AA46" s="398"/>
      <c r="AB46" s="340" t="str">
        <f>IF($D46&lt;1," ",IF(AA46&lt;1," ",(AA46)/$D46))</f>
        <v xml:space="preserve"> </v>
      </c>
      <c r="AC46" s="1605"/>
      <c r="AD46" s="1608">
        <f>+E46+G46+I46+K46+M46+O46+Q46+S46+U46+W46+Y46+AA46</f>
        <v>0</v>
      </c>
      <c r="AE46" s="399">
        <f>D46-AD46</f>
        <v>0</v>
      </c>
      <c r="AF46" s="774"/>
      <c r="AG46" s="1609" t="str">
        <f>IF(AD46=D46,"","Prior Year Transactions should be zero'd out by Year End")</f>
        <v/>
      </c>
    </row>
    <row r="47" spans="1:33" ht="15.75">
      <c r="A47" s="411" t="s">
        <v>433</v>
      </c>
      <c r="B47" s="396"/>
      <c r="C47" s="623">
        <v>9650</v>
      </c>
      <c r="D47" s="1018"/>
      <c r="E47" s="397"/>
      <c r="F47" s="531" t="str">
        <f>IF($D47&lt;1," ",IF(E47&lt;1," ",(E47)/$D47))</f>
        <v xml:space="preserve"> </v>
      </c>
      <c r="G47" s="398"/>
      <c r="H47" s="531" t="str">
        <f>IF($D47&lt;1," ",IF(G47&lt;1," ",(G47)/$D47))</f>
        <v xml:space="preserve"> </v>
      </c>
      <c r="I47" s="398"/>
      <c r="J47" s="531" t="str">
        <f>IF($D47&lt;1," ",IF(I47&lt;1," ",(I47)/$D47))</f>
        <v xml:space="preserve"> </v>
      </c>
      <c r="K47" s="398"/>
      <c r="L47" s="531" t="str">
        <f>IF($D47&lt;1," ",IF(K47&lt;1," ",(K47)/$D47))</f>
        <v xml:space="preserve"> </v>
      </c>
      <c r="M47" s="398"/>
      <c r="N47" s="340" t="str">
        <f>IF($D47&lt;1," ",IF(M47&lt;1," ",(M47)/$D47))</f>
        <v xml:space="preserve"> </v>
      </c>
      <c r="O47" s="398"/>
      <c r="P47" s="340" t="str">
        <f>IF($D47&lt;1," ",IF(O47&lt;1," ",(O47)/$D47))</f>
        <v xml:space="preserve"> </v>
      </c>
      <c r="Q47" s="398"/>
      <c r="R47" s="531" t="str">
        <f>IF($D47&lt;1," ",IF(Q47&lt;1," ",(Q47)/$D47))</f>
        <v xml:space="preserve"> </v>
      </c>
      <c r="S47" s="398"/>
      <c r="T47" s="340" t="str">
        <f>IF($D47&lt;1," ",IF(S47&lt;1," ",(S47)/$D47))</f>
        <v xml:space="preserve"> </v>
      </c>
      <c r="U47" s="398"/>
      <c r="V47" s="340" t="str">
        <f>IF($D47&lt;1," ",IF(U47&lt;1," ",(U47)/$D47))</f>
        <v xml:space="preserve"> </v>
      </c>
      <c r="W47" s="398"/>
      <c r="X47" s="340" t="str">
        <f>IF($D47&lt;1," ",IF(W47&lt;1," ",(W47)/$D47))</f>
        <v xml:space="preserve"> </v>
      </c>
      <c r="Y47" s="398"/>
      <c r="Z47" s="340" t="str">
        <f>IF($D47&lt;1," ",IF(Y47&lt;1," ",(Y47)/$D47))</f>
        <v xml:space="preserve"> </v>
      </c>
      <c r="AA47" s="398"/>
      <c r="AB47" s="340" t="str">
        <f>IF($D47&lt;1," ",IF(AA47&lt;1," ",(AA47)/$D47))</f>
        <v xml:space="preserve"> </v>
      </c>
      <c r="AC47" s="1605"/>
      <c r="AD47" s="1608">
        <f>+E47+G47+I47+K47+M47+O47+Q47+S47+U47+W47+Y47+AA47</f>
        <v>0</v>
      </c>
      <c r="AE47" s="399">
        <f>D47-AD47</f>
        <v>0</v>
      </c>
      <c r="AF47" s="774"/>
      <c r="AG47" s="1609" t="str">
        <f>IF(AD47=D47,"","Prior Year Transactions should be zero'd out by Year End")</f>
        <v/>
      </c>
    </row>
    <row r="48" spans="1:33" ht="16.5" thickBot="1">
      <c r="A48" s="69" t="s">
        <v>434</v>
      </c>
      <c r="B48" s="369"/>
      <c r="C48" s="70"/>
      <c r="D48" s="1044">
        <f>+D43+D44-D45-D46-D47</f>
        <v>0</v>
      </c>
      <c r="E48" s="1049">
        <f>+E43+E44-E45-E46-E47</f>
        <v>328044</v>
      </c>
      <c r="F48" s="537"/>
      <c r="G48" s="1053">
        <f>+G43+G44-G45-G46-G47</f>
        <v>854628.72872082866</v>
      </c>
      <c r="H48" s="537"/>
      <c r="I48" s="1053">
        <f>+I43+I44-I45-I46-I47</f>
        <v>358504.0037208288</v>
      </c>
      <c r="J48" s="537"/>
      <c r="K48" s="1053">
        <f>+K43+K44-K45-K46-K47</f>
        <v>0</v>
      </c>
      <c r="L48" s="537"/>
      <c r="M48" s="1053">
        <f>+M43+M44-M45-M46-M47</f>
        <v>0</v>
      </c>
      <c r="N48" s="197"/>
      <c r="O48" s="1053">
        <f>+O43+O44-O45-O46-O47</f>
        <v>0</v>
      </c>
      <c r="P48" s="197"/>
      <c r="Q48" s="1053">
        <f>+Q43+Q44-Q45-Q46-Q47</f>
        <v>0</v>
      </c>
      <c r="R48" s="537"/>
      <c r="S48" s="1053">
        <f>+S43+S44-S45-S46-S47</f>
        <v>0</v>
      </c>
      <c r="T48" s="197"/>
      <c r="U48" s="1053">
        <f>+U43+U44-U45-U46-U47</f>
        <v>0</v>
      </c>
      <c r="V48" s="197"/>
      <c r="W48" s="1053">
        <f>+W43+W44-W45-W46-W47</f>
        <v>0</v>
      </c>
      <c r="X48" s="197"/>
      <c r="Y48" s="1053">
        <f>+Y43+Y44-Y45-Y46-Y47</f>
        <v>0</v>
      </c>
      <c r="Z48" s="197"/>
      <c r="AA48" s="1053">
        <f>+AA43+AA44-AA45-AA46-AA47</f>
        <v>0</v>
      </c>
      <c r="AB48" s="197"/>
      <c r="AC48" s="1602"/>
      <c r="AD48" s="773">
        <f>+AD43+AD44-AD45-AD46-AD47</f>
        <v>1541176.7324416575</v>
      </c>
      <c r="AE48" s="773">
        <f>+AE43+AE44-AE45-AE46-AE47</f>
        <v>-1541176.7324416575</v>
      </c>
      <c r="AF48" s="1041"/>
    </row>
    <row r="49" spans="1:33" ht="15.75">
      <c r="A49" s="407"/>
      <c r="B49" s="370"/>
      <c r="C49" s="71"/>
      <c r="D49" s="71"/>
      <c r="E49" s="76"/>
      <c r="F49" s="196"/>
      <c r="G49" s="192"/>
      <c r="H49" s="196"/>
      <c r="I49" s="192"/>
      <c r="J49" s="196"/>
      <c r="K49" s="192"/>
      <c r="L49" s="196"/>
      <c r="M49" s="192"/>
      <c r="N49" s="196"/>
      <c r="O49" s="192"/>
      <c r="P49" s="196"/>
      <c r="Q49" s="192"/>
      <c r="R49" s="196"/>
      <c r="S49" s="192"/>
      <c r="T49" s="196"/>
      <c r="U49" s="192"/>
      <c r="V49" s="196"/>
      <c r="W49" s="192"/>
      <c r="X49" s="196"/>
      <c r="Y49" s="192"/>
      <c r="Z49" s="196"/>
      <c r="AA49" s="192"/>
      <c r="AB49" s="196"/>
      <c r="AC49" s="1023"/>
      <c r="AD49" s="1023"/>
      <c r="AE49" s="1023"/>
      <c r="AF49" s="1039"/>
    </row>
    <row r="50" spans="1:33" ht="15.75">
      <c r="A50" s="66" t="s">
        <v>435</v>
      </c>
      <c r="B50" s="180"/>
      <c r="C50" s="373"/>
      <c r="D50" s="373"/>
      <c r="E50" s="545"/>
      <c r="F50" s="530"/>
      <c r="G50" s="525"/>
      <c r="H50" s="530"/>
      <c r="I50" s="525"/>
      <c r="J50" s="530"/>
      <c r="K50" s="525"/>
      <c r="L50" s="530"/>
      <c r="M50" s="525"/>
      <c r="N50" s="530"/>
      <c r="O50" s="525"/>
      <c r="P50" s="530"/>
      <c r="Q50" s="525"/>
      <c r="R50" s="530"/>
      <c r="S50" s="525"/>
      <c r="T50" s="530"/>
      <c r="U50" s="525"/>
      <c r="V50" s="530"/>
      <c r="W50" s="525"/>
      <c r="X50" s="530"/>
      <c r="Y50" s="525"/>
      <c r="Z50" s="530"/>
      <c r="AA50" s="525"/>
      <c r="AB50" s="530"/>
      <c r="AC50" s="1027"/>
      <c r="AD50" s="1027"/>
      <c r="AE50" s="1027"/>
      <c r="AF50" s="1035"/>
    </row>
    <row r="51" spans="1:33" ht="15.75">
      <c r="A51" s="1806" t="s">
        <v>436</v>
      </c>
      <c r="B51" s="1807"/>
      <c r="C51" s="376"/>
      <c r="D51" s="376"/>
      <c r="E51" s="397">
        <v>500000</v>
      </c>
      <c r="F51" s="531" t="str">
        <f>IF($AE51&lt;1," ",IF(E51&lt;1," ",(E51)/$AE51))</f>
        <v xml:space="preserve"> </v>
      </c>
      <c r="G51" s="398">
        <v>500000</v>
      </c>
      <c r="H51" s="531" t="str">
        <f>IF($AE51&lt;1," ",IF(G51&lt;1," ",(G51)/$AE51))</f>
        <v xml:space="preserve"> </v>
      </c>
      <c r="I51" s="398">
        <v>500000</v>
      </c>
      <c r="J51" s="531" t="str">
        <f>IF($AE51&lt;1," ",IF(I51&lt;1," ",(I51)/$AE51))</f>
        <v xml:space="preserve"> </v>
      </c>
      <c r="K51" s="398">
        <v>1000000</v>
      </c>
      <c r="L51" s="531" t="str">
        <f>IF($AE51&lt;1," ",IF(K51&lt;1," ",(K51)/$AE51))</f>
        <v xml:space="preserve"> </v>
      </c>
      <c r="M51" s="398">
        <v>500000</v>
      </c>
      <c r="N51" s="340" t="str">
        <f>IF($AE51&lt;1," ",IF(M51&lt;1," ",(M51)/$AE51))</f>
        <v xml:space="preserve"> </v>
      </c>
      <c r="O51" s="398">
        <v>0</v>
      </c>
      <c r="P51" s="340" t="str">
        <f>IF($AE51&lt;1," ",IF(O51&lt;1," ",(O51)/$AE51))</f>
        <v xml:space="preserve"> </v>
      </c>
      <c r="Q51" s="398">
        <v>1000000</v>
      </c>
      <c r="R51" s="531" t="str">
        <f>IF($AE51&lt;1," ",IF(Q51&lt;1," ",(Q51)/$AE51))</f>
        <v xml:space="preserve"> </v>
      </c>
      <c r="S51" s="398">
        <v>750000</v>
      </c>
      <c r="T51" s="340" t="str">
        <f>IF($AE51&lt;1," ",IF(S51&lt;1," ",(S51)/$AE51))</f>
        <v xml:space="preserve"> </v>
      </c>
      <c r="U51" s="398">
        <v>0</v>
      </c>
      <c r="V51" s="340" t="str">
        <f>IF($AE51&lt;1," ",IF(U51&lt;1," ",(U51)/$AE51))</f>
        <v xml:space="preserve"> </v>
      </c>
      <c r="W51" s="398">
        <v>1000000</v>
      </c>
      <c r="X51" s="340" t="str">
        <f>IF($AE51&lt;1," ",IF(W51&lt;1," ",(W51)/$AE51))</f>
        <v xml:space="preserve"> </v>
      </c>
      <c r="Y51" s="398">
        <v>750000</v>
      </c>
      <c r="Z51" s="340" t="str">
        <f>IF($AE51&lt;1," ",IF(Y51&lt;1," ",(Y51)/$AE51))</f>
        <v xml:space="preserve"> </v>
      </c>
      <c r="AA51" s="398">
        <v>0</v>
      </c>
      <c r="AB51" s="340" t="str">
        <f>IF($AE51&lt;1," ",IF(AA51&lt;1," ",(AA51)/$AE51))</f>
        <v xml:space="preserve"> </v>
      </c>
      <c r="AC51" s="1605"/>
      <c r="AD51" s="379">
        <f>+E51+G51+I51+K51+M51+O51+Q51+S51+U51+W51+Y51+AA51+AC51</f>
        <v>6500000</v>
      </c>
      <c r="AE51" s="775"/>
      <c r="AF51" s="776"/>
      <c r="AG51" s="1212"/>
    </row>
    <row r="52" spans="1:33" ht="15.75">
      <c r="A52" s="1806" t="s">
        <v>437</v>
      </c>
      <c r="B52" s="1807"/>
      <c r="C52" s="395"/>
      <c r="D52" s="395"/>
      <c r="E52" s="397"/>
      <c r="F52" s="531" t="str">
        <f>IF($AE52&lt;1," ",IF(E52&lt;1," ",(E52)/$AE52))</f>
        <v xml:space="preserve"> </v>
      </c>
      <c r="G52" s="398">
        <v>-850000</v>
      </c>
      <c r="H52" s="531" t="str">
        <f>IF($AE52&lt;1," ",IF(G52&lt;1," ",(G52)/$AE52))</f>
        <v xml:space="preserve"> </v>
      </c>
      <c r="I52" s="398">
        <v>-950000</v>
      </c>
      <c r="J52" s="531" t="str">
        <f>IF($AE52&lt;1," ",IF(I52&lt;1," ",(I52)/$AE52))</f>
        <v xml:space="preserve"> </v>
      </c>
      <c r="K52" s="398">
        <v>-500000</v>
      </c>
      <c r="L52" s="531" t="str">
        <f>IF($AE52&lt;1," ",IF(K52&lt;1," ",(K52)/$AE52))</f>
        <v xml:space="preserve"> </v>
      </c>
      <c r="M52" s="398">
        <v>-500000</v>
      </c>
      <c r="N52" s="340" t="str">
        <f>IF($AE52&lt;1," ",IF(M52&lt;1," ",(M52)/$AE52))</f>
        <v xml:space="preserve"> </v>
      </c>
      <c r="O52" s="398">
        <v>-500000</v>
      </c>
      <c r="P52" s="340" t="str">
        <f>IF($AE52&lt;1," ",IF(O52&lt;1," ",(O52)/$AE52))</f>
        <v xml:space="preserve"> </v>
      </c>
      <c r="Q52" s="398">
        <v>-1000000</v>
      </c>
      <c r="R52" s="531" t="str">
        <f>IF($AE52&lt;1," ",IF(Q52&lt;1," ",(Q52)/$AE52))</f>
        <v xml:space="preserve"> </v>
      </c>
      <c r="S52" s="398">
        <v>-500000</v>
      </c>
      <c r="T52" s="340" t="str">
        <f>IF($AE52&lt;1," ",IF(S52&lt;1," ",(S52)/$AE52))</f>
        <v xml:space="preserve"> </v>
      </c>
      <c r="U52" s="398">
        <v>0</v>
      </c>
      <c r="V52" s="340" t="str">
        <f>IF($AE52&lt;1," ",IF(U52&lt;1," ",(U52)/$AE52))</f>
        <v xml:space="preserve"> </v>
      </c>
      <c r="W52" s="398">
        <v>-1000000</v>
      </c>
      <c r="X52" s="340" t="str">
        <f>IF($AE52&lt;1," ",IF(W52&lt;1," ",(W52)/$AE52))</f>
        <v xml:space="preserve"> </v>
      </c>
      <c r="Y52" s="398">
        <v>-750000</v>
      </c>
      <c r="Z52" s="340" t="str">
        <f>IF($AE52&lt;1," ",IF(Y52&lt;1," ",(Y52)/$AE52))</f>
        <v xml:space="preserve"> </v>
      </c>
      <c r="AA52" s="398">
        <v>-500000</v>
      </c>
      <c r="AB52" s="340" t="str">
        <f>IF($AE52&lt;1," ",IF(AA52&lt;1," ",(AA52)/$AE52))</f>
        <v xml:space="preserve"> </v>
      </c>
      <c r="AC52" s="1605"/>
      <c r="AD52" s="379">
        <f>+E52+G52+I52+K52+M52+O52+Q52+S52+U52+W52+Y52+AA52+AC52</f>
        <v>-7050000</v>
      </c>
      <c r="AE52" s="777"/>
      <c r="AF52" s="778"/>
      <c r="AG52" s="1240"/>
    </row>
    <row r="53" spans="1:33" ht="15.75">
      <c r="A53" s="1806"/>
      <c r="B53" s="1807"/>
      <c r="C53" s="376"/>
      <c r="D53" s="376"/>
      <c r="E53" s="397"/>
      <c r="F53" s="531" t="str">
        <f>IF($AE53&lt;1," ",IF(E53&lt;1," ",(E53)/$AE53))</f>
        <v xml:space="preserve"> </v>
      </c>
      <c r="G53" s="398"/>
      <c r="H53" s="531" t="str">
        <f>IF($AE53&lt;1," ",IF(G53&lt;1," ",(G53)/$AE53))</f>
        <v xml:space="preserve"> </v>
      </c>
      <c r="I53" s="398"/>
      <c r="J53" s="531" t="str">
        <f>IF($AE53&lt;1," ",IF(I53&lt;1," ",(I53)/$AE53))</f>
        <v xml:space="preserve"> </v>
      </c>
      <c r="K53" s="398"/>
      <c r="L53" s="531" t="str">
        <f>IF($AE53&lt;1," ",IF(K53&lt;1," ",(K53)/$AE53))</f>
        <v xml:space="preserve"> </v>
      </c>
      <c r="M53" s="398"/>
      <c r="N53" s="340" t="str">
        <f>IF($AE53&lt;1," ",IF(M53&lt;1," ",(M53)/$AE53))</f>
        <v xml:space="preserve"> </v>
      </c>
      <c r="O53" s="398"/>
      <c r="P53" s="340" t="str">
        <f>IF($AE53&lt;1," ",IF(O53&lt;1," ",(O53)/$AE53))</f>
        <v xml:space="preserve"> </v>
      </c>
      <c r="Q53" s="398"/>
      <c r="R53" s="531" t="str">
        <f>IF($AE53&lt;1," ",IF(Q53&lt;1," ",(Q53)/$AE53))</f>
        <v xml:space="preserve"> </v>
      </c>
      <c r="S53" s="398"/>
      <c r="T53" s="340" t="str">
        <f>IF($AE53&lt;1," ",IF(S53&lt;1," ",(S53)/$AE53))</f>
        <v xml:space="preserve"> </v>
      </c>
      <c r="U53" s="398"/>
      <c r="V53" s="340" t="str">
        <f>IF($AE53&lt;1," ",IF(U53&lt;1," ",(U53)/$AE53))</f>
        <v xml:space="preserve"> </v>
      </c>
      <c r="W53" s="398"/>
      <c r="X53" s="340" t="str">
        <f>IF($AE53&lt;1," ",IF(W53&lt;1," ",(W53)/$AE53))</f>
        <v xml:space="preserve"> </v>
      </c>
      <c r="Y53" s="398"/>
      <c r="Z53" s="340" t="str">
        <f>IF($AE53&lt;1," ",IF(Y53&lt;1," ",(Y53)/$AE53))</f>
        <v xml:space="preserve"> </v>
      </c>
      <c r="AA53" s="398"/>
      <c r="AB53" s="340" t="str">
        <f>IF($AE53&lt;1," ",IF(AA53&lt;1," ",(AA53)/$AE53))</f>
        <v xml:space="preserve"> </v>
      </c>
      <c r="AC53" s="1605"/>
      <c r="AD53" s="379">
        <f>+E53+G53+I53+K53+M53+O53+Q53+S53+U53+W53+Y53+AA53+AC53</f>
        <v>0</v>
      </c>
      <c r="AE53" s="777"/>
      <c r="AF53" s="778"/>
      <c r="AG53" s="1240"/>
    </row>
    <row r="54" spans="1:33" ht="15.75">
      <c r="A54" s="1806"/>
      <c r="B54" s="1807"/>
      <c r="C54" s="376"/>
      <c r="D54" s="376"/>
      <c r="E54" s="397"/>
      <c r="F54" s="531" t="str">
        <f>IF($AE54&lt;1," ",IF(E54&lt;1," ",(E54)/$AE54))</f>
        <v xml:space="preserve"> </v>
      </c>
      <c r="G54" s="398"/>
      <c r="H54" s="531" t="str">
        <f>IF($AE54&lt;1," ",IF(G54&lt;1," ",(G54)/$AE54))</f>
        <v xml:space="preserve"> </v>
      </c>
      <c r="I54" s="398"/>
      <c r="J54" s="531" t="str">
        <f>IF($AE54&lt;1," ",IF(I54&lt;1," ",(I54)/$AE54))</f>
        <v xml:space="preserve"> </v>
      </c>
      <c r="K54" s="398"/>
      <c r="L54" s="531" t="str">
        <f>IF($AE54&lt;1," ",IF(K54&lt;1," ",(K54)/$AE54))</f>
        <v xml:space="preserve"> </v>
      </c>
      <c r="M54" s="398"/>
      <c r="N54" s="340" t="str">
        <f>IF($AE54&lt;1," ",IF(M54&lt;1," ",(M54)/$AE54))</f>
        <v xml:space="preserve"> </v>
      </c>
      <c r="O54" s="398"/>
      <c r="P54" s="340" t="str">
        <f>IF($AE54&lt;1," ",IF(O54&lt;1," ",(O54)/$AE54))</f>
        <v xml:space="preserve"> </v>
      </c>
      <c r="Q54" s="398"/>
      <c r="R54" s="531" t="str">
        <f>IF($AE54&lt;1," ",IF(Q54&lt;1," ",(Q54)/$AE54))</f>
        <v xml:space="preserve"> </v>
      </c>
      <c r="S54" s="398"/>
      <c r="T54" s="340" t="str">
        <f>IF($AE54&lt;1," ",IF(S54&lt;1," ",(S54)/$AE54))</f>
        <v xml:space="preserve"> </v>
      </c>
      <c r="U54" s="398"/>
      <c r="V54" s="340" t="str">
        <f>IF($AE54&lt;1," ",IF(U54&lt;1," ",(U54)/$AE54))</f>
        <v xml:space="preserve"> </v>
      </c>
      <c r="W54" s="398"/>
      <c r="X54" s="340" t="str">
        <f>IF($AE54&lt;1," ",IF(W54&lt;1," ",(W54)/$AE54))</f>
        <v xml:space="preserve"> </v>
      </c>
      <c r="Y54" s="398"/>
      <c r="Z54" s="340" t="str">
        <f>IF($AE54&lt;1," ",IF(Y54&lt;1," ",(Y54)/$AE54))</f>
        <v xml:space="preserve"> </v>
      </c>
      <c r="AA54" s="398"/>
      <c r="AB54" s="340" t="str">
        <f>IF($AE54&lt;1," ",IF(AA54&lt;1," ",(AA54)/$AE54))</f>
        <v xml:space="preserve"> </v>
      </c>
      <c r="AC54" s="1605"/>
      <c r="AD54" s="379">
        <f>+E54+G54+I54+K54+M54+O54+Q54+S54+U54+W54+Y54+AA54+AC54</f>
        <v>0</v>
      </c>
      <c r="AE54" s="777"/>
      <c r="AF54" s="778"/>
      <c r="AG54" s="1212"/>
    </row>
    <row r="55" spans="1:33" ht="15.75">
      <c r="A55" s="1806"/>
      <c r="B55" s="1807"/>
      <c r="C55" s="376"/>
      <c r="D55" s="376"/>
      <c r="E55" s="397"/>
      <c r="F55" s="531" t="str">
        <f>IF($AE55&lt;1," ",IF(E55&lt;1," ",(E55)/$AE55))</f>
        <v xml:space="preserve"> </v>
      </c>
      <c r="G55" s="398"/>
      <c r="H55" s="531" t="str">
        <f>IF($AE55&lt;1," ",IF(G55&lt;1," ",(G55)/$AE55))</f>
        <v xml:space="preserve"> </v>
      </c>
      <c r="I55" s="398"/>
      <c r="J55" s="531" t="str">
        <f>IF($AE55&lt;1," ",IF(I55&lt;1," ",(I55)/$AE55))</f>
        <v xml:space="preserve"> </v>
      </c>
      <c r="K55" s="398"/>
      <c r="L55" s="531" t="str">
        <f>IF($AE55&lt;1," ",IF(K55&lt;1," ",(K55)/$AE55))</f>
        <v xml:space="preserve"> </v>
      </c>
      <c r="M55" s="398"/>
      <c r="N55" s="340" t="str">
        <f>IF($AE55&lt;1," ",IF(M55&lt;1," ",(M55)/$AE55))</f>
        <v xml:space="preserve"> </v>
      </c>
      <c r="O55" s="398"/>
      <c r="P55" s="340" t="str">
        <f>IF($AE55&lt;1," ",IF(O55&lt;1," ",(O55)/$AE55))</f>
        <v xml:space="preserve"> </v>
      </c>
      <c r="Q55" s="398"/>
      <c r="R55" s="531" t="str">
        <f>IF($AE55&lt;1," ",IF(Q55&lt;1," ",(Q55)/$AE55))</f>
        <v xml:space="preserve"> </v>
      </c>
      <c r="S55" s="398"/>
      <c r="T55" s="340" t="str">
        <f>IF($AE55&lt;1," ",IF(S55&lt;1," ",(S55)/$AE55))</f>
        <v xml:space="preserve"> </v>
      </c>
      <c r="U55" s="398"/>
      <c r="V55" s="340" t="str">
        <f>IF($AE55&lt;1," ",IF(U55&lt;1," ",(U55)/$AE55))</f>
        <v xml:space="preserve"> </v>
      </c>
      <c r="W55" s="398"/>
      <c r="X55" s="340" t="str">
        <f>IF($AE55&lt;1," ",IF(W55&lt;1," ",(W55)/$AE55))</f>
        <v xml:space="preserve"> </v>
      </c>
      <c r="Y55" s="398"/>
      <c r="Z55" s="340" t="str">
        <f>IF($AE55&lt;1," ",IF(Y55&lt;1," ",(Y55)/$AE55))</f>
        <v xml:space="preserve"> </v>
      </c>
      <c r="AA55" s="398"/>
      <c r="AB55" s="340" t="str">
        <f>IF($AE55&lt;1," ",IF(AA55&lt;1," ",(AA55)/$AE55))</f>
        <v xml:space="preserve"> </v>
      </c>
      <c r="AC55" s="1605"/>
      <c r="AD55" s="379">
        <f>+E55+G55+I55+K55+M55+O55+Q55+S55+U55+W55+Y55+AA55+AC55</f>
        <v>0</v>
      </c>
      <c r="AE55" s="777"/>
      <c r="AF55" s="778"/>
      <c r="AG55" s="1212"/>
    </row>
    <row r="56" spans="1:33" ht="16.5" thickBot="1">
      <c r="A56" s="400" t="s">
        <v>438</v>
      </c>
      <c r="B56" s="401"/>
      <c r="C56" s="376"/>
      <c r="D56" s="376"/>
      <c r="E56" s="770">
        <f>SUM(E51:E55)</f>
        <v>500000</v>
      </c>
      <c r="F56" s="1056" t="s">
        <v>103</v>
      </c>
      <c r="G56" s="771">
        <f>SUM(G51:G55)</f>
        <v>-350000</v>
      </c>
      <c r="H56" s="1056" t="s">
        <v>103</v>
      </c>
      <c r="I56" s="771">
        <f>SUM(I51:I55)</f>
        <v>-450000</v>
      </c>
      <c r="J56" s="1056" t="s">
        <v>103</v>
      </c>
      <c r="K56" s="771">
        <f>SUM(K51:K55)</f>
        <v>500000</v>
      </c>
      <c r="L56" s="1056" t="s">
        <v>103</v>
      </c>
      <c r="M56" s="771">
        <f>SUM(M51:M55)</f>
        <v>0</v>
      </c>
      <c r="N56" s="1054" t="s">
        <v>103</v>
      </c>
      <c r="O56" s="771">
        <f>SUM(O51:O55)</f>
        <v>-500000</v>
      </c>
      <c r="P56" s="1054" t="s">
        <v>103</v>
      </c>
      <c r="Q56" s="771">
        <f>SUM(Q51:Q55)</f>
        <v>0</v>
      </c>
      <c r="R56" s="1056" t="s">
        <v>103</v>
      </c>
      <c r="S56" s="771">
        <f>SUM(S51:S55)</f>
        <v>250000</v>
      </c>
      <c r="T56" s="1054" t="s">
        <v>103</v>
      </c>
      <c r="U56" s="771">
        <f>SUM(U51:U55)</f>
        <v>0</v>
      </c>
      <c r="V56" s="1054" t="s">
        <v>103</v>
      </c>
      <c r="W56" s="771">
        <f>SUM(W51:W55)</f>
        <v>0</v>
      </c>
      <c r="X56" s="1054" t="s">
        <v>103</v>
      </c>
      <c r="Y56" s="771">
        <f>SUM(Y51:Y55)</f>
        <v>0</v>
      </c>
      <c r="Z56" s="1054" t="s">
        <v>103</v>
      </c>
      <c r="AA56" s="771">
        <f>SUM(AA51:AA55)</f>
        <v>-500000</v>
      </c>
      <c r="AB56" s="1054" t="s">
        <v>103</v>
      </c>
      <c r="AC56" s="1602"/>
      <c r="AD56" s="773">
        <f>SUM(AD51:AD55)</f>
        <v>-550000</v>
      </c>
      <c r="AE56" s="779"/>
      <c r="AF56" s="780"/>
      <c r="AG56" s="1212"/>
    </row>
    <row r="57" spans="1:33" ht="15.75">
      <c r="A57" s="68"/>
      <c r="B57" s="182"/>
      <c r="C57" s="22"/>
      <c r="D57" s="22"/>
      <c r="E57" s="23"/>
      <c r="F57" s="538"/>
      <c r="G57" s="392"/>
      <c r="H57" s="538"/>
      <c r="I57" s="392"/>
      <c r="J57" s="538"/>
      <c r="K57" s="392"/>
      <c r="L57" s="538"/>
      <c r="M57" s="392"/>
      <c r="N57" s="1052"/>
      <c r="O57" s="392"/>
      <c r="P57" s="51"/>
      <c r="Q57" s="392"/>
      <c r="R57" s="538"/>
      <c r="S57" s="392"/>
      <c r="T57" s="51"/>
      <c r="U57" s="392"/>
      <c r="V57" s="51"/>
      <c r="W57" s="392"/>
      <c r="X57" s="51"/>
      <c r="Y57" s="392"/>
      <c r="Z57" s="51"/>
      <c r="AA57" s="392"/>
      <c r="AB57" s="51"/>
      <c r="AC57" s="1606"/>
      <c r="AD57" s="1035"/>
      <c r="AE57" s="1036"/>
      <c r="AF57" s="1042"/>
      <c r="AG57" s="1212"/>
    </row>
    <row r="58" spans="1:33" ht="16.5" thickBot="1">
      <c r="A58" s="400" t="s">
        <v>439</v>
      </c>
      <c r="B58" s="401"/>
      <c r="C58" s="376"/>
      <c r="D58" s="376"/>
      <c r="E58" s="770">
        <f>+E23-E34+E39+E48+E56</f>
        <v>447100.07914503856</v>
      </c>
      <c r="F58" s="533"/>
      <c r="G58" s="771">
        <f>+G23-G34+G39+G48+G56</f>
        <v>72980.784384853498</v>
      </c>
      <c r="H58" s="533"/>
      <c r="I58" s="771">
        <f>+I23-I34+I39+I48+I56</f>
        <v>-1669.9743899629684</v>
      </c>
      <c r="J58" s="533"/>
      <c r="K58" s="771">
        <f>+K23-K34+K39+K48+K56</f>
        <v>361391.71409961069</v>
      </c>
      <c r="L58" s="533"/>
      <c r="M58" s="771">
        <f>+M23-M34+M39+M48+M56</f>
        <v>-182933.59433907515</v>
      </c>
      <c r="N58" s="384"/>
      <c r="O58" s="771">
        <f>+O23-O34+O39+O48+O56</f>
        <v>-95115.064042457379</v>
      </c>
      <c r="P58" s="384"/>
      <c r="Q58" s="771">
        <f>+Q23-Q34+Q39+Q48+Q56</f>
        <v>-408538.71404245752</v>
      </c>
      <c r="R58" s="533"/>
      <c r="S58" s="771">
        <f>+S23-S34+S39+S48+S56</f>
        <v>-158538.8140424575</v>
      </c>
      <c r="T58" s="384"/>
      <c r="U58" s="771">
        <f>+U23-U34+U39+U48+U56</f>
        <v>553243.47425224073</v>
      </c>
      <c r="V58" s="384"/>
      <c r="W58" s="771">
        <f>+W23-W34+W39+W48+W56</f>
        <v>-64510.70213951834</v>
      </c>
      <c r="X58" s="384"/>
      <c r="Y58" s="771">
        <f>+Y23-Y34+Y39+Y48+Y56</f>
        <v>-272352.20213951834</v>
      </c>
      <c r="Z58" s="384"/>
      <c r="AA58" s="771">
        <f>+AA23-AA34+AA39+AA48+AA56</f>
        <v>170595.15024730167</v>
      </c>
      <c r="AB58" s="384"/>
      <c r="AC58" s="1602">
        <f>+AC23-AC34+AC39+AC48+AC56</f>
        <v>644575.9319874926</v>
      </c>
      <c r="AD58" s="773">
        <f>+AD23-AD34+AD39+AD48+AD56</f>
        <v>1066228.0689810917</v>
      </c>
      <c r="AE58" s="779"/>
      <c r="AF58" s="780"/>
      <c r="AG58" s="1212"/>
    </row>
    <row r="59" spans="1:33" ht="16.5" thickBot="1">
      <c r="A59" s="69"/>
      <c r="B59" s="369"/>
      <c r="C59" s="70"/>
      <c r="D59" s="70"/>
      <c r="E59" s="47"/>
      <c r="F59" s="537"/>
      <c r="G59" s="394"/>
      <c r="H59" s="537"/>
      <c r="I59" s="394"/>
      <c r="J59" s="537"/>
      <c r="K59" s="394"/>
      <c r="L59" s="537"/>
      <c r="M59" s="394"/>
      <c r="N59" s="197"/>
      <c r="O59" s="394"/>
      <c r="P59" s="197"/>
      <c r="Q59" s="394"/>
      <c r="R59" s="537"/>
      <c r="S59" s="394"/>
      <c r="T59" s="197"/>
      <c r="U59" s="394"/>
      <c r="V59" s="197"/>
      <c r="W59" s="394"/>
      <c r="X59" s="197"/>
      <c r="Y59" s="394"/>
      <c r="Z59" s="197"/>
      <c r="AA59" s="394"/>
      <c r="AB59" s="197"/>
      <c r="AC59" s="1607"/>
      <c r="AD59" s="191"/>
      <c r="AE59" s="779"/>
      <c r="AF59" s="780"/>
      <c r="AG59" s="1212"/>
    </row>
    <row r="60" spans="1:33" ht="16.5" thickBot="1">
      <c r="A60" s="69" t="s">
        <v>440</v>
      </c>
      <c r="B60" s="369"/>
      <c r="C60" s="70"/>
      <c r="D60" s="70"/>
      <c r="E60" s="1049">
        <f>+E6+E58</f>
        <v>512894.01668966917</v>
      </c>
      <c r="F60" s="537"/>
      <c r="G60" s="1053">
        <f>+G6+G58</f>
        <v>585874.80107452266</v>
      </c>
      <c r="H60" s="537"/>
      <c r="I60" s="1053">
        <f>+I6+I58</f>
        <v>584204.8266845597</v>
      </c>
      <c r="J60" s="537"/>
      <c r="K60" s="1053">
        <f>+K6+K58</f>
        <v>945596.54078417039</v>
      </c>
      <c r="L60" s="537"/>
      <c r="M60" s="1053">
        <f>+M6+M58</f>
        <v>762662.94644509524</v>
      </c>
      <c r="N60" s="197"/>
      <c r="O60" s="1053">
        <f>+O6+O58</f>
        <v>667547.88240263786</v>
      </c>
      <c r="P60" s="197"/>
      <c r="Q60" s="1053">
        <f>+Q6+Q58</f>
        <v>259009.16836018034</v>
      </c>
      <c r="R60" s="537"/>
      <c r="S60" s="1053">
        <f>+S6+S58</f>
        <v>100470.35431772284</v>
      </c>
      <c r="T60" s="197"/>
      <c r="U60" s="1053">
        <f>+U6+U58</f>
        <v>653713.82856996357</v>
      </c>
      <c r="V60" s="197"/>
      <c r="W60" s="1053">
        <f>+W6+W58</f>
        <v>589203.12643044523</v>
      </c>
      <c r="X60" s="197"/>
      <c r="Y60" s="1053">
        <f>+Y6+Y58</f>
        <v>316850.92429092689</v>
      </c>
      <c r="Z60" s="197"/>
      <c r="AA60" s="1053">
        <f>+AA6+AA58</f>
        <v>487446.07453822857</v>
      </c>
      <c r="AB60" s="197"/>
      <c r="AC60" s="1602">
        <f>+AC6+AC58</f>
        <v>1132022.0065257212</v>
      </c>
      <c r="AD60" s="1260"/>
      <c r="AE60" s="1037"/>
      <c r="AF60" s="1043"/>
      <c r="AG60" s="1212"/>
    </row>
    <row r="62" spans="1:33" ht="16.5">
      <c r="AB62" s="1611" t="s">
        <v>441</v>
      </c>
      <c r="AC62" s="1612">
        <f>'1st Interim-Summary MYP'!I55</f>
        <v>2122231.8434490208</v>
      </c>
    </row>
    <row r="63" spans="1:33" ht="17.25" thickBot="1">
      <c r="AB63" s="1613" t="s">
        <v>442</v>
      </c>
      <c r="AC63" s="1615">
        <f>AC60-AC62</f>
        <v>-990209.83692329959</v>
      </c>
    </row>
    <row r="64" spans="1:33" ht="13.5" thickTop="1"/>
  </sheetData>
  <sheetProtection password="CC5F" sheet="1" objects="1" scenarios="1"/>
  <mergeCells count="10">
    <mergeCell ref="F1:L1"/>
    <mergeCell ref="T1:Z1"/>
    <mergeCell ref="G2:K2"/>
    <mergeCell ref="A51:B51"/>
    <mergeCell ref="A52:B52"/>
    <mergeCell ref="A53:B53"/>
    <mergeCell ref="A54:B54"/>
    <mergeCell ref="A55:B55"/>
    <mergeCell ref="D40:D42"/>
    <mergeCell ref="AE40:AE42"/>
  </mergeCells>
  <conditionalFormatting sqref="F1">
    <cfRule type="containsText" dxfId="165" priority="7" stopIfTrue="1" operator="containsText" text="Enter">
      <formula>NOT(ISERROR(SEARCH("Enter",F1)))</formula>
    </cfRule>
  </conditionalFormatting>
  <conditionalFormatting sqref="T1">
    <cfRule type="containsText" dxfId="164" priority="6" stopIfTrue="1" operator="containsText" text="Enter">
      <formula>NOT(ISERROR(SEARCH("Enter",T1)))</formula>
    </cfRule>
  </conditionalFormatting>
  <conditionalFormatting sqref="AD47">
    <cfRule type="cellIs" dxfId="163" priority="1" stopIfTrue="1" operator="notEqual">
      <formula>$D$47</formula>
    </cfRule>
  </conditionalFormatting>
  <conditionalFormatting sqref="AD43">
    <cfRule type="cellIs" dxfId="162" priority="5" stopIfTrue="1" operator="notEqual">
      <formula>$D$43</formula>
    </cfRule>
  </conditionalFormatting>
  <conditionalFormatting sqref="AD44">
    <cfRule type="cellIs" dxfId="161" priority="4" stopIfTrue="1" operator="notEqual">
      <formula>$D$44</formula>
    </cfRule>
  </conditionalFormatting>
  <conditionalFormatting sqref="AD45">
    <cfRule type="cellIs" dxfId="160" priority="3" stopIfTrue="1" operator="notEqual">
      <formula>$D$45</formula>
    </cfRule>
  </conditionalFormatting>
  <conditionalFormatting sqref="AD46">
    <cfRule type="cellIs" dxfId="159" priority="2" stopIfTrue="1" operator="notEqual">
      <formula>$D$46</formula>
    </cfRule>
  </conditionalFormatting>
  <pageMargins left="0.7" right="0.7" top="0.75" bottom="0.75" header="0.3" footer="0.3"/>
  <pageSetup scale="52" fitToWidth="0" orientation="landscape" r:id="rId1"/>
  <headerFooter>
    <oddHeader xml:space="preserve">&amp;RPage &amp;P of &amp;N
</oddHeader>
  </headerFooter>
  <colBreaks count="1" manualBreakCount="1">
    <brk id="18" max="1048575" man="1"/>
  </colBreaks>
  <customProperties>
    <customPr name="DrillPoint.FROID" r:id="rId2"/>
    <customPr name="DrillPoint.Mode" r:id="rId3"/>
    <customPr name="DrillPoint.Subsheet" r:id="rId4"/>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148"/>
  <sheetViews>
    <sheetView workbookViewId="0">
      <selection activeCell="I37" sqref="I37"/>
    </sheetView>
  </sheetViews>
  <sheetFormatPr defaultRowHeight="12.75"/>
  <cols>
    <col min="1" max="1" width="56.85546875" customWidth="1"/>
    <col min="2" max="2" width="17" customWidth="1"/>
    <col min="3" max="3" width="14" customWidth="1"/>
    <col min="4" max="4" width="14.85546875" customWidth="1"/>
    <col min="5" max="5" width="14" customWidth="1"/>
    <col min="9" max="9" width="19" customWidth="1"/>
  </cols>
  <sheetData>
    <row r="1" spans="1:9">
      <c r="A1" s="133" t="str">
        <f>'BUDGET-CERTIFICATION'!H1</f>
        <v>Encore High School -</v>
      </c>
    </row>
    <row r="2" spans="1:9">
      <c r="A2" s="133" t="s">
        <v>549</v>
      </c>
    </row>
    <row r="3" spans="1:9">
      <c r="A3" s="133" t="str">
        <f>'Budget-ADA'!K7</f>
        <v>2021-22</v>
      </c>
    </row>
    <row r="4" spans="1:9">
      <c r="A4" s="133" t="str">
        <f>'BUDGET-CERTIFICATION'!H3</f>
        <v>Hesperia Unified School District</v>
      </c>
    </row>
    <row r="5" spans="1:9">
      <c r="B5" s="1243" t="s">
        <v>447</v>
      </c>
      <c r="C5" s="1243" t="s">
        <v>448</v>
      </c>
      <c r="D5" s="1243" t="s">
        <v>449</v>
      </c>
      <c r="E5" s="1243" t="s">
        <v>449</v>
      </c>
      <c r="H5" s="1243"/>
      <c r="I5" s="1243"/>
    </row>
    <row r="6" spans="1:9">
      <c r="A6" s="135" t="s">
        <v>450</v>
      </c>
      <c r="B6" s="92">
        <f>'1st Interim-ADA'!J76</f>
        <v>899.27</v>
      </c>
      <c r="C6" s="92">
        <f>'1st Interim-ADA'!L76</f>
        <v>796.07999999999993</v>
      </c>
      <c r="D6" s="92">
        <f>'1st Interim-ADA'!O76</f>
        <v>671.16</v>
      </c>
      <c r="E6" s="92">
        <f>'1st Interim-ADA'!R76</f>
        <v>796.07999999999993</v>
      </c>
      <c r="H6" s="1263"/>
      <c r="I6" s="1264"/>
    </row>
    <row r="7" spans="1:9">
      <c r="A7" s="135" t="s">
        <v>451</v>
      </c>
      <c r="B7" s="1227">
        <f>'1st Interim-Assumptions'!F24</f>
        <v>858</v>
      </c>
      <c r="C7" s="1228">
        <f>'1st Interim-Assumptions'!G24</f>
        <v>722</v>
      </c>
      <c r="D7" s="1228">
        <f>'1st Interim-Assumptions'!H24</f>
        <v>856</v>
      </c>
      <c r="E7" s="1228">
        <f>'1st Interim-Assumptions'!J24</f>
        <v>856</v>
      </c>
      <c r="H7" s="1263"/>
      <c r="I7" s="1264"/>
    </row>
    <row r="8" spans="1:9">
      <c r="A8" t="s">
        <v>181</v>
      </c>
      <c r="B8" s="1227">
        <f>'1st Interim-Assumptions'!F27</f>
        <v>466</v>
      </c>
      <c r="C8" s="1228">
        <f>'1st Interim-Assumptions'!G27</f>
        <v>365</v>
      </c>
      <c r="D8" s="1228">
        <f>'1st Interim-Assumptions'!H27</f>
        <v>509</v>
      </c>
      <c r="E8" s="1228">
        <f>'1st Interim-Assumptions'!J27</f>
        <v>509</v>
      </c>
      <c r="H8" s="1263"/>
      <c r="I8" s="1264"/>
    </row>
    <row r="9" spans="1:9">
      <c r="A9" t="s">
        <v>452</v>
      </c>
      <c r="B9" s="1247">
        <f>'1st Interim-Assumptions'!F28</f>
        <v>0.57840000000000003</v>
      </c>
      <c r="C9" s="1247">
        <f>'1st Interim-Assumptions'!G28</f>
        <v>0.54959999999999998</v>
      </c>
      <c r="D9" s="1247">
        <f>'1st Interim-Assumptions'!H28</f>
        <v>0.55010000000000003</v>
      </c>
      <c r="E9" s="1247">
        <f>'1st Interim-Assumptions'!J28</f>
        <v>0.55010000000000003</v>
      </c>
      <c r="H9" s="1263"/>
      <c r="I9" s="1264"/>
    </row>
    <row r="10" spans="1:9">
      <c r="H10" s="1263"/>
      <c r="I10" s="1264"/>
    </row>
    <row r="11" spans="1:9">
      <c r="A11" t="s">
        <v>237</v>
      </c>
      <c r="B11" s="1229">
        <f>'1st Interim-Unrestricted MYP'!E13+'1st Interim-Unrestricted MYP'!E14+'1st Interim-Unrestricted MYP'!E15+'1st Interim-Unrestricted MYP'!E16</f>
        <v>8609563</v>
      </c>
      <c r="C11" s="1229">
        <f>'1st Interim-Assumptions'!G11</f>
        <v>7115528</v>
      </c>
      <c r="D11" s="1229">
        <f>'1st Interim-Assumptions'!H11</f>
        <v>8634091</v>
      </c>
      <c r="E11" s="1229">
        <f>'1st Interim-Assumptions'!J11</f>
        <v>9025809</v>
      </c>
      <c r="H11" s="1263"/>
      <c r="I11" s="1264"/>
    </row>
    <row r="12" spans="1:9">
      <c r="H12" s="1263"/>
      <c r="I12" s="1264"/>
    </row>
    <row r="13" spans="1:9">
      <c r="A13" t="s">
        <v>453</v>
      </c>
      <c r="C13" s="1230">
        <f>'1st Interim-Assumptions'!G31</f>
        <v>30.2</v>
      </c>
      <c r="D13" s="1230">
        <f>'1st Interim-Assumptions'!H31</f>
        <v>31</v>
      </c>
      <c r="E13" s="1230">
        <f>'1st Interim-Assumptions'!J31</f>
        <v>31</v>
      </c>
      <c r="H13" s="1263"/>
      <c r="I13" s="1264"/>
    </row>
    <row r="14" spans="1:9">
      <c r="A14" t="s">
        <v>454</v>
      </c>
      <c r="C14" s="1230">
        <f>'1st Interim-Assumptions'!G33</f>
        <v>4</v>
      </c>
      <c r="D14" s="1230">
        <f>'1st Interim-Assumptions'!H33</f>
        <v>3</v>
      </c>
      <c r="E14" s="1230">
        <f>'1st Interim-Assumptions'!J33</f>
        <v>3</v>
      </c>
      <c r="H14" s="1263"/>
      <c r="I14" s="1264"/>
    </row>
    <row r="15" spans="1:9">
      <c r="A15" s="135" t="s">
        <v>455</v>
      </c>
      <c r="C15" s="1230">
        <f>'1st Interim-Assumptions'!G32</f>
        <v>2</v>
      </c>
      <c r="D15" s="1230">
        <f>'1st Interim-Assumptions'!H32</f>
        <v>3</v>
      </c>
      <c r="E15" s="1230">
        <f>'1st Interim-Assumptions'!J32</f>
        <v>3</v>
      </c>
      <c r="H15" s="1263"/>
    </row>
    <row r="16" spans="1:9">
      <c r="A16" s="135"/>
      <c r="C16" s="1230"/>
      <c r="D16" s="1230"/>
      <c r="E16" s="1230"/>
      <c r="H16" s="1263"/>
    </row>
    <row r="17" spans="1:8">
      <c r="A17" s="135" t="s">
        <v>456</v>
      </c>
      <c r="C17" s="1230">
        <f>'1st Interim-Assumptions'!G48</f>
        <v>6</v>
      </c>
      <c r="D17" s="1230">
        <f>'1st Interim-Assumptions'!H48</f>
        <v>7</v>
      </c>
      <c r="E17" s="1230">
        <f>'1st Interim-Assumptions'!J48</f>
        <v>8</v>
      </c>
      <c r="H17" s="135"/>
    </row>
    <row r="18" spans="1:8">
      <c r="A18" s="135" t="s">
        <v>457</v>
      </c>
      <c r="C18" s="1230">
        <f>'1st Interim-Assumptions'!G49</f>
        <v>38.200000000000003</v>
      </c>
      <c r="D18" s="1230">
        <f>'1st Interim-Assumptions'!H49</f>
        <v>39</v>
      </c>
      <c r="E18" s="1230">
        <f>'1st Interim-Assumptions'!J49</f>
        <v>40</v>
      </c>
      <c r="H18" s="135"/>
    </row>
    <row r="19" spans="1:8">
      <c r="A19" s="135"/>
      <c r="C19" s="1230"/>
      <c r="D19" s="1230"/>
      <c r="E19" s="1230"/>
      <c r="H19" s="135"/>
    </row>
    <row r="20" spans="1:8">
      <c r="A20" t="s">
        <v>458</v>
      </c>
      <c r="C20" s="1229">
        <f>'1st Interim-Assumptions'!G36</f>
        <v>69970.336887417245</v>
      </c>
      <c r="D20" s="1229">
        <f>'1st Interim-Assumptions'!H36</f>
        <v>72069.446994039768</v>
      </c>
      <c r="E20" s="1229">
        <f>'1st Interim-Assumptions'!J36</f>
        <v>74231.530403860961</v>
      </c>
    </row>
    <row r="21" spans="1:8">
      <c r="A21" t="s">
        <v>459</v>
      </c>
      <c r="C21" s="1229">
        <f>'1st Interim-Assumptions'!G38</f>
        <v>96733.666666666672</v>
      </c>
      <c r="D21" s="1229">
        <f>'1st Interim-Assumptions'!H38</f>
        <v>99635.676666666681</v>
      </c>
      <c r="E21" s="1229">
        <f>'1st Interim-Assumptions'!J38</f>
        <v>102624.74696666669</v>
      </c>
    </row>
    <row r="22" spans="1:8">
      <c r="A22" s="135" t="s">
        <v>460</v>
      </c>
      <c r="C22" s="1229">
        <f>'1st Interim-Assumptions'!G37</f>
        <v>123200</v>
      </c>
      <c r="D22" s="1229">
        <f>'1st Interim-Assumptions'!H37</f>
        <v>126896</v>
      </c>
      <c r="E22" s="1229">
        <f>'1st Interim-Assumptions'!J37</f>
        <v>130702.88</v>
      </c>
    </row>
    <row r="23" spans="1:8">
      <c r="A23" s="135"/>
      <c r="C23" s="1229"/>
      <c r="D23" s="1229"/>
      <c r="E23" s="1229"/>
    </row>
    <row r="24" spans="1:8">
      <c r="A24" t="s">
        <v>461</v>
      </c>
      <c r="C24" s="1229">
        <f>'1st Interim-Assumptions'!G50</f>
        <v>93668.977499999994</v>
      </c>
      <c r="D24" s="1229">
        <f>'1st Interim-Assumptions'!H50</f>
        <v>96479.046824999998</v>
      </c>
      <c r="E24" s="1229">
        <f>'1st Interim-Assumptions'!J50</f>
        <v>99373.418229749994</v>
      </c>
    </row>
    <row r="25" spans="1:8">
      <c r="A25" s="135" t="s">
        <v>462</v>
      </c>
      <c r="C25" s="1229">
        <f>'1st Interim-Assumptions'!G51</f>
        <v>46735.251308900515</v>
      </c>
      <c r="D25" s="1229">
        <f>'1st Interim-Assumptions'!H51</f>
        <v>48137.30884816753</v>
      </c>
      <c r="E25" s="1229">
        <f>'1st Interim-Assumptions'!J51</f>
        <v>49581.428113612557</v>
      </c>
    </row>
    <row r="26" spans="1:8">
      <c r="A26" s="135"/>
      <c r="C26" s="1229"/>
      <c r="D26" s="1229"/>
      <c r="E26" s="1229"/>
    </row>
    <row r="27" spans="1:8">
      <c r="A27" s="135" t="s">
        <v>463</v>
      </c>
      <c r="C27" s="1229">
        <f>'1st Interim-Assumptions'!G40</f>
        <v>10023.948066298342</v>
      </c>
      <c r="D27" s="1229">
        <f>'1st Interim-Assumptions'!H40</f>
        <v>10324.666508287293</v>
      </c>
      <c r="E27" s="1229">
        <f>'1st Interim-Assumptions'!J40</f>
        <v>10634.406503535913</v>
      </c>
    </row>
    <row r="28" spans="1:8">
      <c r="A28" s="135" t="s">
        <v>464</v>
      </c>
      <c r="C28" s="1229">
        <f>'1st Interim-Assumptions'!G53</f>
        <v>7640.0524886877811</v>
      </c>
      <c r="D28" s="1229">
        <f>'1st Interim-Assumptions'!H53</f>
        <v>7869.254063348415</v>
      </c>
      <c r="E28" s="1229">
        <f>'1st Interim-Assumptions'!J53</f>
        <v>8105.3316852488679</v>
      </c>
    </row>
    <row r="30" spans="1:8">
      <c r="A30" s="135" t="s">
        <v>196</v>
      </c>
      <c r="B30" s="979"/>
      <c r="C30" s="979">
        <f>'1st Interim-Assumptions'!G42</f>
        <v>0.16919999999999999</v>
      </c>
      <c r="D30" s="979">
        <f>'1st Interim-Assumptions'!H42</f>
        <v>0.191</v>
      </c>
      <c r="E30" s="979">
        <f>'1st Interim-Assumptions'!J42</f>
        <v>0.191</v>
      </c>
    </row>
    <row r="31" spans="1:8">
      <c r="A31" s="135" t="s">
        <v>206</v>
      </c>
      <c r="C31" s="979">
        <f>'1st Interim-Assumptions'!G55</f>
        <v>0.2291</v>
      </c>
      <c r="D31" s="979">
        <f>'1st Interim-Assumptions'!H55</f>
        <v>0.26100000000000001</v>
      </c>
      <c r="E31" s="979">
        <f>'1st Interim-Assumptions'!J55</f>
        <v>0.27100000000000002</v>
      </c>
    </row>
    <row r="33" spans="1:5">
      <c r="A33" s="135" t="s">
        <v>465</v>
      </c>
      <c r="C33" s="979">
        <f>'1st Interim-Assumptions'!G61</f>
        <v>6.2E-2</v>
      </c>
      <c r="D33" s="979">
        <f>'1st Interim-Assumptions'!H61</f>
        <v>6.2E-2</v>
      </c>
      <c r="E33" s="979">
        <f>'1st Interim-Assumptions'!J61</f>
        <v>6.2E-2</v>
      </c>
    </row>
    <row r="34" spans="1:5">
      <c r="A34" s="135" t="s">
        <v>466</v>
      </c>
      <c r="C34" s="979">
        <f>'1st Interim-Assumptions'!G62</f>
        <v>1.4500000000000001E-2</v>
      </c>
      <c r="D34" s="979">
        <f>'1st Interim-Assumptions'!H62</f>
        <v>1.4500000000000001E-2</v>
      </c>
      <c r="E34" s="979">
        <f>'1st Interim-Assumptions'!J62</f>
        <v>1.4500000000000001E-2</v>
      </c>
    </row>
    <row r="35" spans="1:5">
      <c r="A35" s="135" t="s">
        <v>210</v>
      </c>
      <c r="C35" s="979">
        <f>'1st Interim-Assumptions'!G63</f>
        <v>5.0000000000000001E-3</v>
      </c>
      <c r="D35" s="979">
        <f>'1st Interim-Assumptions'!H63</f>
        <v>5.0000000000000001E-3</v>
      </c>
      <c r="E35" s="979">
        <f>'1st Interim-Assumptions'!J63</f>
        <v>5.0000000000000001E-3</v>
      </c>
    </row>
    <row r="36" spans="1:5">
      <c r="A36" s="135" t="s">
        <v>211</v>
      </c>
      <c r="C36" s="979">
        <f>'1st Interim-Assumptions'!G64</f>
        <v>2.3E-2</v>
      </c>
      <c r="D36" s="979">
        <f>'1st Interim-Assumptions'!H64</f>
        <v>2.3E-2</v>
      </c>
      <c r="E36" s="979">
        <f>'1st Interim-Assumptions'!J64</f>
        <v>2.3E-2</v>
      </c>
    </row>
    <row r="38" spans="1:5">
      <c r="A38" s="133" t="s">
        <v>467</v>
      </c>
    </row>
    <row r="39" spans="1:5" ht="15.75">
      <c r="A39" s="1" t="s">
        <v>468</v>
      </c>
      <c r="B39" s="983">
        <f>'1st Interim-Unrestricted MYP'!E49</f>
        <v>2328491.2500000005</v>
      </c>
      <c r="C39" s="1237">
        <f>'1st Interim-Unrestricted MYP'!G49</f>
        <v>2328491.2500000005</v>
      </c>
      <c r="D39" s="174">
        <f>'1st Interim-Unrestricted MYP'!I49</f>
        <v>0</v>
      </c>
      <c r="E39" s="174">
        <f>'1st Interim-Unrestricted MYP'!K49</f>
        <v>0</v>
      </c>
    </row>
    <row r="40" spans="1:5" ht="15.75">
      <c r="A40" s="1" t="s">
        <v>469</v>
      </c>
      <c r="B40" s="983">
        <f>'1st Interim-Unrestricted MYP'!E50</f>
        <v>0</v>
      </c>
      <c r="C40" s="1237">
        <f>'1st Interim-Unrestricted MYP'!G50</f>
        <v>-331642.78000000003</v>
      </c>
      <c r="D40" s="174">
        <f>'1st Interim-Unrestricted MYP'!I50</f>
        <v>0</v>
      </c>
      <c r="E40" s="174">
        <f>'1st Interim-Unrestricted MYP'!K50</f>
        <v>0</v>
      </c>
    </row>
    <row r="41" spans="1:5" ht="15.75">
      <c r="A41" s="1" t="s">
        <v>282</v>
      </c>
      <c r="B41" s="983">
        <f>'1st Interim-Unrestricted MYP'!E51</f>
        <v>0</v>
      </c>
      <c r="C41" s="1237">
        <f>'1st Interim-Unrestricted MYP'!G51</f>
        <v>1996848.4700000004</v>
      </c>
      <c r="D41" s="174">
        <f>'1st Interim-Unrestricted MYP'!I51</f>
        <v>0</v>
      </c>
      <c r="E41" s="174">
        <f>'1st Interim-Unrestricted MYP'!K51</f>
        <v>0</v>
      </c>
    </row>
    <row r="42" spans="1:5" ht="15.75">
      <c r="A42" s="1" t="s">
        <v>470</v>
      </c>
      <c r="B42" s="983">
        <f>'1st Interim-Unrestricted MYP'!E52</f>
        <v>0</v>
      </c>
      <c r="C42" s="1237">
        <f>'1st Interim-Unrestricted MYP'!G52</f>
        <v>0</v>
      </c>
      <c r="D42" s="174">
        <f>'1st Interim-Unrestricted MYP'!I52</f>
        <v>0</v>
      </c>
      <c r="E42" s="174">
        <f>'1st Interim-Unrestricted MYP'!K52</f>
        <v>0</v>
      </c>
    </row>
    <row r="43" spans="1:5" ht="15.75">
      <c r="A43" s="1" t="s">
        <v>471</v>
      </c>
      <c r="B43" s="983">
        <f>'1st Interim-Unrestricted MYP'!E53</f>
        <v>0</v>
      </c>
      <c r="C43" s="1237">
        <f>'1st Interim-Unrestricted MYP'!G53</f>
        <v>0</v>
      </c>
      <c r="D43" s="174">
        <f>'1st Interim-Unrestricted MYP'!I53</f>
        <v>0</v>
      </c>
      <c r="E43" s="174">
        <f>'1st Interim-Unrestricted MYP'!K53</f>
        <v>0</v>
      </c>
    </row>
    <row r="44" spans="1:5" ht="15.75">
      <c r="A44" s="1" t="s">
        <v>285</v>
      </c>
      <c r="B44" s="983">
        <f>'1st Interim-Unrestricted MYP'!E54</f>
        <v>0</v>
      </c>
      <c r="C44" s="1237">
        <f>'1st Interim-Unrestricted MYP'!G54</f>
        <v>1996848.4700000004</v>
      </c>
      <c r="D44" s="174">
        <f>'1st Interim-Unrestricted MYP'!I54</f>
        <v>1313011.2471289167</v>
      </c>
      <c r="E44" s="174">
        <f>'1st Interim-Unrestricted MYP'!K54</f>
        <v>1530342.8434490205</v>
      </c>
    </row>
    <row r="45" spans="1:5" ht="15.75">
      <c r="A45" s="1" t="s">
        <v>472</v>
      </c>
      <c r="B45" s="983">
        <f>'1st Interim-Unrestricted MYP'!E55</f>
        <v>3964597.6578057152</v>
      </c>
      <c r="C45" s="1237">
        <f>'1st Interim-Unrestricted MYP'!G55</f>
        <v>1313011.2471289167</v>
      </c>
      <c r="D45" s="174">
        <f>'1st Interim-Unrestricted MYP'!I55</f>
        <v>1530342.8434490205</v>
      </c>
      <c r="E45" s="174">
        <f>'1st Interim-Unrestricted MYP'!K55</f>
        <v>1969921.8018988331</v>
      </c>
    </row>
    <row r="47" spans="1:5" ht="15.75">
      <c r="A47" s="98" t="s">
        <v>473</v>
      </c>
      <c r="B47" s="1239">
        <f>'1st Interim-Unrestricted MYP'!E59</f>
        <v>0</v>
      </c>
      <c r="C47" s="1239">
        <f>'1st Interim-Unrestricted MYP'!G59</f>
        <v>0</v>
      </c>
      <c r="D47" s="1239">
        <f>'1st Interim-Unrestricted MYP'!I59</f>
        <v>0</v>
      </c>
      <c r="E47" s="1239">
        <f>'1st Interim-Unrestricted MYP'!K59</f>
        <v>0</v>
      </c>
    </row>
    <row r="48" spans="1:5" ht="15.75">
      <c r="A48" s="98" t="s">
        <v>474</v>
      </c>
      <c r="B48" s="1239">
        <f>'1st Interim-Unrestricted MYP'!E60</f>
        <v>0</v>
      </c>
      <c r="C48" s="1239">
        <f>'1st Interim-Unrestricted MYP'!G60</f>
        <v>0</v>
      </c>
      <c r="D48" s="1239">
        <f>'1st Interim-Unrestricted MYP'!I60</f>
        <v>0</v>
      </c>
      <c r="E48" s="1239">
        <f>'1st Interim-Unrestricted MYP'!K60</f>
        <v>0</v>
      </c>
    </row>
    <row r="49" spans="1:9" ht="15.75">
      <c r="A49" s="98" t="s">
        <v>475</v>
      </c>
      <c r="B49" s="1239">
        <f>'1st Interim-Unrestricted MYP'!E61</f>
        <v>0</v>
      </c>
      <c r="C49" s="1239">
        <f>'1st Interim-Unrestricted MYP'!G61</f>
        <v>0</v>
      </c>
      <c r="D49" s="1239">
        <f>'1st Interim-Unrestricted MYP'!I61</f>
        <v>0</v>
      </c>
      <c r="E49" s="1239">
        <f>'1st Interim-Unrestricted MYP'!K61</f>
        <v>0</v>
      </c>
    </row>
    <row r="50" spans="1:9" ht="15.75">
      <c r="A50" s="98" t="s">
        <v>476</v>
      </c>
      <c r="B50" s="1239">
        <f>'1st Interim-Unrestricted MYP'!E62</f>
        <v>0</v>
      </c>
      <c r="C50" s="1239">
        <f>'1st Interim-Unrestricted MYP'!G62</f>
        <v>0</v>
      </c>
      <c r="D50" s="1239">
        <f>'1st Interim-Unrestricted MYP'!I62</f>
        <v>0</v>
      </c>
      <c r="E50" s="1239">
        <f>'1st Interim-Unrestricted MYP'!K62</f>
        <v>0</v>
      </c>
    </row>
    <row r="51" spans="1:9" ht="15.75">
      <c r="A51" s="98" t="s">
        <v>477</v>
      </c>
      <c r="B51" s="1239">
        <f>'1st Interim-Unrestricted MYP'!E65</f>
        <v>0</v>
      </c>
      <c r="C51" s="1239">
        <f>'1st Interim-Unrestricted MYP'!G65</f>
        <v>0</v>
      </c>
      <c r="D51" s="1239">
        <f>'1st Interim-Unrestricted MYP'!I65</f>
        <v>0</v>
      </c>
      <c r="E51" s="1239">
        <f>'1st Interim-Unrestricted MYP'!K65</f>
        <v>0</v>
      </c>
    </row>
    <row r="52" spans="1:9" ht="15.75">
      <c r="A52" s="98" t="s">
        <v>478</v>
      </c>
      <c r="B52" s="1239">
        <f>'1st Interim-Unrestricted MYP'!E66</f>
        <v>0</v>
      </c>
      <c r="C52" s="1239">
        <f>'1st Interim-Unrestricted MYP'!G66</f>
        <v>0</v>
      </c>
      <c r="D52" s="1239">
        <f>'1st Interim-Unrestricted MYP'!I66</f>
        <v>0</v>
      </c>
      <c r="E52" s="1239">
        <f>'1st Interim-Unrestricted MYP'!K66</f>
        <v>0</v>
      </c>
    </row>
    <row r="53" spans="1:9" ht="15.75">
      <c r="A53" s="98" t="s">
        <v>479</v>
      </c>
      <c r="B53" s="1239">
        <f>'1st Interim-Unrestricted MYP'!E66</f>
        <v>0</v>
      </c>
      <c r="C53" s="1239">
        <f>'1st Interim-Unrestricted MYP'!G66</f>
        <v>0</v>
      </c>
      <c r="D53" s="1239">
        <f>'1st Interim-Unrestricted MYP'!I66</f>
        <v>0</v>
      </c>
      <c r="E53" s="1239">
        <f>'1st Interim-Unrestricted MYP'!K66</f>
        <v>0</v>
      </c>
    </row>
    <row r="54" spans="1:9" ht="15.75">
      <c r="A54" s="98" t="s">
        <v>480</v>
      </c>
      <c r="B54" s="1239">
        <f>'1st Interim-Unrestricted MYP'!E69</f>
        <v>0</v>
      </c>
      <c r="C54" s="1239">
        <f>'1st Interim-Unrestricted MYP'!G69</f>
        <v>1313011</v>
      </c>
      <c r="D54" s="1239">
        <f>'1st Interim-Unrestricted MYP'!I69</f>
        <v>0</v>
      </c>
      <c r="E54" s="1239">
        <f>'1st Interim-Unrestricted MYP'!K69</f>
        <v>0</v>
      </c>
    </row>
    <row r="55" spans="1:9" ht="16.5">
      <c r="A55" s="1238" t="s">
        <v>481</v>
      </c>
      <c r="B55" s="1239">
        <f>'1st Interim-Unrestricted MYP'!E70</f>
        <v>3964597.6578057152</v>
      </c>
      <c r="C55" s="1239">
        <f>'1st Interim-Unrestricted MYP'!G70</f>
        <v>0.24712891667149961</v>
      </c>
      <c r="D55" s="1239">
        <f>'1st Interim-Unrestricted MYP'!I70</f>
        <v>1530342.8434490205</v>
      </c>
      <c r="E55" s="1239">
        <f>'1st Interim-Unrestricted MYP'!K70</f>
        <v>1969921.8018988331</v>
      </c>
    </row>
    <row r="57" spans="1:9">
      <c r="A57" s="133" t="s">
        <v>482</v>
      </c>
      <c r="B57" s="133"/>
      <c r="C57" s="133"/>
      <c r="D57" s="133"/>
      <c r="E57" s="133"/>
      <c r="F57" s="133"/>
      <c r="G57" s="133"/>
      <c r="H57" s="133"/>
      <c r="I57" s="133"/>
    </row>
    <row r="58" spans="1:9" ht="15.75">
      <c r="A58" s="1" t="s">
        <v>468</v>
      </c>
      <c r="B58" s="174">
        <f>'1st Interim-Restricted MYP'!E49</f>
        <v>-240336</v>
      </c>
      <c r="C58" s="174">
        <f>'1st Interim-Restricted MYP'!G49</f>
        <v>-240336</v>
      </c>
      <c r="D58" s="174">
        <f>'1st Interim-Restricted MYP'!I49</f>
        <v>0</v>
      </c>
      <c r="E58" s="174">
        <f>'1st Interim-Restricted MYP'!K49</f>
        <v>0</v>
      </c>
    </row>
    <row r="59" spans="1:9" ht="15.75">
      <c r="A59" s="1" t="s">
        <v>469</v>
      </c>
      <c r="B59" s="174">
        <f>'1st Interim-Restricted MYP'!E50</f>
        <v>0</v>
      </c>
      <c r="C59" s="174">
        <f>'1st Interim-Restricted MYP'!G50</f>
        <v>369118.08</v>
      </c>
      <c r="D59" s="92">
        <f>'1st Interim-Restricted MYP'!I50</f>
        <v>0</v>
      </c>
      <c r="E59" s="92">
        <f>'1st Interim-Restricted MYP'!K50</f>
        <v>0</v>
      </c>
    </row>
    <row r="60" spans="1:9" ht="15.75">
      <c r="A60" s="1" t="s">
        <v>282</v>
      </c>
      <c r="B60" s="174">
        <f>B58+B59</f>
        <v>-240336</v>
      </c>
      <c r="C60" s="174">
        <f>C58+C59</f>
        <v>128782.08000000002</v>
      </c>
      <c r="D60" s="174">
        <f>D58+D59</f>
        <v>0</v>
      </c>
      <c r="E60" s="174">
        <f>E58+E59</f>
        <v>0</v>
      </c>
    </row>
    <row r="61" spans="1:9" ht="15.75">
      <c r="A61" s="1" t="s">
        <v>470</v>
      </c>
      <c r="B61" s="174">
        <f>'1st Interim-Restricted MYP'!E52</f>
        <v>0</v>
      </c>
      <c r="C61" s="174">
        <f>'1st Interim-Restricted MYP'!G52</f>
        <v>0</v>
      </c>
      <c r="D61" s="92">
        <f>'1st Interim-Restricted MYP'!I52</f>
        <v>0</v>
      </c>
      <c r="E61" s="92">
        <f>'1st Interim-Restricted MYP'!K52</f>
        <v>0</v>
      </c>
    </row>
    <row r="62" spans="1:9" ht="15.75">
      <c r="A62" s="1" t="s">
        <v>471</v>
      </c>
      <c r="B62" s="174">
        <f>'1st Interim-Restricted MYP'!E53</f>
        <v>0</v>
      </c>
      <c r="C62" s="174">
        <f>'1st Interim-Restricted MYP'!G53</f>
        <v>0</v>
      </c>
      <c r="D62" s="92">
        <f>'1st Interim-Restricted MYP'!I53</f>
        <v>0</v>
      </c>
      <c r="E62" s="92">
        <f>'1st Interim-Restricted MYP'!K53</f>
        <v>0</v>
      </c>
    </row>
    <row r="63" spans="1:9" ht="15.75">
      <c r="A63" s="1" t="s">
        <v>285</v>
      </c>
      <c r="B63" s="174">
        <f>'1st Interim-Restricted MYP'!E54</f>
        <v>0</v>
      </c>
      <c r="C63" s="174">
        <f>'1st Interim-Restricted MYP'!G54</f>
        <v>128782.08000000002</v>
      </c>
      <c r="D63" s="174">
        <f>'1st Interim-Restricted MYP'!I54</f>
        <v>734169</v>
      </c>
      <c r="E63" s="174">
        <f>'1st Interim-Restricted MYP'!K54</f>
        <v>591889</v>
      </c>
    </row>
    <row r="64" spans="1:9" ht="15.75">
      <c r="A64" s="1" t="s">
        <v>472</v>
      </c>
      <c r="B64" s="174">
        <f>'1st Interim-Restricted MYP'!E55</f>
        <v>-353496</v>
      </c>
      <c r="C64" s="174">
        <f>'1st Interim-Restricted MYP'!G55</f>
        <v>734169</v>
      </c>
      <c r="D64" s="1229">
        <f>'1st Interim-Restricted MYP'!I55</f>
        <v>591889</v>
      </c>
      <c r="E64" s="1229">
        <f>'1st Interim-Restricted MYP'!K55</f>
        <v>304669</v>
      </c>
    </row>
    <row r="65" spans="1:5">
      <c r="B65" s="174"/>
      <c r="C65" s="174"/>
      <c r="D65" s="174"/>
      <c r="E65" s="174"/>
    </row>
    <row r="66" spans="1:5" ht="15.75">
      <c r="A66" s="1" t="s">
        <v>483</v>
      </c>
      <c r="B66" s="174">
        <f>'1st Interim-Unrestricted MYP'!E13</f>
        <v>6570869</v>
      </c>
      <c r="C66" s="174">
        <f>'1st Interim-Unrestricted MYP'!G13</f>
        <v>7115528</v>
      </c>
      <c r="D66" s="174">
        <f>'1st Interim-Unrestricted MYP'!I13</f>
        <v>8634091</v>
      </c>
      <c r="E66" s="174">
        <f>'1st Interim-Unrestricted MYP'!K13</f>
        <v>9025809</v>
      </c>
    </row>
    <row r="67" spans="1:5" ht="15.75">
      <c r="A67" s="1" t="s">
        <v>484</v>
      </c>
      <c r="B67" s="174">
        <f>'1st Interim-Unrestricted MYP'!E14</f>
        <v>1743325</v>
      </c>
      <c r="C67" s="174">
        <f>'1st Interim-Unrestricted MYP'!G15</f>
        <v>0</v>
      </c>
      <c r="D67" s="174">
        <f>'1st Interim-Unrestricted MYP'!I14</f>
        <v>0</v>
      </c>
      <c r="E67" s="174">
        <f>'1st Interim-Unrestricted MYP'!K14</f>
        <v>0</v>
      </c>
    </row>
    <row r="68" spans="1:5" ht="15.75">
      <c r="A68" s="1" t="s">
        <v>485</v>
      </c>
      <c r="B68" s="174">
        <f>'1st Interim-Unrestricted MYP'!E15</f>
        <v>0</v>
      </c>
      <c r="C68" s="174">
        <f>'1st Interim-Unrestricted MYP'!G15</f>
        <v>0</v>
      </c>
      <c r="D68" s="174">
        <f>'1st Interim-Unrestricted MYP'!I15</f>
        <v>0</v>
      </c>
      <c r="E68" s="174">
        <f>'1st Interim-Unrestricted MYP'!K15</f>
        <v>0</v>
      </c>
    </row>
    <row r="69" spans="1:5" ht="15.75">
      <c r="A69" s="1" t="s">
        <v>486</v>
      </c>
      <c r="B69" s="174">
        <f>'1st Interim-Unrestricted MYP'!E16</f>
        <v>295369</v>
      </c>
      <c r="C69" s="174">
        <f>'1st Interim-Unrestricted MYP'!G16</f>
        <v>0</v>
      </c>
      <c r="D69" s="174">
        <f>'1st Interim-Unrestricted MYP'!I16</f>
        <v>0</v>
      </c>
      <c r="E69" s="174">
        <f>'1st Interim-Unrestricted MYP'!K16</f>
        <v>0</v>
      </c>
    </row>
    <row r="71" spans="1:5">
      <c r="A71" s="135" t="s">
        <v>359</v>
      </c>
      <c r="B71" s="1246">
        <f>'1st Interim-Summary MYP'!E73</f>
        <v>0.04</v>
      </c>
      <c r="C71" s="1246">
        <f>'1st Interim-Summary MYP'!G73</f>
        <v>0.04</v>
      </c>
      <c r="D71" s="1246">
        <f>'1st Interim-Summary MYP'!I73</f>
        <v>0.04</v>
      </c>
      <c r="E71" s="1246">
        <f>'1st Interim-Summary MYP'!K73</f>
        <v>0.04</v>
      </c>
    </row>
    <row r="72" spans="1:5">
      <c r="A72" s="135" t="s">
        <v>487</v>
      </c>
      <c r="B72" s="1246" t="str">
        <f>IF('1st Interim-Summary MYP'!E74="","",'1st Interim-Summary MYP'!E74)</f>
        <v/>
      </c>
      <c r="C72" s="1246" t="str">
        <f>IF('1st Interim-Summary MYP'!G74="","",'1st Interim-Summary MYP'!G74)</f>
        <v/>
      </c>
      <c r="D72" s="1246" t="str">
        <f>IF('1st Interim-Summary MYP'!I74="","",'1st Interim-Summary MYP'!I74)</f>
        <v/>
      </c>
      <c r="E72" s="1246" t="str">
        <f>IF('1st Interim-Summary MYP'!K74="","",'1st Interim-Summary MYP'!K74)</f>
        <v/>
      </c>
    </row>
    <row r="73" spans="1:5" ht="15.75">
      <c r="A73" s="1" t="s">
        <v>488</v>
      </c>
      <c r="B73" s="1246">
        <f>'1st Interim-Summary MYP'!E71</f>
        <v>0.31964127351280497</v>
      </c>
      <c r="C73" s="1246">
        <f>'1st Interim-Summary MYP'!G71</f>
        <v>0.10390856253837968</v>
      </c>
      <c r="D73" s="1246">
        <f>'1st Interim-Summary MYP'!I71</f>
        <v>0.14023566460257586</v>
      </c>
      <c r="E73" s="1246">
        <f>'1st Interim-Summary MYP'!K71</f>
        <v>0.17676395569474404</v>
      </c>
    </row>
    <row r="74" spans="1:5" ht="15.75">
      <c r="A74" s="1" t="s">
        <v>366</v>
      </c>
      <c r="B74" s="1246">
        <f>'1st Interim-Summary MYP'!E81</f>
        <v>0.107</v>
      </c>
      <c r="C74" s="1246">
        <f>'1st Interim-Summary MYP'!G81</f>
        <v>3.5000000000000003E-2</v>
      </c>
      <c r="D74" s="1246">
        <f>'1st Interim-Summary MYP'!I81</f>
        <v>4.7E-2</v>
      </c>
      <c r="E74" s="1246">
        <f>'1st Interim-Summary MYP'!K81</f>
        <v>5.8999999999999997E-2</v>
      </c>
    </row>
    <row r="75" spans="1:5" ht="15.75">
      <c r="A75" s="1" t="s">
        <v>489</v>
      </c>
      <c r="B75" s="1246">
        <f>'1st Interim-Summary MYP'!E80</f>
        <v>0</v>
      </c>
      <c r="C75" s="1246">
        <f>'1st Interim-Summary MYP'!G80</f>
        <v>6.9000000000000006E-2</v>
      </c>
      <c r="D75" s="1246">
        <f>'1st Interim-Summary MYP'!I80</f>
        <v>0</v>
      </c>
      <c r="E75" s="1246">
        <f>'1st Interim-Summary MYP'!K80</f>
        <v>0</v>
      </c>
    </row>
    <row r="77" spans="1:5" ht="15.75">
      <c r="A77" s="1" t="s">
        <v>490</v>
      </c>
      <c r="B77" s="1229">
        <f>'1st Interim-Unrestricted MYP'!E26+'1st Interim-Unrestricted MYP'!E42</f>
        <v>10766827.05752</v>
      </c>
      <c r="C77" s="1229">
        <f>'1st Interim-Unrestricted MYP'!G26+'1st Interim-Unrestricted MYP'!G42</f>
        <v>9275202.9630968012</v>
      </c>
      <c r="D77" s="1229">
        <f>'1st Interim-Unrestricted MYP'!I26+'1st Interim-Unrestricted MYP'!I42</f>
        <v>8865760.2158384006</v>
      </c>
      <c r="E77" s="1229">
        <f>'1st Interim-Unrestricted MYP'!K26+'1st Interim-Unrestricted MYP'!K42</f>
        <v>9260468.2158384006</v>
      </c>
    </row>
    <row r="78" spans="1:5" ht="15.75">
      <c r="A78" s="1" t="s">
        <v>491</v>
      </c>
      <c r="B78" s="1229">
        <f>'1st Interim-Unrestricted MYP'!E37+'1st Interim-Unrestricted MYP'!E43</f>
        <v>9130720.6497142855</v>
      </c>
      <c r="C78" s="1229">
        <f>'1st Interim-Unrestricted MYP'!G37+'1st Interim-Unrestricted MYP'!G43</f>
        <v>9959040.185967885</v>
      </c>
      <c r="D78" s="1229">
        <f>'1st Interim-Unrestricted MYP'!I37+'1st Interim-Unrestricted MYP'!I43</f>
        <v>8648428.6195182968</v>
      </c>
      <c r="E78" s="1229">
        <f>'1st Interim-Unrestricted MYP'!K37+'1st Interim-Unrestricted MYP'!K43</f>
        <v>8820889.257388588</v>
      </c>
    </row>
    <row r="80" spans="1:5" ht="15.75">
      <c r="A80" s="1" t="s">
        <v>492</v>
      </c>
      <c r="B80" s="1229">
        <f>'1st Interim-Restricted MYP'!E26+'1st Interim-Restricted MYP'!E42</f>
        <v>3159391.3721232004</v>
      </c>
      <c r="C80" s="1229">
        <f>'1st Interim-Restricted MYP'!G26+'1st Interim-Restricted MYP'!G42</f>
        <v>3282565.0752839996</v>
      </c>
      <c r="D80" s="1229">
        <f>'1st Interim-Restricted MYP'!I26+'1st Interim-Restricted MYP'!I42</f>
        <v>2121941.9630239997</v>
      </c>
      <c r="E80" s="1229">
        <f>'1st Interim-Restricted MYP'!K26+'1st Interim-Restricted MYP'!K42</f>
        <v>2036254.121828415</v>
      </c>
    </row>
    <row r="81" spans="1:5" ht="15.75">
      <c r="A81" s="1" t="s">
        <v>493</v>
      </c>
      <c r="B81" s="1229">
        <f>'1st Interim-Restricted MYP'!E37+'1st Interim-Restricted MYP'!E43</f>
        <v>3272551.2175118001</v>
      </c>
      <c r="C81" s="1229">
        <f>'1st Interim-Restricted MYP'!G37+'1st Interim-Restricted MYP'!G43</f>
        <v>2677177.8027463998</v>
      </c>
      <c r="D81" s="1229">
        <f>'1st Interim-Restricted MYP'!I37+'1st Interim-Restricted MYP'!I43</f>
        <v>2264222.2228046698</v>
      </c>
      <c r="E81" s="1229">
        <f>'1st Interim-Restricted MYP'!K37+'1st Interim-Restricted MYP'!K43</f>
        <v>2323474.3893534909</v>
      </c>
    </row>
    <row r="83" spans="1:5" ht="15.75">
      <c r="A83" s="1" t="s">
        <v>344</v>
      </c>
      <c r="B83" s="158"/>
      <c r="C83" s="158">
        <f>'1st Interim-Restricted MYP'!G144</f>
        <v>0</v>
      </c>
      <c r="D83" s="158">
        <f>'1st Interim-Restricted MYP'!I144</f>
        <v>0</v>
      </c>
      <c r="E83" s="979">
        <f>'1st Interim-Restricted MYP'!K144</f>
        <v>0</v>
      </c>
    </row>
    <row r="84" spans="1:5" ht="15.75">
      <c r="A84" s="1" t="s">
        <v>494</v>
      </c>
      <c r="B84" s="1274" t="str">
        <f>T('1st Interim-Restricted MYP'!E145)</f>
        <v/>
      </c>
      <c r="C84" s="1274" t="str">
        <f>T('Budget-Restricted MYP'!F145)</f>
        <v/>
      </c>
      <c r="D84" s="1274" t="str">
        <f>T('Budget-Restricted MYP'!G145)</f>
        <v/>
      </c>
      <c r="E84" s="1274" t="str">
        <f>T('Budget-Restricted MYP'!H145)</f>
        <v/>
      </c>
    </row>
    <row r="85" spans="1:5" ht="15.75">
      <c r="A85" s="1" t="s">
        <v>346</v>
      </c>
      <c r="B85" s="1270"/>
      <c r="C85" s="1270">
        <f>'1st Interim-Restricted MYP'!G146</f>
        <v>0</v>
      </c>
      <c r="D85" s="1270">
        <f>'1st Interim-Restricted MYP'!I146</f>
        <v>0</v>
      </c>
      <c r="E85" s="1270">
        <f>'1st Interim-Restricted MYP'!K146</f>
        <v>0</v>
      </c>
    </row>
    <row r="86" spans="1:5" ht="15.75">
      <c r="A86" s="1" t="s">
        <v>347</v>
      </c>
      <c r="B86" s="1270"/>
      <c r="C86" s="1270">
        <f>'1st Interim-Restricted MYP'!G147</f>
        <v>0</v>
      </c>
      <c r="D86" s="1270">
        <f>'1st Interim-Restricted MYP'!I147</f>
        <v>0</v>
      </c>
      <c r="E86" s="1270">
        <f>'1st Interim-Restricted MYP'!K147</f>
        <v>0</v>
      </c>
    </row>
    <row r="87" spans="1:5" ht="15.75">
      <c r="A87" s="1" t="s">
        <v>495</v>
      </c>
      <c r="B87" s="1270"/>
      <c r="C87" s="1270">
        <f>'1st Interim-Restricted MYP'!G148</f>
        <v>0</v>
      </c>
      <c r="D87" s="1270">
        <f>'1st Interim-Restricted MYP'!I148</f>
        <v>0</v>
      </c>
      <c r="E87" s="1270">
        <f>'1st Interim-Restricted MYP'!K148</f>
        <v>0</v>
      </c>
    </row>
    <row r="88" spans="1:5" ht="15.75">
      <c r="A88" s="1" t="s">
        <v>349</v>
      </c>
      <c r="B88" s="1270"/>
      <c r="C88" s="1270">
        <f>'1st Interim-Restricted MYP'!G149</f>
        <v>0</v>
      </c>
      <c r="D88" s="1270">
        <f>'1st Interim-Restricted MYP'!I149</f>
        <v>0</v>
      </c>
      <c r="E88" s="1270">
        <f>'1st Interim-Restricted MYP'!K149</f>
        <v>0</v>
      </c>
    </row>
    <row r="89" spans="1:5" ht="15.75">
      <c r="A89" s="1" t="s">
        <v>350</v>
      </c>
      <c r="B89" s="1270"/>
      <c r="C89" s="1270">
        <f>'1st Interim-Restricted MYP'!G150</f>
        <v>0</v>
      </c>
      <c r="D89" s="1270">
        <f>'1st Interim-Restricted MYP'!I150</f>
        <v>0</v>
      </c>
      <c r="E89" s="1270">
        <f>'1st Interim-Restricted MYP'!K150</f>
        <v>0</v>
      </c>
    </row>
    <row r="91" spans="1:5" ht="15.75">
      <c r="A91" s="81" t="s">
        <v>496</v>
      </c>
    </row>
    <row r="92" spans="1:5" ht="15.75">
      <c r="A92" s="1" t="s">
        <v>256</v>
      </c>
      <c r="B92" s="174">
        <f>'1st Interim-Unrestricted MYP'!E29</f>
        <v>2141205.7039999999</v>
      </c>
      <c r="C92" s="174">
        <f>'1st Interim-Unrestricted MYP'!G29</f>
        <v>1808534</v>
      </c>
      <c r="D92" s="174">
        <f>'1st Interim-Unrestricted MYP'!I29</f>
        <v>1588827.7607206451</v>
      </c>
      <c r="E92" s="174">
        <f>'1st Interim-Unrestricted MYP'!K29</f>
        <v>1626324.0958736523</v>
      </c>
    </row>
    <row r="93" spans="1:5" ht="15.75">
      <c r="A93" s="1" t="s">
        <v>258</v>
      </c>
      <c r="B93" s="174">
        <f>'1st Interim-Unrestricted MYP'!E30</f>
        <v>1361635.92</v>
      </c>
      <c r="C93" s="174">
        <f>'1st Interim-Unrestricted MYP'!G30</f>
        <v>1511083.1570000001</v>
      </c>
      <c r="D93" s="174">
        <f>'1st Interim-Unrestricted MYP'!I30</f>
        <v>1036123.9696266929</v>
      </c>
      <c r="E93" s="174">
        <f>'1st Interim-Unrestricted MYP'!K30</f>
        <v>1060576.495309883</v>
      </c>
    </row>
    <row r="94" spans="1:5" ht="15.75">
      <c r="A94" s="1" t="s">
        <v>260</v>
      </c>
      <c r="B94" s="174">
        <f>'1st Interim-Unrestricted MYP'!E31</f>
        <v>1389040.6</v>
      </c>
      <c r="C94" s="174">
        <f>'1st Interim-Unrestricted MYP'!G31</f>
        <v>1370571.6332536</v>
      </c>
      <c r="D94" s="174">
        <f>'1st Interim-Unrestricted MYP'!I31</f>
        <v>1217688.6503423871</v>
      </c>
      <c r="E94" s="174">
        <f>'1st Interim-Unrestricted MYP'!K31</f>
        <v>1257084.4625999103</v>
      </c>
    </row>
    <row r="95" spans="1:5" ht="15.75">
      <c r="A95" s="1" t="s">
        <v>262</v>
      </c>
      <c r="B95" s="174">
        <f>'1st Interim-Unrestricted MYP'!E32</f>
        <v>545283.35</v>
      </c>
      <c r="C95" s="174">
        <f>'1st Interim-Unrestricted MYP'!G32</f>
        <v>741149.85</v>
      </c>
      <c r="D95" s="174">
        <f>'1st Interim-Unrestricted MYP'!I32</f>
        <v>507532.84700000001</v>
      </c>
      <c r="E95" s="174">
        <f>'1st Interim-Unrestricted MYP'!K32</f>
        <v>517683.50393999997</v>
      </c>
    </row>
    <row r="96" spans="1:5" ht="15.75">
      <c r="A96" s="1" t="s">
        <v>264</v>
      </c>
      <c r="B96" s="174">
        <f>'1st Interim-Unrestricted MYP'!E33</f>
        <v>3437167.79</v>
      </c>
      <c r="C96" s="174">
        <f>'1st Interim-Unrestricted MYP'!G33</f>
        <v>4271314.0199999996</v>
      </c>
      <c r="D96" s="174">
        <f>'1st Interim-Unrestricted MYP'!I33</f>
        <v>4036740.3003999996</v>
      </c>
      <c r="E96" s="174">
        <f>'1st Interim-Unrestricted MYP'!K33</f>
        <v>4092475.1064079995</v>
      </c>
    </row>
    <row r="97" spans="1:5" ht="15.75">
      <c r="A97" s="1" t="s">
        <v>266</v>
      </c>
      <c r="B97" s="174">
        <f>'1st Interim-Unrestricted MYP'!E34</f>
        <v>204240.28571428571</v>
      </c>
      <c r="C97" s="174">
        <f>'1st Interim-Unrestricted MYP'!G34</f>
        <v>204240.28571428571</v>
      </c>
      <c r="D97" s="174">
        <f>'1st Interim-Unrestricted MYP'!I34</f>
        <v>208325.09142857144</v>
      </c>
      <c r="E97" s="174">
        <f>'1st Interim-Unrestricted MYP'!K34</f>
        <v>212491.59325714287</v>
      </c>
    </row>
    <row r="98" spans="1:5" ht="15.75">
      <c r="A98" s="1" t="s">
        <v>268</v>
      </c>
      <c r="B98" s="174">
        <f>'1st Interim-Unrestricted MYP'!E35</f>
        <v>0</v>
      </c>
      <c r="C98" s="174">
        <f>'1st Interim-Unrestricted MYP'!G35</f>
        <v>0</v>
      </c>
      <c r="D98" s="174">
        <f>'1st Interim-Unrestricted MYP'!I35</f>
        <v>0</v>
      </c>
      <c r="E98" s="174">
        <f>'1st Interim-Unrestricted MYP'!K35</f>
        <v>0</v>
      </c>
    </row>
    <row r="99" spans="1:5" ht="15.75">
      <c r="A99" s="1" t="s">
        <v>270</v>
      </c>
      <c r="B99" s="174">
        <f>'1st Interim-Unrestricted MYP'!E36</f>
        <v>52147</v>
      </c>
      <c r="C99" s="174">
        <f>'1st Interim-Unrestricted MYP'!G36</f>
        <v>52147.24</v>
      </c>
      <c r="D99" s="174">
        <f>'1st Interim-Unrestricted MYP'!I36</f>
        <v>53190</v>
      </c>
      <c r="E99" s="174">
        <f>'1st Interim-Unrestricted MYP'!K36</f>
        <v>54254</v>
      </c>
    </row>
    <row r="100" spans="1:5" ht="15.75">
      <c r="A100" s="1" t="s">
        <v>497</v>
      </c>
      <c r="B100" s="174">
        <f>'1st Interim-Unrestricted MYP'!E37</f>
        <v>9130720.6497142855</v>
      </c>
      <c r="C100" s="174">
        <f>'1st Interim-Unrestricted MYP'!G37</f>
        <v>9959040.185967885</v>
      </c>
      <c r="D100" s="1229">
        <f>'1st Interim-Unrestricted MYP'!I37</f>
        <v>8648428.6195182968</v>
      </c>
      <c r="E100" s="174">
        <f>'1st Interim-Unrestricted MYP'!K37</f>
        <v>8820889.257388588</v>
      </c>
    </row>
    <row r="102" spans="1:5" ht="15.75">
      <c r="A102" s="81" t="s">
        <v>498</v>
      </c>
    </row>
    <row r="103" spans="1:5" ht="15.75">
      <c r="A103" s="1" t="s">
        <v>256</v>
      </c>
      <c r="B103" s="174">
        <f>'1st Interim-Restricted MYP'!E29</f>
        <v>965931.3759999997</v>
      </c>
      <c r="C103" s="174">
        <f>'1st Interim-Restricted MYP'!G29</f>
        <v>1104421.128</v>
      </c>
      <c r="D103" s="174">
        <f>'1st Interim-Restricted MYP'!I29</f>
        <v>1026320.4379703561</v>
      </c>
      <c r="E103" s="174">
        <f>'1st Interim-Restricted MYP'!K29</f>
        <v>1050541.6003064567</v>
      </c>
    </row>
    <row r="104" spans="1:5" ht="15.75">
      <c r="A104" s="1" t="s">
        <v>258</v>
      </c>
      <c r="B104" s="174">
        <f>'1st Interim-Restricted MYP'!E30</f>
        <v>638957.80500000017</v>
      </c>
      <c r="C104" s="174">
        <f>'1st Interim-Restricted MYP'!G30</f>
        <v>836217.30799999996</v>
      </c>
      <c r="D104" s="174">
        <f>'1st Interim-Restricted MYP'!I30</f>
        <v>573379.95769580721</v>
      </c>
      <c r="E104" s="174">
        <f>'1st Interim-Restricted MYP'!K30</f>
        <v>586911.72469742829</v>
      </c>
    </row>
    <row r="105" spans="1:5" ht="15.75">
      <c r="A105" s="1" t="s">
        <v>260</v>
      </c>
      <c r="B105" s="174">
        <f>'1st Interim-Restricted MYP'!E31</f>
        <v>543372.37651180022</v>
      </c>
      <c r="C105" s="174">
        <f>'1st Interim-Restricted MYP'!G31</f>
        <v>736539.36674639967</v>
      </c>
      <c r="D105" s="174">
        <f>'1st Interim-Restricted MYP'!I31</f>
        <v>664521.82713850623</v>
      </c>
      <c r="E105" s="174">
        <f>'1st Interim-Restricted MYP'!K31</f>
        <v>686021.06434960593</v>
      </c>
    </row>
    <row r="106" spans="1:5" ht="15.75">
      <c r="A106" s="1" t="s">
        <v>262</v>
      </c>
      <c r="B106" s="174">
        <f>'1st Interim-Restricted MYP'!E32</f>
        <v>195969</v>
      </c>
      <c r="C106" s="174">
        <f>'1st Interim-Restricted MYP'!G32</f>
        <v>0</v>
      </c>
      <c r="D106" s="174">
        <f>'1st Interim-Restricted MYP'!I32</f>
        <v>0</v>
      </c>
      <c r="E106" s="174">
        <f>'1st Interim-Restricted MYP'!K32</f>
        <v>0</v>
      </c>
    </row>
    <row r="107" spans="1:5" ht="15.75">
      <c r="A107" s="1" t="s">
        <v>264</v>
      </c>
      <c r="B107" s="174">
        <f>'1st Interim-Restricted MYP'!E33</f>
        <v>928320.65999999992</v>
      </c>
      <c r="C107" s="174">
        <f>'1st Interim-Restricted MYP'!G33</f>
        <v>0</v>
      </c>
      <c r="D107" s="174">
        <f>'1st Interim-Restricted MYP'!I33</f>
        <v>0</v>
      </c>
      <c r="E107" s="174">
        <f>'1st Interim-Restricted MYP'!K33</f>
        <v>0</v>
      </c>
    </row>
    <row r="108" spans="1:5" ht="15.75">
      <c r="A108" s="1" t="s">
        <v>266</v>
      </c>
      <c r="B108" s="174">
        <f>'1st Interim-Restricted MYP'!E34</f>
        <v>0</v>
      </c>
      <c r="C108" s="174">
        <f>'1st Interim-Restricted MYP'!G34</f>
        <v>0</v>
      </c>
      <c r="D108" s="174">
        <f>'1st Interim-Restricted MYP'!I34</f>
        <v>0</v>
      </c>
      <c r="E108" s="174">
        <f>'1st Interim-Restricted MYP'!K34</f>
        <v>0</v>
      </c>
    </row>
    <row r="109" spans="1:5" ht="15.75">
      <c r="A109" s="1" t="s">
        <v>268</v>
      </c>
      <c r="B109" s="174">
        <f>'1st Interim-Restricted MYP'!E35</f>
        <v>0</v>
      </c>
      <c r="C109" s="174">
        <f>'1st Interim-Restricted MYP'!G35</f>
        <v>0</v>
      </c>
      <c r="D109" s="174">
        <f>'1st Interim-Restricted MYP'!I35</f>
        <v>0</v>
      </c>
      <c r="E109" s="174">
        <f>'1st Interim-Restricted MYP'!K35</f>
        <v>0</v>
      </c>
    </row>
    <row r="110" spans="1:5" ht="15.75">
      <c r="A110" s="1" t="s">
        <v>270</v>
      </c>
      <c r="B110" s="174">
        <f>'1st Interim-Restricted MYP'!E36</f>
        <v>0</v>
      </c>
      <c r="C110" s="174">
        <f>'1st Interim-Restricted MYP'!G36</f>
        <v>0</v>
      </c>
      <c r="D110" s="174">
        <f>'1st Interim-Restricted MYP'!I36</f>
        <v>0</v>
      </c>
      <c r="E110" s="174">
        <f>'1st Interim-Restricted MYP'!K36</f>
        <v>0</v>
      </c>
    </row>
    <row r="111" spans="1:5" ht="15.75">
      <c r="A111" s="1" t="s">
        <v>497</v>
      </c>
      <c r="B111" s="174">
        <f>'1st Interim-Restricted MYP'!E37</f>
        <v>3272551.2175118001</v>
      </c>
      <c r="C111" s="174">
        <f>'1st Interim-Restricted MYP'!G37</f>
        <v>2677177.8027463998</v>
      </c>
      <c r="D111" s="174">
        <f>'1st Interim-Restricted MYP'!I37</f>
        <v>2264222.2228046698</v>
      </c>
      <c r="E111" s="174">
        <f>'1st Interim-Restricted MYP'!K37</f>
        <v>2323474.3893534909</v>
      </c>
    </row>
    <row r="113" spans="1:5">
      <c r="A113" t="s">
        <v>213</v>
      </c>
      <c r="C113" s="1229">
        <f>'1st Interim-Assumptions'!G67</f>
        <v>1152802.93</v>
      </c>
      <c r="D113" s="1229">
        <f>'1st Interim-Assumptions'!H67</f>
        <v>1187387.0178999999</v>
      </c>
      <c r="E113" s="1229">
        <f>'1st Interim-Assumptions'!J67</f>
        <v>1223008.6284369999</v>
      </c>
    </row>
    <row r="114" spans="1:5">
      <c r="A114" t="s">
        <v>214</v>
      </c>
      <c r="C114" s="1229">
        <f>'1st Interim-Assumptions'!G68</f>
        <v>156406.39999999999</v>
      </c>
      <c r="D114" s="1229">
        <f>'1st Interim-Assumptions'!H68</f>
        <v>161098.592</v>
      </c>
      <c r="E114" s="1229">
        <f>'1st Interim-Assumptions'!J68</f>
        <v>165931.54975999999</v>
      </c>
    </row>
    <row r="115" spans="1:5">
      <c r="A115" t="s">
        <v>215</v>
      </c>
      <c r="C115" s="1229" t="str">
        <f>'1st Interim-Assumptions'!G69</f>
        <v>included in above</v>
      </c>
      <c r="D115" s="1229" t="str">
        <f>'1st Interim-Assumptions'!H69</f>
        <v>included in above</v>
      </c>
      <c r="E115" s="1229" t="str">
        <f>'1st Interim-Assumptions'!J69</f>
        <v>included in above</v>
      </c>
    </row>
    <row r="116" spans="1:5">
      <c r="A116" t="s">
        <v>217</v>
      </c>
      <c r="C116" s="1229">
        <f>'1st Interim-Assumptions'!G70</f>
        <v>0</v>
      </c>
      <c r="D116" s="1229">
        <f>'1st Interim-Assumptions'!H70</f>
        <v>0</v>
      </c>
      <c r="E116" s="1229">
        <f>'1st Interim-Assumptions'!J70</f>
        <v>0</v>
      </c>
    </row>
    <row r="118" spans="1:5">
      <c r="A118" t="s">
        <v>220</v>
      </c>
      <c r="C118" s="1229">
        <f>'1st Interim-Assumptions'!G76</f>
        <v>71155.28</v>
      </c>
      <c r="D118" s="1229">
        <f>'1st Interim-Assumptions'!H76</f>
        <v>86340.91</v>
      </c>
      <c r="E118" s="1229">
        <f>'1st Interim-Assumptions'!J76</f>
        <v>90258.09</v>
      </c>
    </row>
    <row r="119" spans="1:5">
      <c r="A119" t="s">
        <v>221</v>
      </c>
      <c r="C119" s="1229">
        <f>'1st Interim-Assumptions'!G77</f>
        <v>226592</v>
      </c>
      <c r="D119" s="1229">
        <f>'1st Interim-Assumptions'!H77</f>
        <v>233389.76</v>
      </c>
      <c r="E119" s="1229">
        <f>'1st Interim-Assumptions'!J77</f>
        <v>240391</v>
      </c>
    </row>
    <row r="120" spans="1:5">
      <c r="A120" t="s">
        <v>499</v>
      </c>
      <c r="C120" s="1229">
        <f>'1st Interim-Assumptions'!G78</f>
        <v>0</v>
      </c>
      <c r="D120" s="1229">
        <f>'1st Interim-Assumptions'!H78</f>
        <v>0</v>
      </c>
      <c r="E120" s="1229">
        <f>'1st Interim-Assumptions'!J78</f>
        <v>0</v>
      </c>
    </row>
    <row r="121" spans="1:5">
      <c r="C121" s="1229"/>
      <c r="D121" s="1229"/>
      <c r="E121" s="1229"/>
    </row>
    <row r="122" spans="1:5">
      <c r="A122" s="133" t="s">
        <v>500</v>
      </c>
    </row>
    <row r="123" spans="1:5">
      <c r="A123" t="str">
        <f>T('1st Interim-DEBT'!A15)</f>
        <v>State School Building Loans</v>
      </c>
      <c r="C123" s="174">
        <f>'1st Interim-DEBT'!E15+'1st Interim-DEBT'!F15</f>
        <v>0</v>
      </c>
      <c r="D123" s="174">
        <f>'1st Interim-DEBT'!G15+'1st Interim-DEBT'!H15</f>
        <v>0</v>
      </c>
      <c r="E123" s="174">
        <f>'1st Interim-DEBT'!I15+'1st Interim-DEBT'!J15</f>
        <v>0</v>
      </c>
    </row>
    <row r="124" spans="1:5">
      <c r="A124" t="str">
        <f>T('1st Interim-DEBT'!A16)</f>
        <v>Charter School Start-up Loans</v>
      </c>
      <c r="C124" s="174">
        <f>'1st Interim-DEBT'!E16+'1st Interim-DEBT'!F16</f>
        <v>0</v>
      </c>
      <c r="D124" s="174">
        <f>'1st Interim-DEBT'!G16+'1st Interim-DEBT'!H16</f>
        <v>0</v>
      </c>
      <c r="E124" s="174">
        <f>'1st Interim-DEBT'!I16+'1st Interim-DEBT'!J16</f>
        <v>0</v>
      </c>
    </row>
    <row r="125" spans="1:5">
      <c r="A125" t="str">
        <f>T('1st Interim-DEBT'!A17)</f>
        <v>Other Post Employment Benefits</v>
      </c>
      <c r="C125" s="174">
        <f>'1st Interim-DEBT'!E17+'1st Interim-DEBT'!F17</f>
        <v>0</v>
      </c>
      <c r="D125" s="174">
        <f>'1st Interim-DEBT'!G17+'1st Interim-DEBT'!H17</f>
        <v>0</v>
      </c>
      <c r="E125" s="174">
        <f>'1st Interim-DEBT'!I17+'1st Interim-DEBT'!J17</f>
        <v>0</v>
      </c>
    </row>
    <row r="126" spans="1:5">
      <c r="A126" t="str">
        <f>T('1st Interim-DEBT'!A18)</f>
        <v>Compensated Absences</v>
      </c>
      <c r="C126" s="174">
        <f>'1st Interim-DEBT'!E18+'1st Interim-DEBT'!F18</f>
        <v>0</v>
      </c>
      <c r="D126" s="174">
        <f>'1st Interim-DEBT'!G18+'1st Interim-DEBT'!H18</f>
        <v>0</v>
      </c>
      <c r="E126" s="174">
        <f>'1st Interim-DEBT'!I18+'1st Interim-DEBT'!J18</f>
        <v>0</v>
      </c>
    </row>
    <row r="127" spans="1:5">
      <c r="A127" t="str">
        <f>T('1st Interim-DEBT'!A19)</f>
        <v>Bank Line of Credit Loans</v>
      </c>
      <c r="C127" s="174">
        <f>'1st Interim-DEBT'!E19+'1st Interim-DEBT'!F19</f>
        <v>2000000</v>
      </c>
      <c r="D127" s="174">
        <f>'1st Interim-DEBT'!G19+'1st Interim-DEBT'!H19</f>
        <v>0</v>
      </c>
      <c r="E127" s="174">
        <f>'1st Interim-DEBT'!I19+'1st Interim-DEBT'!J19</f>
        <v>0</v>
      </c>
    </row>
    <row r="128" spans="1:5">
      <c r="A128" t="str">
        <f>T('1st Interim-DEBT'!A20)</f>
        <v>Municipal Lease</v>
      </c>
      <c r="C128" s="174">
        <f>'1st Interim-DEBT'!E20+'1st Interim-DEBT'!F20</f>
        <v>0</v>
      </c>
      <c r="D128" s="174">
        <f>'1st Interim-DEBT'!G20+'1st Interim-DEBT'!H20</f>
        <v>0</v>
      </c>
      <c r="E128" s="174">
        <f>'1st Interim-DEBT'!I20+'1st Interim-DEBT'!J20</f>
        <v>0</v>
      </c>
    </row>
    <row r="129" spans="1:5">
      <c r="A129" t="str">
        <f>T('1st Interim-DEBT'!A21)</f>
        <v>Capital Lease</v>
      </c>
      <c r="C129" s="174">
        <f>'1st Interim-DEBT'!E21+'1st Interim-DEBT'!F21</f>
        <v>4237.53</v>
      </c>
      <c r="D129" s="174">
        <f>'1st Interim-DEBT'!G21+'1st Interim-DEBT'!H21</f>
        <v>0</v>
      </c>
      <c r="E129" s="174">
        <f>'1st Interim-DEBT'!I21+'1st Interim-DEBT'!J21</f>
        <v>0</v>
      </c>
    </row>
    <row r="130" spans="1:5">
      <c r="A130" t="str">
        <f>T('1st Interim-DEBT'!A22)</f>
        <v>Capital Lease</v>
      </c>
      <c r="C130" s="174">
        <f>'1st Interim-DEBT'!E22+'1st Interim-DEBT'!F22</f>
        <v>0</v>
      </c>
      <c r="D130" s="174">
        <f>'1st Interim-DEBT'!G22+'1st Interim-DEBT'!H22</f>
        <v>0</v>
      </c>
      <c r="E130" s="174">
        <f>'1st Interim-DEBT'!I22+'1st Interim-DEBT'!J22</f>
        <v>0</v>
      </c>
    </row>
    <row r="131" spans="1:5">
      <c r="A131" t="str">
        <f>T('1st Interim-DEBT'!A23)</f>
        <v>Capital Lease</v>
      </c>
      <c r="C131" s="174">
        <f>'1st Interim-DEBT'!E23+'1st Interim-DEBT'!F23</f>
        <v>0</v>
      </c>
      <c r="D131" s="174">
        <f>'1st Interim-DEBT'!G23+'1st Interim-DEBT'!H23</f>
        <v>0</v>
      </c>
      <c r="E131" s="174">
        <f>'1st Interim-DEBT'!I23+'1st Interim-DEBT'!J23</f>
        <v>0</v>
      </c>
    </row>
    <row r="132" spans="1:5">
      <c r="A132" t="str">
        <f>T('1st Interim-DEBT'!A24)</f>
        <v>Inter-Agency Borrowing</v>
      </c>
      <c r="C132" s="174">
        <f>'1st Interim-DEBT'!E24+'1st Interim-DEBT'!F24</f>
        <v>2467017</v>
      </c>
      <c r="D132" s="174">
        <f>'1st Interim-DEBT'!G24+'1st Interim-DEBT'!H24</f>
        <v>0</v>
      </c>
      <c r="E132" s="174">
        <f>'1st Interim-DEBT'!I24+'1st Interim-DEBT'!J24</f>
        <v>0</v>
      </c>
    </row>
    <row r="133" spans="1:5">
      <c r="A133" t="str">
        <f>T('1st Interim-DEBT'!A25)</f>
        <v>Other</v>
      </c>
      <c r="C133" s="174">
        <f>'1st Interim-DEBT'!E25+'1st Interim-DEBT'!F25</f>
        <v>187500</v>
      </c>
      <c r="D133" s="174">
        <f>'1st Interim-DEBT'!G25+'1st Interim-DEBT'!H25</f>
        <v>0</v>
      </c>
      <c r="E133" s="174">
        <f>'1st Interim-DEBT'!I25+'1st Interim-DEBT'!J25</f>
        <v>0</v>
      </c>
    </row>
    <row r="134" spans="1:5">
      <c r="A134" t="str">
        <f>T('1st Interim-DEBT'!A26)</f>
        <v/>
      </c>
    </row>
    <row r="135" spans="1:5">
      <c r="A135" s="133" t="s">
        <v>501</v>
      </c>
    </row>
    <row r="136" spans="1:5">
      <c r="A136" s="135" t="s">
        <v>502</v>
      </c>
      <c r="C136" s="174">
        <f>'1st Interim-Cash Flow Year 1'!E6</f>
        <v>1426798.85</v>
      </c>
    </row>
    <row r="137" spans="1:5">
      <c r="A137" s="135" t="s">
        <v>406</v>
      </c>
      <c r="C137" s="1229">
        <f>'1st Interim-Cash Flow Year 1'!E60</f>
        <v>1982942.0700000003</v>
      </c>
      <c r="D137" s="1229">
        <f>'1st Interim-Cash Flow Year 2'!E60</f>
        <v>512894.01668966917</v>
      </c>
    </row>
    <row r="138" spans="1:5">
      <c r="A138" s="135" t="s">
        <v>408</v>
      </c>
      <c r="C138" s="1229">
        <f>'1st Interim-Cash Flow Year 1'!G60</f>
        <v>1388211.0300000007</v>
      </c>
      <c r="D138" s="1229">
        <f>'1st Interim-Cash Flow Year 2'!G60</f>
        <v>585874.80107452266</v>
      </c>
    </row>
    <row r="139" spans="1:5">
      <c r="A139" s="135" t="s">
        <v>409</v>
      </c>
      <c r="C139" s="1229">
        <f>'1st Interim-Cash Flow Year 1'!I60</f>
        <v>1030440.4200000018</v>
      </c>
      <c r="D139" s="1229">
        <f>'1st Interim-Cash Flow Year 2'!I60</f>
        <v>584204.8266845597</v>
      </c>
    </row>
    <row r="140" spans="1:5">
      <c r="A140" s="135" t="s">
        <v>410</v>
      </c>
      <c r="C140" s="1229">
        <f>'1st Interim-Cash Flow Year 1'!K60</f>
        <v>818109.81000000343</v>
      </c>
      <c r="D140" s="1229">
        <f>'1st Interim-Cash Flow Year 2'!K60</f>
        <v>945596.54078417039</v>
      </c>
    </row>
    <row r="141" spans="1:5">
      <c r="A141" s="135" t="s">
        <v>411</v>
      </c>
      <c r="C141" s="1229">
        <f>'1st Interim-Cash Flow Year 1'!M60</f>
        <v>1064151.0531395911</v>
      </c>
      <c r="D141" s="1229">
        <f>'1st Interim-Cash Flow Year 2'!M60</f>
        <v>762662.94644509524</v>
      </c>
    </row>
    <row r="142" spans="1:5">
      <c r="A142" s="135" t="s">
        <v>412</v>
      </c>
      <c r="C142" s="1229">
        <f>'1st Interim-Cash Flow Year 1'!O60</f>
        <v>469305.91625291854</v>
      </c>
      <c r="D142" s="1229">
        <f>'1st Interim-Cash Flow Year 2'!O60</f>
        <v>667547.88240263786</v>
      </c>
    </row>
    <row r="143" spans="1:5">
      <c r="A143" s="135" t="s">
        <v>413</v>
      </c>
      <c r="C143" s="1229">
        <f>'1st Interim-Cash Flow Year 1'!Q60</f>
        <v>664095.84856126085</v>
      </c>
      <c r="D143" s="1229">
        <f>'1st Interim-Cash Flow Year 2'!Q60</f>
        <v>259009.16836018034</v>
      </c>
    </row>
    <row r="144" spans="1:5">
      <c r="A144" s="135" t="s">
        <v>414</v>
      </c>
      <c r="C144" s="1229">
        <f>'1st Interim-Cash Flow Year 1'!S60</f>
        <v>839130.76086960314</v>
      </c>
      <c r="D144" s="1229">
        <f>'1st Interim-Cash Flow Year 2'!S60</f>
        <v>100470.35431772284</v>
      </c>
    </row>
    <row r="145" spans="1:4">
      <c r="A145" s="135" t="s">
        <v>415</v>
      </c>
      <c r="C145" s="1229">
        <f>'1st Interim-Cash Flow Year 1'!U60</f>
        <v>370764.05503835995</v>
      </c>
      <c r="D145" s="1229">
        <f>'1st Interim-Cash Flow Year 2'!U60</f>
        <v>653713.82856996357</v>
      </c>
    </row>
    <row r="146" spans="1:4">
      <c r="A146" s="135" t="s">
        <v>416</v>
      </c>
      <c r="C146" s="1229">
        <f>'1st Interim-Cash Flow Year 1'!W60</f>
        <v>491563.34920711687</v>
      </c>
      <c r="D146" s="1229">
        <f>'1st Interim-Cash Flow Year 2'!W60</f>
        <v>589203.12643044523</v>
      </c>
    </row>
    <row r="147" spans="1:4">
      <c r="A147" s="135" t="s">
        <v>417</v>
      </c>
      <c r="C147" s="1229">
        <f>'1st Interim-Cash Flow Year 1'!Y60</f>
        <v>211581.14337587368</v>
      </c>
      <c r="D147" s="1229">
        <f>'1st Interim-Cash Flow Year 2'!Y60</f>
        <v>316850.92429092689</v>
      </c>
    </row>
    <row r="148" spans="1:4">
      <c r="A148" s="135" t="s">
        <v>418</v>
      </c>
      <c r="C148" s="1229">
        <f>'1st Interim-Cash Flow Year 1'!AA60</f>
        <v>65793.937544630608</v>
      </c>
      <c r="D148" s="1229">
        <f>'1st Interim-Cash Flow Year 2'!AA60</f>
        <v>487446.07453822857</v>
      </c>
    </row>
  </sheetData>
  <sheetProtection password="CC5F" sheet="1" objects="1" scenarios="1"/>
  <conditionalFormatting sqref="A71">
    <cfRule type="expression" dxfId="158" priority="2" stopIfTrue="1">
      <formula>$E$81=""</formula>
    </cfRule>
  </conditionalFormatting>
  <conditionalFormatting sqref="A72">
    <cfRule type="expression" dxfId="157" priority="1" stopIfTrue="1">
      <formula>$E$81&lt;&gt;0</formula>
    </cfRule>
  </conditionalFormatting>
  <pageMargins left="0.7" right="0.7" top="0.75" bottom="0.75" header="0.3" footer="0.3"/>
  <customProperties>
    <customPr name="DrillPoint.FROID" r:id="rId1"/>
    <customPr name="DrillPoint.Mode" r:id="rId2"/>
    <customPr name="DrillPoint.Subsheet" r:id="rId3"/>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9C1F0-37A3-4D4D-B46C-C8CA849759C1}">
  <sheetPr>
    <pageSetUpPr fitToPage="1"/>
  </sheetPr>
  <dimension ref="A1:S65"/>
  <sheetViews>
    <sheetView showGridLines="0" tabSelected="1" zoomScaleNormal="100" workbookViewId="0">
      <selection activeCell="M18" sqref="M18"/>
    </sheetView>
  </sheetViews>
  <sheetFormatPr defaultRowHeight="12.75"/>
  <cols>
    <col min="13" max="13" width="16.140625" bestFit="1" customWidth="1"/>
  </cols>
  <sheetData>
    <row r="1" spans="1:19" ht="16.5">
      <c r="A1" s="1623" t="s">
        <v>516</v>
      </c>
      <c r="B1" s="108"/>
      <c r="C1" s="108"/>
      <c r="D1" s="108"/>
      <c r="E1" s="109"/>
      <c r="F1" s="109"/>
      <c r="G1" s="109"/>
      <c r="H1" s="109"/>
      <c r="I1" s="109"/>
      <c r="J1" s="114"/>
      <c r="K1" s="114"/>
      <c r="L1" s="115" t="s">
        <v>72</v>
      </c>
      <c r="M1" s="1818" t="str">
        <f>'BUDGET-CERTIFICATION'!$H$1</f>
        <v>Encore High School -</v>
      </c>
      <c r="N1" s="1818"/>
      <c r="O1" s="1818"/>
      <c r="P1" s="1818"/>
      <c r="Q1" s="1818"/>
      <c r="R1" s="1818"/>
      <c r="S1" s="1818"/>
    </row>
    <row r="2" spans="1:19" ht="16.5">
      <c r="A2" s="1816" t="s">
        <v>517</v>
      </c>
      <c r="B2" s="1817"/>
      <c r="C2" s="1817"/>
      <c r="D2" s="1817"/>
      <c r="E2" s="110"/>
      <c r="F2" s="110"/>
      <c r="G2" s="110"/>
      <c r="H2" s="110"/>
      <c r="I2" s="110"/>
      <c r="J2" s="114"/>
      <c r="K2" s="114"/>
      <c r="L2" s="115" t="s">
        <v>74</v>
      </c>
      <c r="M2" s="1819" t="str">
        <f t="array" ref="M2:R2">'BUDGET-CERTIFICATION'!$H$2:$M$2</f>
        <v>35-75044-01166707</v>
      </c>
      <c r="N2" s="1819">
        <v>0</v>
      </c>
      <c r="O2" s="1819">
        <v>0</v>
      </c>
      <c r="P2" s="1819">
        <v>0</v>
      </c>
      <c r="Q2" s="1819">
        <v>0</v>
      </c>
      <c r="R2" s="1819">
        <v>0</v>
      </c>
      <c r="S2" s="1622"/>
    </row>
    <row r="3" spans="1:19" ht="16.5">
      <c r="A3" s="1816" t="s">
        <v>518</v>
      </c>
      <c r="B3" s="1817"/>
      <c r="C3" s="1817"/>
      <c r="D3" s="1817"/>
      <c r="E3" s="109"/>
      <c r="F3" s="109"/>
      <c r="G3" s="109"/>
      <c r="H3" s="109"/>
      <c r="I3" s="109"/>
      <c r="J3" s="114"/>
      <c r="K3" s="114"/>
      <c r="L3" s="115" t="s">
        <v>519</v>
      </c>
      <c r="M3" s="1819" t="str">
        <f>'BUDGET-CERTIFICATION'!$H$3</f>
        <v>Hesperia Unified School District</v>
      </c>
      <c r="N3" s="1819"/>
      <c r="O3" s="1819"/>
      <c r="P3" s="1819"/>
      <c r="Q3" s="1819"/>
      <c r="R3" s="1819"/>
      <c r="S3" s="1622"/>
    </row>
    <row r="4" spans="1:19" ht="16.5">
      <c r="A4" s="1623"/>
      <c r="B4" s="108"/>
      <c r="C4" s="108"/>
      <c r="D4" s="108"/>
      <c r="E4" s="109"/>
      <c r="F4" s="109"/>
      <c r="G4" s="109"/>
      <c r="H4" s="109"/>
      <c r="I4" s="109"/>
      <c r="J4" s="114"/>
      <c r="K4" s="114"/>
      <c r="L4" s="115" t="s">
        <v>78</v>
      </c>
      <c r="M4" s="1819" t="str">
        <f>'BUDGET-CERTIFICATION'!$H$4</f>
        <v>San Bernardino</v>
      </c>
      <c r="N4" s="1819"/>
      <c r="O4" s="1819"/>
      <c r="P4" s="1819"/>
      <c r="Q4" s="1819"/>
      <c r="R4" s="1819"/>
      <c r="S4" s="1622"/>
    </row>
    <row r="5" spans="1:19" ht="16.5">
      <c r="A5" s="1623" t="s">
        <v>520</v>
      </c>
      <c r="B5" s="99"/>
      <c r="C5" s="99"/>
      <c r="D5" s="1623"/>
      <c r="E5" s="112"/>
      <c r="F5" s="112"/>
      <c r="G5" s="112"/>
      <c r="H5" s="112"/>
      <c r="I5" s="112"/>
      <c r="J5" s="114"/>
      <c r="K5" s="114"/>
      <c r="L5" s="115" t="s">
        <v>80</v>
      </c>
      <c r="M5" s="1819" t="str">
        <f>'BUDGET-CERTIFICATION'!$H$5</f>
        <v>971</v>
      </c>
      <c r="N5" s="1819"/>
      <c r="O5" s="1819"/>
      <c r="P5" s="1819"/>
      <c r="Q5" s="1819"/>
      <c r="R5" s="1819"/>
      <c r="S5" s="1622"/>
    </row>
    <row r="6" spans="1:19" ht="15" thickBot="1">
      <c r="A6" s="116"/>
      <c r="B6" s="116"/>
      <c r="C6" s="116"/>
      <c r="D6" s="117"/>
      <c r="E6" s="117"/>
      <c r="F6" s="117"/>
      <c r="G6" s="117"/>
      <c r="H6" s="117"/>
      <c r="I6" s="117"/>
      <c r="J6" s="117"/>
      <c r="K6" s="117"/>
      <c r="L6" s="117"/>
      <c r="M6" s="117"/>
      <c r="N6" s="117"/>
      <c r="O6" s="117"/>
      <c r="P6" s="117"/>
      <c r="Q6" s="99"/>
      <c r="R6" s="99"/>
      <c r="S6" s="1091" t="str">
        <f>Instructions!H1</f>
        <v>Rev. 5/28/2021</v>
      </c>
    </row>
    <row r="7" spans="1:19" ht="15" thickTop="1">
      <c r="A7" s="99"/>
      <c r="B7" s="99"/>
      <c r="C7" s="99"/>
      <c r="D7" s="8"/>
      <c r="E7" s="8"/>
      <c r="F7" s="8"/>
      <c r="G7" s="8"/>
      <c r="H7" s="8"/>
      <c r="I7" s="8"/>
      <c r="J7" s="8"/>
      <c r="K7" s="8"/>
      <c r="L7" s="8"/>
      <c r="M7" s="8"/>
      <c r="N7" s="8"/>
      <c r="O7" s="8"/>
      <c r="P7" s="8"/>
      <c r="Q7" s="221"/>
      <c r="R7" s="221"/>
      <c r="S7" s="1283"/>
    </row>
    <row r="8" spans="1:19" ht="14.25">
      <c r="A8" s="99"/>
      <c r="B8" s="99"/>
      <c r="C8" s="99"/>
      <c r="D8" s="8"/>
      <c r="E8" s="8" t="s">
        <v>82</v>
      </c>
      <c r="F8" s="130"/>
      <c r="G8" s="130"/>
      <c r="H8" s="130"/>
      <c r="I8" s="130"/>
      <c r="J8" s="130"/>
      <c r="K8" s="8"/>
      <c r="L8" s="130"/>
      <c r="M8" s="130"/>
      <c r="N8" s="130"/>
      <c r="O8" s="130"/>
      <c r="P8" s="130"/>
      <c r="Q8" s="1282"/>
      <c r="R8" s="1282"/>
      <c r="S8" s="1282"/>
    </row>
    <row r="9" spans="1:19" ht="14.25" customHeight="1">
      <c r="A9" s="222"/>
      <c r="B9" s="128"/>
      <c r="C9" s="99"/>
      <c r="D9" s="8"/>
      <c r="E9" s="1648" t="str">
        <f>""&amp;'Budget-ADA'!K7&amp;" CHARTER SCHOOL INTERIM REPORT -- ALTERNATIVE FORM:  This report has been approved, and is hereby filed by the charter school pursuant to Education Code Section 47604.33."</f>
        <v>2021-22 CHARTER SCHOOL INTERIM REPORT -- ALTERNATIVE FORM:  This report has been approved, and is hereby filed by the charter school pursuant to Education Code Section 47604.33.</v>
      </c>
      <c r="F9" s="1648"/>
      <c r="G9" s="1648"/>
      <c r="H9" s="1648"/>
      <c r="I9" s="1648"/>
      <c r="J9" s="1648"/>
      <c r="K9" s="1648"/>
      <c r="L9" s="1648"/>
      <c r="M9" s="1648"/>
      <c r="N9" s="1648"/>
      <c r="O9" s="1648"/>
      <c r="P9" s="1648"/>
      <c r="Q9" s="99"/>
      <c r="R9" s="99"/>
      <c r="S9" s="99" t="s">
        <v>521</v>
      </c>
    </row>
    <row r="10" spans="1:19" ht="14.25">
      <c r="A10" s="99"/>
      <c r="B10" s="99"/>
      <c r="C10" s="99"/>
      <c r="D10" s="8"/>
      <c r="E10" s="1648"/>
      <c r="F10" s="1648"/>
      <c r="G10" s="1648"/>
      <c r="H10" s="1648"/>
      <c r="I10" s="1648"/>
      <c r="J10" s="1648"/>
      <c r="K10" s="1648"/>
      <c r="L10" s="1648"/>
      <c r="M10" s="1648"/>
      <c r="N10" s="1648"/>
      <c r="O10" s="1648"/>
      <c r="P10" s="1648"/>
      <c r="Q10" s="99"/>
      <c r="R10" s="99"/>
      <c r="S10" s="99"/>
    </row>
    <row r="11" spans="1:19" ht="27.75" customHeight="1">
      <c r="A11" s="99"/>
      <c r="B11" s="99"/>
      <c r="C11" s="99"/>
      <c r="D11" s="8"/>
      <c r="E11" s="8" t="s">
        <v>83</v>
      </c>
      <c r="F11" s="1642"/>
      <c r="G11" s="1650"/>
      <c r="H11" s="1650"/>
      <c r="I11" s="1650"/>
      <c r="J11" s="1650"/>
      <c r="K11" s="8"/>
      <c r="L11" s="8" t="s">
        <v>84</v>
      </c>
      <c r="M11" s="1642"/>
      <c r="N11" s="1642"/>
      <c r="O11" s="1642"/>
      <c r="P11" s="8"/>
      <c r="Q11" s="99"/>
      <c r="R11" s="99"/>
      <c r="S11" s="99"/>
    </row>
    <row r="12" spans="1:19" ht="14.25">
      <c r="A12" s="99"/>
      <c r="B12" s="99"/>
      <c r="C12" s="99"/>
      <c r="D12" s="99"/>
      <c r="E12" s="99"/>
      <c r="F12" s="120" t="s">
        <v>85</v>
      </c>
      <c r="G12" s="121"/>
      <c r="H12" s="121"/>
      <c r="I12" s="121"/>
      <c r="J12" s="121"/>
      <c r="K12" s="99"/>
      <c r="L12" s="99"/>
      <c r="M12" s="99"/>
      <c r="N12" s="99"/>
      <c r="O12" s="99"/>
      <c r="P12" s="99"/>
      <c r="Q12" s="99"/>
      <c r="R12" s="99"/>
      <c r="S12" s="99"/>
    </row>
    <row r="13" spans="1:19" ht="14.25">
      <c r="A13" s="99"/>
      <c r="B13" s="99"/>
      <c r="C13" s="99"/>
      <c r="D13" s="99"/>
      <c r="E13" s="99"/>
      <c r="F13" s="120" t="s">
        <v>86</v>
      </c>
      <c r="G13" s="121"/>
      <c r="H13" s="121"/>
      <c r="I13" s="121"/>
      <c r="J13" s="121"/>
      <c r="K13" s="99"/>
      <c r="L13" s="99"/>
      <c r="M13" s="99"/>
      <c r="N13" s="99"/>
      <c r="O13" s="99"/>
      <c r="P13" s="99"/>
      <c r="Q13" s="99"/>
      <c r="R13" s="99"/>
      <c r="S13" s="99"/>
    </row>
    <row r="14" spans="1:19" ht="28.5">
      <c r="A14" s="99"/>
      <c r="B14" s="99"/>
      <c r="C14" s="99"/>
      <c r="D14" s="8"/>
      <c r="E14" s="122" t="s">
        <v>87</v>
      </c>
      <c r="F14" s="1645" t="s">
        <v>602</v>
      </c>
      <c r="G14" s="1646"/>
      <c r="H14" s="1646"/>
      <c r="I14" s="1646"/>
      <c r="J14" s="1646"/>
      <c r="K14" s="8"/>
      <c r="L14" s="8" t="s">
        <v>89</v>
      </c>
      <c r="M14" s="1645" t="s">
        <v>603</v>
      </c>
      <c r="N14" s="1645"/>
      <c r="O14" s="1645"/>
      <c r="P14" s="8"/>
      <c r="Q14" s="99"/>
      <c r="R14" s="99"/>
      <c r="S14" s="99"/>
    </row>
    <row r="15" spans="1:19" ht="14.25">
      <c r="A15" s="99"/>
      <c r="B15" s="99"/>
      <c r="C15" s="99"/>
      <c r="D15" s="8"/>
      <c r="E15" s="122"/>
      <c r="F15" s="138"/>
      <c r="G15" s="139"/>
      <c r="H15" s="139"/>
      <c r="I15" s="139"/>
      <c r="J15" s="139"/>
      <c r="K15" s="8"/>
      <c r="L15" s="8"/>
      <c r="M15" s="138"/>
      <c r="N15" s="138"/>
      <c r="O15" s="138"/>
      <c r="P15" s="8"/>
      <c r="Q15" s="99"/>
      <c r="R15" s="99"/>
      <c r="S15" s="99"/>
    </row>
    <row r="16" spans="1:19" ht="14.25">
      <c r="A16" s="99" t="s">
        <v>91</v>
      </c>
      <c r="B16" s="99"/>
      <c r="C16" s="99"/>
      <c r="D16" s="8"/>
      <c r="E16" s="122"/>
      <c r="F16" s="138"/>
      <c r="G16" s="139"/>
      <c r="H16" s="139"/>
      <c r="I16" s="139"/>
      <c r="J16" s="139"/>
      <c r="K16" s="8"/>
      <c r="L16" s="8"/>
      <c r="M16" s="138"/>
      <c r="N16" s="138"/>
      <c r="O16" s="138"/>
      <c r="P16" s="8"/>
      <c r="Q16" s="99"/>
      <c r="R16" s="99"/>
      <c r="S16" s="99"/>
    </row>
    <row r="17" spans="1:19" ht="14.25">
      <c r="A17" s="99"/>
      <c r="B17" s="99"/>
      <c r="C17" s="99"/>
      <c r="D17" s="8"/>
      <c r="E17" s="122"/>
      <c r="F17" s="138"/>
      <c r="G17" s="139"/>
      <c r="H17" s="139"/>
      <c r="I17" s="139"/>
      <c r="J17" s="139"/>
      <c r="K17" s="8"/>
      <c r="L17" s="8"/>
      <c r="M17" s="138"/>
      <c r="N17" s="138"/>
      <c r="O17" s="138"/>
      <c r="P17" s="8"/>
      <c r="Q17" s="99"/>
      <c r="R17" s="99"/>
      <c r="S17" s="99"/>
    </row>
    <row r="18" spans="1:19" ht="14.25">
      <c r="A18" s="222" t="s">
        <v>524</v>
      </c>
      <c r="B18" s="223"/>
      <c r="C18" s="99" t="s">
        <v>525</v>
      </c>
      <c r="D18" s="8"/>
      <c r="E18" s="122"/>
      <c r="F18" s="138"/>
      <c r="G18" s="222" t="s">
        <v>524</v>
      </c>
      <c r="H18" s="223"/>
      <c r="I18" s="99" t="s">
        <v>526</v>
      </c>
      <c r="J18" s="99"/>
      <c r="K18" s="8"/>
      <c r="L18" s="222"/>
      <c r="M18" s="222" t="s">
        <v>524</v>
      </c>
      <c r="N18" s="223"/>
      <c r="O18" s="99" t="s">
        <v>527</v>
      </c>
      <c r="P18" s="8"/>
      <c r="Q18" s="99"/>
      <c r="R18" s="99"/>
      <c r="S18" s="99"/>
    </row>
    <row r="19" spans="1:19" ht="14.25">
      <c r="A19" s="222"/>
      <c r="B19" s="128"/>
      <c r="C19" s="99" t="s">
        <v>528</v>
      </c>
      <c r="D19" s="8"/>
      <c r="E19" s="122"/>
      <c r="F19" s="138"/>
      <c r="G19" s="222"/>
      <c r="H19" s="128"/>
      <c r="I19" s="99" t="s">
        <v>528</v>
      </c>
      <c r="J19" s="99"/>
      <c r="K19" s="8"/>
      <c r="L19" s="222"/>
      <c r="M19" s="128"/>
      <c r="N19" s="99"/>
      <c r="O19" s="99" t="s">
        <v>528</v>
      </c>
      <c r="P19" s="8"/>
      <c r="Q19" s="99"/>
      <c r="R19" s="99"/>
      <c r="S19" s="99"/>
    </row>
    <row r="20" spans="1:19" ht="14.25">
      <c r="A20" s="222"/>
      <c r="B20" s="128"/>
      <c r="C20" s="99" t="s">
        <v>529</v>
      </c>
      <c r="D20" s="8"/>
      <c r="E20" s="122"/>
      <c r="F20" s="138"/>
      <c r="G20" s="222"/>
      <c r="H20" s="128"/>
      <c r="I20" s="99" t="s">
        <v>530</v>
      </c>
      <c r="J20" s="99"/>
      <c r="K20" s="8"/>
      <c r="L20" s="222"/>
      <c r="M20" s="128"/>
      <c r="N20" s="99"/>
      <c r="O20" s="99" t="s">
        <v>531</v>
      </c>
      <c r="P20" s="8"/>
      <c r="Q20" s="99"/>
      <c r="R20" s="99"/>
      <c r="S20" s="99"/>
    </row>
    <row r="21" spans="1:19" ht="14.25">
      <c r="A21" s="222"/>
      <c r="B21" s="128"/>
      <c r="C21" s="99" t="s">
        <v>532</v>
      </c>
      <c r="D21" s="8"/>
      <c r="E21" s="122"/>
      <c r="F21" s="138"/>
      <c r="G21" s="222"/>
      <c r="H21" s="128"/>
      <c r="I21" s="99" t="s">
        <v>533</v>
      </c>
      <c r="J21" s="99"/>
      <c r="K21" s="8"/>
      <c r="L21" s="222"/>
      <c r="M21" s="128"/>
      <c r="N21" s="99"/>
      <c r="O21" s="99" t="s">
        <v>534</v>
      </c>
      <c r="P21" s="8"/>
      <c r="Q21" s="99"/>
      <c r="R21" s="99"/>
      <c r="S21" s="99"/>
    </row>
    <row r="22" spans="1:19" ht="14.25">
      <c r="A22" s="222"/>
      <c r="B22" s="128"/>
      <c r="C22" s="99" t="s">
        <v>535</v>
      </c>
      <c r="D22" s="8"/>
      <c r="E22" s="122"/>
      <c r="F22" s="138"/>
      <c r="G22" s="222"/>
      <c r="H22" s="128"/>
      <c r="I22" s="99" t="s">
        <v>535</v>
      </c>
      <c r="J22" s="99"/>
      <c r="K22" s="8"/>
      <c r="L22" s="222"/>
      <c r="M22" s="128"/>
      <c r="N22" s="99"/>
      <c r="O22" s="99" t="s">
        <v>536</v>
      </c>
      <c r="P22" s="8"/>
      <c r="Q22" s="99"/>
      <c r="R22" s="99"/>
      <c r="S22" s="99"/>
    </row>
    <row r="23" spans="1:19" ht="14.25">
      <c r="A23" s="222"/>
      <c r="B23" s="128"/>
      <c r="C23" s="99"/>
      <c r="D23" s="8"/>
      <c r="E23" s="122"/>
      <c r="F23" s="138"/>
      <c r="G23" s="222"/>
      <c r="H23" s="128"/>
      <c r="I23" s="99"/>
      <c r="J23" s="99"/>
      <c r="K23" s="8"/>
      <c r="L23" s="222"/>
      <c r="M23" s="128"/>
      <c r="N23" s="99"/>
      <c r="O23" s="99" t="s">
        <v>537</v>
      </c>
      <c r="P23" s="8"/>
      <c r="Q23" s="99"/>
      <c r="R23" s="99"/>
      <c r="S23" s="99"/>
    </row>
    <row r="24" spans="1:19" s="1281" customFormat="1" ht="14.25">
      <c r="A24" s="1279"/>
      <c r="B24" s="1279"/>
      <c r="C24" s="1279"/>
      <c r="D24" s="1279"/>
      <c r="E24" s="1279"/>
      <c r="F24" s="1279"/>
      <c r="G24" s="1279"/>
      <c r="H24" s="1279"/>
      <c r="I24" s="1279"/>
      <c r="J24" s="1279"/>
      <c r="K24" s="1279"/>
      <c r="L24" s="1279"/>
      <c r="M24" s="1279"/>
      <c r="N24" s="1279"/>
      <c r="O24" s="1280"/>
      <c r="P24" s="1279"/>
      <c r="Q24" s="1279"/>
      <c r="R24" s="1279"/>
      <c r="S24" s="1279"/>
    </row>
    <row r="25" spans="1:19" ht="14.25">
      <c r="A25" s="8"/>
      <c r="B25" s="8"/>
      <c r="C25" s="8"/>
      <c r="D25" s="8"/>
      <c r="E25" s="8"/>
      <c r="F25" s="8"/>
      <c r="G25" s="8"/>
      <c r="H25" s="8"/>
      <c r="I25" s="8"/>
      <c r="J25" s="8"/>
      <c r="K25" s="8"/>
      <c r="L25" s="8"/>
      <c r="M25" s="8"/>
      <c r="N25" s="8"/>
      <c r="O25" s="99"/>
      <c r="P25" s="8"/>
      <c r="Q25" s="8"/>
      <c r="R25" s="8"/>
      <c r="S25" s="8"/>
    </row>
    <row r="26" spans="1:19" ht="14.25">
      <c r="A26" s="99"/>
      <c r="B26" s="99"/>
      <c r="C26" s="99"/>
      <c r="D26" s="8"/>
      <c r="E26" s="8" t="s">
        <v>98</v>
      </c>
      <c r="F26" s="8"/>
      <c r="G26" s="8"/>
      <c r="H26" s="8"/>
      <c r="I26" s="8"/>
      <c r="J26" s="8"/>
      <c r="K26" s="8"/>
      <c r="L26" s="8"/>
      <c r="M26" s="8"/>
      <c r="N26" s="8"/>
      <c r="O26" s="8"/>
      <c r="P26" s="130"/>
      <c r="Q26" s="130"/>
      <c r="R26" s="130"/>
      <c r="S26" s="130"/>
    </row>
    <row r="27" spans="1:19" ht="14.25" customHeight="1">
      <c r="A27" s="222"/>
      <c r="B27" s="128"/>
      <c r="C27" s="99"/>
      <c r="D27" s="8"/>
      <c r="E27" s="1648" t="str">
        <f>""&amp;'Budget-ADA'!K7&amp;" CHARTER SCHOOL INTERIM REPORT -- ALTERNATIVE FORM:  This report has been reviewed pursuant to Education Code 47604.32(a) is hereby filed with the County Superintendent pursuant to Education Code Section 47604.33."</f>
        <v>2021-22 CHARTER SCHOOL INTERIM REPORT -- ALTERNATIVE FORM:  This report has been reviewed pursuant to Education Code 47604.32(a) is hereby filed with the County Superintendent pursuant to Education Code Section 47604.33.</v>
      </c>
      <c r="F27" s="1648"/>
      <c r="G27" s="1648"/>
      <c r="H27" s="1648"/>
      <c r="I27" s="1648"/>
      <c r="J27" s="1648"/>
      <c r="K27" s="1648"/>
      <c r="L27" s="1648"/>
      <c r="M27" s="1648"/>
      <c r="N27" s="1648"/>
      <c r="O27" s="1648"/>
      <c r="P27" s="1648"/>
      <c r="Q27" s="99"/>
      <c r="R27" s="99"/>
      <c r="S27" s="99"/>
    </row>
    <row r="28" spans="1:19" ht="13.5" customHeight="1">
      <c r="A28" s="99"/>
      <c r="B28" s="99"/>
      <c r="C28" s="99"/>
      <c r="D28" s="8"/>
      <c r="E28" s="1648"/>
      <c r="F28" s="1648"/>
      <c r="G28" s="1648"/>
      <c r="H28" s="1648"/>
      <c r="I28" s="1648"/>
      <c r="J28" s="1648"/>
      <c r="K28" s="1648"/>
      <c r="L28" s="1648"/>
      <c r="M28" s="1648"/>
      <c r="N28" s="1648"/>
      <c r="O28" s="1648"/>
      <c r="P28" s="1648"/>
      <c r="Q28" s="99"/>
      <c r="R28" s="99"/>
      <c r="S28" s="99"/>
    </row>
    <row r="29" spans="1:19" ht="27.75" customHeight="1">
      <c r="A29" s="99"/>
      <c r="B29" s="99"/>
      <c r="C29" s="99"/>
      <c r="D29" s="8"/>
      <c r="E29" s="8" t="s">
        <v>83</v>
      </c>
      <c r="F29" s="1642"/>
      <c r="G29" s="1642"/>
      <c r="H29" s="1642"/>
      <c r="I29" s="1642"/>
      <c r="J29" s="1642"/>
      <c r="K29" s="8"/>
      <c r="L29" s="8" t="s">
        <v>84</v>
      </c>
      <c r="M29" s="1642"/>
      <c r="N29" s="1642"/>
      <c r="O29" s="1642"/>
      <c r="P29" s="8"/>
      <c r="Q29" s="99"/>
      <c r="R29" s="99"/>
      <c r="S29" s="99"/>
    </row>
    <row r="30" spans="1:19" ht="25.5" customHeight="1">
      <c r="A30" s="99"/>
      <c r="B30" s="99"/>
      <c r="C30" s="99"/>
      <c r="D30" s="99"/>
      <c r="E30" s="99"/>
      <c r="F30" s="126" t="s">
        <v>99</v>
      </c>
      <c r="G30" s="126"/>
      <c r="H30" s="126"/>
      <c r="I30" s="126"/>
      <c r="J30" s="126"/>
      <c r="K30" s="99"/>
      <c r="L30" s="99"/>
      <c r="M30" s="127"/>
      <c r="N30" s="127"/>
      <c r="O30" s="127"/>
      <c r="P30" s="99"/>
      <c r="Q30" s="99"/>
      <c r="R30" s="99"/>
      <c r="S30" s="99"/>
    </row>
    <row r="31" spans="1:19">
      <c r="A31" s="99"/>
      <c r="B31" s="99"/>
      <c r="C31" s="99"/>
      <c r="D31" s="99"/>
      <c r="E31" s="99"/>
      <c r="F31" s="108" t="s">
        <v>86</v>
      </c>
      <c r="G31" s="108"/>
      <c r="H31" s="108"/>
      <c r="I31" s="108"/>
      <c r="J31" s="108"/>
      <c r="K31" s="99"/>
      <c r="L31" s="99"/>
      <c r="M31" s="99"/>
      <c r="N31" s="99"/>
      <c r="O31" s="99"/>
      <c r="P31" s="99"/>
      <c r="Q31" s="99"/>
      <c r="R31" s="99"/>
      <c r="S31" s="99"/>
    </row>
    <row r="32" spans="1:19" ht="28.5">
      <c r="A32" s="99"/>
      <c r="B32" s="99"/>
      <c r="C32" s="99"/>
      <c r="D32" s="8"/>
      <c r="E32" s="122" t="s">
        <v>87</v>
      </c>
      <c r="F32" s="1639"/>
      <c r="G32" s="1639"/>
      <c r="H32" s="1639"/>
      <c r="I32" s="1639"/>
      <c r="J32" s="1639"/>
      <c r="K32" s="8"/>
      <c r="L32" s="8" t="s">
        <v>89</v>
      </c>
      <c r="M32" s="1639"/>
      <c r="N32" s="1639"/>
      <c r="O32" s="1639"/>
      <c r="P32" s="8"/>
      <c r="Q32" s="99"/>
      <c r="R32" s="99"/>
      <c r="S32" s="99"/>
    </row>
    <row r="33" spans="1:19" ht="14.25">
      <c r="A33" s="99"/>
      <c r="B33" s="99"/>
      <c r="C33" s="99"/>
      <c r="D33" s="8"/>
      <c r="E33" s="122"/>
      <c r="F33" s="138"/>
      <c r="G33" s="138"/>
      <c r="H33" s="138"/>
      <c r="I33" s="138"/>
      <c r="J33" s="138"/>
      <c r="K33" s="8"/>
      <c r="L33" s="8"/>
      <c r="M33" s="138"/>
      <c r="N33" s="138"/>
      <c r="O33" s="138"/>
      <c r="P33" s="8"/>
      <c r="Q33" s="99"/>
      <c r="R33" s="99"/>
      <c r="S33" s="99"/>
    </row>
    <row r="34" spans="1:19" ht="14.25">
      <c r="A34" s="222" t="s">
        <v>524</v>
      </c>
      <c r="B34" s="1284"/>
      <c r="C34" s="99" t="s">
        <v>525</v>
      </c>
      <c r="D34" s="8"/>
      <c r="E34" s="122"/>
      <c r="F34" s="138"/>
      <c r="G34" s="222" t="s">
        <v>524</v>
      </c>
      <c r="H34" s="1284"/>
      <c r="I34" s="99" t="s">
        <v>526</v>
      </c>
      <c r="J34" s="99"/>
      <c r="K34" s="8"/>
      <c r="L34" s="222"/>
      <c r="M34" s="222" t="s">
        <v>524</v>
      </c>
      <c r="N34" s="1284"/>
      <c r="O34" s="99" t="s">
        <v>527</v>
      </c>
      <c r="P34" s="8"/>
      <c r="Q34" s="99"/>
      <c r="R34" s="99"/>
      <c r="S34" s="99"/>
    </row>
    <row r="35" spans="1:19" ht="14.25">
      <c r="A35" s="222"/>
      <c r="B35" s="128"/>
      <c r="C35" s="99" t="s">
        <v>528</v>
      </c>
      <c r="D35" s="8"/>
      <c r="E35" s="122"/>
      <c r="F35" s="138"/>
      <c r="G35" s="222"/>
      <c r="H35" s="128"/>
      <c r="I35" s="99" t="s">
        <v>528</v>
      </c>
      <c r="J35" s="99"/>
      <c r="K35" s="8"/>
      <c r="L35" s="222"/>
      <c r="M35" s="128"/>
      <c r="N35" s="99"/>
      <c r="O35" s="99" t="s">
        <v>528</v>
      </c>
      <c r="P35" s="8"/>
      <c r="Q35" s="99"/>
      <c r="R35" s="99"/>
      <c r="S35" s="99"/>
    </row>
    <row r="36" spans="1:19" ht="14.25">
      <c r="A36" s="222"/>
      <c r="B36" s="128"/>
      <c r="C36" s="99" t="s">
        <v>529</v>
      </c>
      <c r="D36" s="8"/>
      <c r="E36" s="122"/>
      <c r="F36" s="138"/>
      <c r="G36" s="222"/>
      <c r="H36" s="128"/>
      <c r="I36" s="99" t="s">
        <v>530</v>
      </c>
      <c r="J36" s="99"/>
      <c r="K36" s="8"/>
      <c r="L36" s="222"/>
      <c r="M36" s="128"/>
      <c r="N36" s="99"/>
      <c r="O36" s="99" t="s">
        <v>531</v>
      </c>
      <c r="P36" s="8"/>
      <c r="Q36" s="99"/>
      <c r="R36" s="99"/>
      <c r="S36" s="99"/>
    </row>
    <row r="37" spans="1:19" ht="14.25">
      <c r="A37" s="222"/>
      <c r="B37" s="128"/>
      <c r="C37" s="99" t="s">
        <v>532</v>
      </c>
      <c r="D37" s="8"/>
      <c r="E37" s="122"/>
      <c r="F37" s="138"/>
      <c r="G37" s="222"/>
      <c r="H37" s="128"/>
      <c r="I37" s="99" t="s">
        <v>533</v>
      </c>
      <c r="J37" s="99"/>
      <c r="K37" s="8"/>
      <c r="L37" s="222"/>
      <c r="M37" s="128"/>
      <c r="N37" s="99"/>
      <c r="O37" s="99" t="s">
        <v>534</v>
      </c>
      <c r="P37" s="8"/>
      <c r="Q37" s="99"/>
      <c r="R37" s="99"/>
      <c r="S37" s="99"/>
    </row>
    <row r="38" spans="1:19" ht="14.25">
      <c r="A38" s="222"/>
      <c r="B38" s="128"/>
      <c r="C38" s="99" t="s">
        <v>535</v>
      </c>
      <c r="D38" s="8"/>
      <c r="E38" s="122"/>
      <c r="F38" s="138"/>
      <c r="G38" s="222"/>
      <c r="H38" s="128"/>
      <c r="I38" s="99" t="s">
        <v>535</v>
      </c>
      <c r="J38" s="99"/>
      <c r="K38" s="8"/>
      <c r="L38" s="222"/>
      <c r="M38" s="128"/>
      <c r="N38" s="99"/>
      <c r="O38" s="99" t="s">
        <v>536</v>
      </c>
      <c r="P38" s="8"/>
      <c r="Q38" s="99"/>
      <c r="R38" s="99"/>
      <c r="S38" s="99"/>
    </row>
    <row r="39" spans="1:19" ht="14.25">
      <c r="A39" s="123"/>
      <c r="B39" s="123"/>
      <c r="C39" s="123"/>
      <c r="D39" s="123"/>
      <c r="E39" s="123"/>
      <c r="F39" s="123"/>
      <c r="G39" s="123"/>
      <c r="H39" s="123"/>
      <c r="I39" s="123"/>
      <c r="J39" s="123"/>
      <c r="K39" s="123"/>
      <c r="L39" s="123"/>
      <c r="M39" s="123"/>
      <c r="N39" s="123"/>
      <c r="O39" s="123"/>
      <c r="P39" s="123"/>
      <c r="Q39" s="123"/>
      <c r="R39" s="123"/>
      <c r="S39" s="123"/>
    </row>
    <row r="40" spans="1:19" ht="14.25">
      <c r="A40" s="99"/>
      <c r="B40" s="99"/>
      <c r="C40" s="99"/>
      <c r="D40" s="8"/>
      <c r="E40" s="124" t="s">
        <v>103</v>
      </c>
      <c r="F40" s="124"/>
      <c r="G40" s="124"/>
      <c r="H40" s="124"/>
      <c r="I40" s="124"/>
      <c r="J40" s="124"/>
      <c r="K40" s="124"/>
      <c r="L40" s="124"/>
      <c r="M40" s="124"/>
      <c r="N40" s="124"/>
      <c r="O40" s="124"/>
      <c r="P40" s="125"/>
      <c r="Q40" s="125"/>
      <c r="R40" s="125"/>
      <c r="S40" s="125"/>
    </row>
    <row r="41" spans="1:19" ht="14.25" customHeight="1">
      <c r="A41" s="222"/>
      <c r="B41" s="128"/>
      <c r="C41" s="99"/>
      <c r="D41" s="8"/>
      <c r="E41" s="1648" t="str">
        <f>""&amp;'Budget-ADA'!K7&amp;" CHARTER SCHOOL INTERIM REPORT -- ALTERNATIVE FORM:  This report has been received by the County Superintendent of Schools pursuant to Education Code Section 47604.33(1)."</f>
        <v>2021-22 CHARTER SCHOOL INTERIM REPORT -- ALTERNATIVE FORM:  This report has been received by the County Superintendent of Schools pursuant to Education Code Section 47604.33(1).</v>
      </c>
      <c r="F41" s="1648"/>
      <c r="G41" s="1648"/>
      <c r="H41" s="1648"/>
      <c r="I41" s="1648"/>
      <c r="J41" s="1648"/>
      <c r="K41" s="1648"/>
      <c r="L41" s="1648"/>
      <c r="M41" s="1648"/>
      <c r="N41" s="1648"/>
      <c r="O41" s="1648"/>
      <c r="P41" s="1648"/>
      <c r="Q41" s="99"/>
      <c r="R41" s="99"/>
      <c r="S41" s="99"/>
    </row>
    <row r="42" spans="1:19" ht="14.25">
      <c r="A42" s="99"/>
      <c r="B42" s="99"/>
      <c r="C42" s="99"/>
      <c r="D42" s="8"/>
      <c r="E42" s="1648"/>
      <c r="F42" s="1648"/>
      <c r="G42" s="1648"/>
      <c r="H42" s="1648"/>
      <c r="I42" s="1648"/>
      <c r="J42" s="1648"/>
      <c r="K42" s="1648"/>
      <c r="L42" s="1648"/>
      <c r="M42" s="1648"/>
      <c r="N42" s="1648"/>
      <c r="O42" s="1648"/>
      <c r="P42" s="1648"/>
      <c r="Q42" s="99"/>
      <c r="R42" s="99"/>
      <c r="S42" s="99"/>
    </row>
    <row r="43" spans="1:19" ht="27" customHeight="1">
      <c r="A43" s="99"/>
      <c r="B43" s="99"/>
      <c r="C43" s="99"/>
      <c r="D43" s="8"/>
      <c r="E43" s="8" t="s">
        <v>83</v>
      </c>
      <c r="F43" s="1642"/>
      <c r="G43" s="1642"/>
      <c r="H43" s="1642"/>
      <c r="I43" s="1642"/>
      <c r="J43" s="1642"/>
      <c r="K43" s="8"/>
      <c r="L43" s="8" t="s">
        <v>84</v>
      </c>
      <c r="M43" s="1642"/>
      <c r="N43" s="1642"/>
      <c r="O43" s="1642"/>
      <c r="P43" s="8"/>
      <c r="Q43" s="99"/>
      <c r="R43" s="99"/>
      <c r="S43" s="99"/>
    </row>
    <row r="44" spans="1:19" ht="14.25">
      <c r="A44" s="99"/>
      <c r="B44" s="99"/>
      <c r="C44" s="99"/>
      <c r="D44" s="8"/>
      <c r="E44" s="8"/>
      <c r="F44" s="108" t="s">
        <v>104</v>
      </c>
      <c r="G44" s="108"/>
      <c r="H44" s="108"/>
      <c r="I44" s="108"/>
      <c r="J44" s="108"/>
      <c r="K44" s="128"/>
      <c r="L44" s="8"/>
      <c r="M44" s="8"/>
      <c r="N44" s="8"/>
      <c r="O44" s="8"/>
      <c r="P44" s="8"/>
      <c r="Q44" s="99"/>
      <c r="R44" s="99"/>
      <c r="S44" s="99"/>
    </row>
    <row r="45" spans="1:19" ht="14.25">
      <c r="A45" s="99"/>
      <c r="B45" s="99"/>
      <c r="C45" s="99"/>
      <c r="D45" s="8"/>
      <c r="E45" s="8"/>
      <c r="F45" s="108" t="s">
        <v>86</v>
      </c>
      <c r="G45" s="108"/>
      <c r="H45" s="108"/>
      <c r="I45" s="108"/>
      <c r="J45" s="108"/>
      <c r="K45" s="128"/>
      <c r="L45" s="8"/>
      <c r="M45" s="8"/>
      <c r="N45" s="8"/>
      <c r="O45" s="8"/>
      <c r="P45" s="8"/>
      <c r="Q45" s="99"/>
      <c r="R45" s="99"/>
      <c r="S45" s="99"/>
    </row>
    <row r="46" spans="1:19" ht="13.5" thickBot="1">
      <c r="A46" s="116"/>
      <c r="B46" s="116"/>
      <c r="C46" s="116"/>
      <c r="D46" s="116"/>
      <c r="E46" s="116"/>
      <c r="F46" s="116"/>
      <c r="G46" s="116"/>
      <c r="H46" s="116"/>
      <c r="I46" s="116"/>
      <c r="J46" s="116"/>
      <c r="K46" s="116"/>
      <c r="L46" s="116"/>
      <c r="M46" s="116"/>
      <c r="N46" s="116"/>
      <c r="O46" s="116"/>
      <c r="P46" s="99"/>
      <c r="Q46" s="99"/>
      <c r="R46" s="99"/>
      <c r="S46" s="99"/>
    </row>
    <row r="47" spans="1:19" ht="15" thickTop="1">
      <c r="A47" s="99"/>
      <c r="B47" s="99"/>
      <c r="C47" s="99"/>
      <c r="D47" s="99"/>
      <c r="E47" s="118" t="s">
        <v>105</v>
      </c>
      <c r="F47" s="119"/>
      <c r="G47" s="119"/>
      <c r="H47" s="119"/>
      <c r="I47" s="119"/>
      <c r="J47" s="119"/>
      <c r="K47" s="119"/>
      <c r="L47" s="119"/>
      <c r="M47" s="119"/>
      <c r="N47" s="119"/>
      <c r="O47" s="119"/>
      <c r="P47" s="221"/>
      <c r="Q47" s="221"/>
      <c r="R47" s="221"/>
      <c r="S47" s="221"/>
    </row>
    <row r="48" spans="1:19">
      <c r="A48" s="99"/>
      <c r="B48" s="99"/>
      <c r="C48" s="99"/>
      <c r="D48" s="99"/>
      <c r="E48" s="99"/>
      <c r="F48" s="99"/>
      <c r="G48" s="99"/>
      <c r="H48" s="99"/>
      <c r="I48" s="99"/>
      <c r="J48" s="99"/>
      <c r="K48" s="99"/>
      <c r="L48" s="99"/>
      <c r="M48" s="99"/>
      <c r="N48" s="99"/>
      <c r="O48" s="99"/>
      <c r="P48" s="99"/>
      <c r="Q48" s="99"/>
      <c r="R48" s="99"/>
      <c r="S48" s="99"/>
    </row>
    <row r="49" spans="1:19" ht="14.25">
      <c r="A49" s="99"/>
      <c r="B49" s="99"/>
      <c r="C49" s="99"/>
      <c r="D49" s="99"/>
      <c r="E49" s="129" t="s">
        <v>106</v>
      </c>
      <c r="F49" s="130"/>
      <c r="G49" s="130"/>
      <c r="H49" s="130"/>
      <c r="I49" s="130"/>
      <c r="J49" s="130"/>
      <c r="K49" s="8"/>
      <c r="L49" s="129" t="s">
        <v>107</v>
      </c>
      <c r="M49" s="130"/>
      <c r="N49" s="130"/>
      <c r="O49" s="130"/>
      <c r="P49" s="130"/>
      <c r="Q49" s="99"/>
      <c r="R49" s="99"/>
      <c r="S49" s="99"/>
    </row>
    <row r="50" spans="1:19" ht="29.25" customHeight="1">
      <c r="A50" s="99"/>
      <c r="B50" s="99"/>
      <c r="C50" s="99"/>
      <c r="D50" s="99"/>
      <c r="E50" s="1639" t="s">
        <v>538</v>
      </c>
      <c r="F50" s="1639"/>
      <c r="G50" s="1639"/>
      <c r="H50" s="1639"/>
      <c r="I50" s="1639"/>
      <c r="J50" s="1639"/>
      <c r="K50" s="8"/>
      <c r="L50" s="1644" t="s">
        <v>108</v>
      </c>
      <c r="M50" s="1641"/>
      <c r="N50" s="1641"/>
      <c r="O50" s="1641"/>
      <c r="P50" s="1641"/>
      <c r="Q50" s="99"/>
      <c r="R50" s="99"/>
      <c r="S50" s="99"/>
    </row>
    <row r="51" spans="1:19" ht="14.25">
      <c r="A51" s="99"/>
      <c r="B51" s="99"/>
      <c r="C51" s="99"/>
      <c r="D51" s="99"/>
      <c r="E51" s="131" t="s">
        <v>109</v>
      </c>
      <c r="F51" s="131"/>
      <c r="G51" s="131"/>
      <c r="H51" s="131"/>
      <c r="I51" s="131"/>
      <c r="J51" s="132"/>
      <c r="K51" s="8"/>
      <c r="L51" s="131" t="s">
        <v>109</v>
      </c>
      <c r="M51" s="131"/>
      <c r="N51" s="131"/>
      <c r="O51" s="131"/>
      <c r="P51" s="131"/>
      <c r="Q51" s="99"/>
      <c r="R51" s="99"/>
      <c r="S51" s="99"/>
    </row>
    <row r="52" spans="1:19" ht="27.75" customHeight="1">
      <c r="A52" s="99"/>
      <c r="B52" s="99"/>
      <c r="C52" s="99"/>
      <c r="D52" s="99"/>
      <c r="E52" s="1639" t="s">
        <v>539</v>
      </c>
      <c r="F52" s="1639"/>
      <c r="G52" s="1639"/>
      <c r="H52" s="1639"/>
      <c r="I52" s="1639"/>
      <c r="J52" s="1639"/>
      <c r="K52" s="8"/>
      <c r="L52" s="1645" t="s">
        <v>540</v>
      </c>
      <c r="M52" s="1646"/>
      <c r="N52" s="1646"/>
      <c r="O52" s="1646"/>
      <c r="P52" s="1646"/>
      <c r="Q52" s="99"/>
      <c r="R52" s="99"/>
      <c r="S52" s="99"/>
    </row>
    <row r="53" spans="1:19" ht="14.25">
      <c r="A53" s="99"/>
      <c r="B53" s="99"/>
      <c r="C53" s="99"/>
      <c r="D53" s="99"/>
      <c r="E53" s="131" t="s">
        <v>111</v>
      </c>
      <c r="F53" s="131"/>
      <c r="G53" s="131"/>
      <c r="H53" s="131"/>
      <c r="I53" s="131"/>
      <c r="J53" s="131"/>
      <c r="K53" s="8"/>
      <c r="L53" s="131" t="s">
        <v>111</v>
      </c>
      <c r="M53" s="131"/>
      <c r="N53" s="131"/>
      <c r="O53" s="131"/>
      <c r="P53" s="132"/>
      <c r="Q53" s="99"/>
      <c r="R53" s="99"/>
      <c r="S53" s="99"/>
    </row>
    <row r="54" spans="1:19" ht="27" customHeight="1">
      <c r="A54" s="99"/>
      <c r="B54" s="99"/>
      <c r="C54" s="99"/>
      <c r="D54" s="99"/>
      <c r="E54" s="1639" t="s">
        <v>541</v>
      </c>
      <c r="F54" s="1639"/>
      <c r="G54" s="1639"/>
      <c r="H54" s="1639"/>
      <c r="I54" s="1639"/>
      <c r="J54" s="1639"/>
      <c r="K54" s="8"/>
      <c r="L54" s="1644" t="s">
        <v>542</v>
      </c>
      <c r="M54" s="1641"/>
      <c r="N54" s="1641"/>
      <c r="O54" s="1641"/>
      <c r="P54" s="1641"/>
      <c r="Q54" s="99"/>
      <c r="R54" s="99"/>
      <c r="S54" s="99"/>
    </row>
    <row r="55" spans="1:19" ht="14.25">
      <c r="A55" s="8"/>
      <c r="B55" s="8"/>
      <c r="C55" s="8"/>
      <c r="D55" s="8"/>
      <c r="E55" s="131" t="s">
        <v>113</v>
      </c>
      <c r="F55" s="131"/>
      <c r="G55" s="131"/>
      <c r="H55" s="131"/>
      <c r="I55" s="131"/>
      <c r="J55" s="131"/>
      <c r="K55" s="8"/>
      <c r="L55" s="131" t="s">
        <v>113</v>
      </c>
      <c r="M55" s="131"/>
      <c r="N55" s="131"/>
      <c r="O55" s="131"/>
      <c r="P55" s="131"/>
      <c r="Q55" s="8"/>
      <c r="R55" s="8"/>
      <c r="S55" s="8"/>
    </row>
    <row r="56" spans="1:19" ht="27" customHeight="1">
      <c r="A56" s="8"/>
      <c r="B56" s="8"/>
      <c r="C56" s="8"/>
      <c r="D56" s="8"/>
      <c r="E56" s="1639" t="s">
        <v>543</v>
      </c>
      <c r="F56" s="1639"/>
      <c r="G56" s="1639"/>
      <c r="H56" s="1639"/>
      <c r="I56" s="1639"/>
      <c r="J56" s="1639"/>
      <c r="K56" s="8"/>
      <c r="L56" s="1640" t="s">
        <v>114</v>
      </c>
      <c r="M56" s="1644"/>
      <c r="N56" s="1644"/>
      <c r="O56" s="1644"/>
      <c r="P56" s="1644"/>
      <c r="Q56" s="8"/>
      <c r="R56" s="8"/>
      <c r="S56" s="8"/>
    </row>
    <row r="57" spans="1:19" ht="14.25">
      <c r="A57" s="8"/>
      <c r="B57" s="8"/>
      <c r="C57" s="8"/>
      <c r="D57" s="8"/>
      <c r="E57" s="131" t="s">
        <v>115</v>
      </c>
      <c r="F57" s="131"/>
      <c r="G57" s="131"/>
      <c r="H57" s="131"/>
      <c r="I57" s="131"/>
      <c r="J57" s="132"/>
      <c r="K57" s="8"/>
      <c r="L57" s="131" t="s">
        <v>115</v>
      </c>
      <c r="M57" s="131"/>
      <c r="N57" s="131"/>
      <c r="O57" s="131"/>
      <c r="P57" s="131"/>
      <c r="Q57" s="8"/>
      <c r="R57" s="8"/>
      <c r="S57" s="8"/>
    </row>
    <row r="58" spans="1:19">
      <c r="A58" s="99"/>
      <c r="B58" s="99"/>
      <c r="C58" s="99"/>
      <c r="D58" s="99"/>
      <c r="E58" s="99"/>
      <c r="F58" s="99"/>
      <c r="G58" s="99"/>
      <c r="H58" s="99"/>
      <c r="I58" s="99"/>
      <c r="J58" s="99"/>
      <c r="K58" s="99"/>
      <c r="L58" s="99"/>
      <c r="M58" s="99"/>
      <c r="N58" s="99"/>
      <c r="O58" s="99"/>
      <c r="P58" s="99"/>
      <c r="Q58" s="99"/>
      <c r="R58" s="99"/>
      <c r="S58" s="99"/>
    </row>
    <row r="59" spans="1:19">
      <c r="A59" s="1619"/>
      <c r="B59" s="1619"/>
      <c r="C59" s="1619"/>
      <c r="D59" s="1619"/>
      <c r="E59" s="1619"/>
      <c r="F59" s="1619"/>
      <c r="G59" s="1619"/>
      <c r="H59" s="1619"/>
      <c r="I59" s="1619"/>
      <c r="J59" s="1619"/>
      <c r="K59" s="1619"/>
      <c r="L59" s="1619"/>
      <c r="M59" s="1619"/>
      <c r="N59" s="1619"/>
      <c r="O59" s="1619"/>
      <c r="P59" s="1619"/>
      <c r="Q59" s="1619"/>
      <c r="R59" s="1619"/>
      <c r="S59" s="1619"/>
    </row>
    <row r="60" spans="1:19">
      <c r="A60" s="1619"/>
      <c r="B60" s="1619"/>
      <c r="C60" s="1619"/>
      <c r="D60" s="1619"/>
      <c r="E60" s="1619"/>
      <c r="F60" s="1619"/>
      <c r="G60" s="1619"/>
      <c r="H60" s="1619"/>
      <c r="I60" s="1619"/>
      <c r="J60" s="1619"/>
      <c r="K60" s="1619"/>
      <c r="L60" s="1619"/>
      <c r="M60" s="1619"/>
      <c r="N60" s="1619"/>
      <c r="O60" s="1619"/>
      <c r="P60" s="1619"/>
      <c r="Q60" s="1619"/>
      <c r="R60" s="1619"/>
      <c r="S60" s="1619"/>
    </row>
    <row r="61" spans="1:19">
      <c r="A61" s="1619"/>
      <c r="B61" s="1619"/>
      <c r="C61" s="1619"/>
      <c r="D61" s="1619"/>
      <c r="E61" s="1619"/>
      <c r="F61" s="1619"/>
      <c r="G61" s="1619"/>
      <c r="H61" s="1619"/>
      <c r="I61" s="1619"/>
      <c r="J61" s="1619"/>
      <c r="K61" s="1619"/>
      <c r="L61" s="1619"/>
      <c r="M61" s="1619"/>
      <c r="N61" s="1619"/>
      <c r="O61" s="1619"/>
      <c r="P61" s="1619"/>
      <c r="Q61" s="1619"/>
      <c r="R61" s="1619"/>
      <c r="S61" s="1619"/>
    </row>
    <row r="62" spans="1:19">
      <c r="A62" s="1619"/>
      <c r="B62" s="1619"/>
      <c r="C62" s="1619"/>
      <c r="D62" s="1619"/>
      <c r="E62" s="1619"/>
      <c r="F62" s="1619"/>
      <c r="G62" s="1619"/>
      <c r="H62" s="1619"/>
      <c r="I62" s="1619"/>
      <c r="J62" s="1619"/>
      <c r="K62" s="1619"/>
      <c r="L62" s="1619"/>
      <c r="M62" s="1619"/>
      <c r="N62" s="1619"/>
      <c r="O62" s="1619"/>
      <c r="P62" s="1619"/>
      <c r="Q62" s="1619"/>
      <c r="R62" s="1619"/>
      <c r="S62" s="1619"/>
    </row>
    <row r="63" spans="1:19">
      <c r="A63" s="1619"/>
      <c r="B63" s="1619"/>
      <c r="C63" s="1619"/>
      <c r="D63" s="1619"/>
      <c r="E63" s="1619"/>
      <c r="F63" s="1619"/>
      <c r="G63" s="1619"/>
      <c r="H63" s="1619"/>
      <c r="I63" s="1619"/>
      <c r="J63" s="1619"/>
      <c r="K63" s="1619"/>
      <c r="L63" s="1619"/>
      <c r="M63" s="1619"/>
      <c r="N63" s="1619"/>
      <c r="O63" s="1619"/>
      <c r="P63" s="1619"/>
      <c r="Q63" s="1619"/>
      <c r="R63" s="1619"/>
      <c r="S63" s="1619"/>
    </row>
    <row r="64" spans="1:19">
      <c r="A64" s="1619"/>
      <c r="B64" s="1619"/>
      <c r="C64" s="1619"/>
      <c r="D64" s="1619"/>
      <c r="E64" s="1619"/>
      <c r="F64" s="1619"/>
      <c r="G64" s="1619"/>
      <c r="H64" s="1619"/>
      <c r="I64" s="1619"/>
      <c r="J64" s="1619"/>
      <c r="K64" s="1619"/>
      <c r="L64" s="1619"/>
      <c r="M64" s="1619"/>
      <c r="N64" s="1619"/>
      <c r="O64" s="1619"/>
      <c r="P64" s="1619"/>
      <c r="Q64" s="1619"/>
      <c r="R64" s="1619"/>
      <c r="S64" s="1619"/>
    </row>
    <row r="65" spans="1:19">
      <c r="A65" s="1619"/>
      <c r="B65" s="1619"/>
      <c r="C65" s="1619"/>
      <c r="D65" s="1619"/>
      <c r="E65" s="1619"/>
      <c r="F65" s="1619"/>
      <c r="G65" s="1619"/>
      <c r="H65" s="1619"/>
      <c r="I65" s="1619"/>
      <c r="J65" s="1619"/>
      <c r="K65" s="1619"/>
      <c r="L65" s="1619"/>
      <c r="M65" s="1619"/>
      <c r="N65" s="1619"/>
      <c r="O65" s="1619"/>
      <c r="P65" s="1619"/>
      <c r="Q65" s="1619"/>
      <c r="R65" s="1619"/>
      <c r="S65" s="1619"/>
    </row>
  </sheetData>
  <sheetProtection password="CC5F" sheet="1" objects="1" scenarios="1"/>
  <mergeCells count="28">
    <mergeCell ref="E54:J54"/>
    <mergeCell ref="L54:P54"/>
    <mergeCell ref="E56:J56"/>
    <mergeCell ref="L56:P56"/>
    <mergeCell ref="F43:J43"/>
    <mergeCell ref="M43:O43"/>
    <mergeCell ref="E50:J50"/>
    <mergeCell ref="L50:P50"/>
    <mergeCell ref="E52:J52"/>
    <mergeCell ref="L52:P52"/>
    <mergeCell ref="E27:P28"/>
    <mergeCell ref="F29:J29"/>
    <mergeCell ref="M29:O29"/>
    <mergeCell ref="F32:J32"/>
    <mergeCell ref="M32:O32"/>
    <mergeCell ref="E41:P42"/>
    <mergeCell ref="M5:R5"/>
    <mergeCell ref="E9:P10"/>
    <mergeCell ref="F11:J11"/>
    <mergeCell ref="M11:O11"/>
    <mergeCell ref="F14:J14"/>
    <mergeCell ref="M14:O14"/>
    <mergeCell ref="M1:S1"/>
    <mergeCell ref="A2:D2"/>
    <mergeCell ref="M2:R2"/>
    <mergeCell ref="A3:D3"/>
    <mergeCell ref="M3:R3"/>
    <mergeCell ref="M4:R4"/>
  </mergeCells>
  <printOptions horizontalCentered="1"/>
  <pageMargins left="0.25" right="0.25" top="0.25" bottom="0.25" header="0.5" footer="0.5"/>
  <pageSetup scale="61" orientation="landscape" horizontalDpi="1200" verticalDpi="1200" r:id="rId1"/>
  <headerFooter alignWithMargins="0"/>
  <customProperties>
    <customPr name="DrillPoint.FROID" r:id="rId2"/>
    <customPr name="DrillPoint.Mode" r:id="rId3"/>
    <customPr name="DrillPoint.Subsheet" r:id="rId4"/>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theme="5"/>
  </sheetPr>
  <dimension ref="A1:W91"/>
  <sheetViews>
    <sheetView showGridLines="0" zoomScaleNormal="100" workbookViewId="0">
      <pane xSplit="7" ySplit="9" topLeftCell="H49" activePane="bottomRight" state="frozen"/>
      <selection pane="topRight" activeCell="J13" sqref="J13"/>
      <selection pane="bottomLeft" activeCell="J13" sqref="J13"/>
      <selection pane="bottomRight" activeCell="K90" sqref="K90"/>
    </sheetView>
  </sheetViews>
  <sheetFormatPr defaultColWidth="5" defaultRowHeight="12" customHeight="1"/>
  <cols>
    <col min="1" max="1" width="2.85546875" style="5" customWidth="1"/>
    <col min="2" max="2" width="9.140625" style="7" customWidth="1"/>
    <col min="3" max="8" width="9.140625" style="5" customWidth="1"/>
    <col min="9" max="19" width="14" style="5" customWidth="1"/>
    <col min="20" max="20" width="14" style="27" customWidth="1"/>
    <col min="21" max="22" width="14" style="5" customWidth="1"/>
    <col min="23" max="23" width="71.85546875" style="1213" customWidth="1"/>
    <col min="24" max="16384" width="5" style="5"/>
  </cols>
  <sheetData>
    <row r="1" spans="1:23" ht="15.75">
      <c r="A1" s="42" t="s">
        <v>116</v>
      </c>
      <c r="B1" s="43"/>
      <c r="C1" s="44"/>
      <c r="D1" s="44"/>
      <c r="E1" s="44"/>
      <c r="F1" s="44"/>
      <c r="G1" s="44"/>
      <c r="H1" s="448"/>
      <c r="I1" s="1677" t="str">
        <f>IF('INTERIM-CERTIFICATION'!$M$1="","CHARTER NAME: Enter Charter Name on INTERIM-CERTIFICATION Worksheet",(CONCATENATE("CHARTER NAME: ",'INTERIM-CERTIFICATION'!$M$1)))</f>
        <v>CHARTER NAME: Encore High School -</v>
      </c>
      <c r="J1" s="1677"/>
      <c r="K1" s="1677"/>
      <c r="L1" s="1677"/>
      <c r="M1" s="1677"/>
      <c r="N1" s="1677"/>
      <c r="O1" s="97"/>
      <c r="P1" s="97"/>
      <c r="Q1" s="97"/>
      <c r="R1" s="204"/>
      <c r="S1" s="204"/>
      <c r="T1" s="257"/>
      <c r="U1" s="257"/>
      <c r="V1" s="449"/>
    </row>
    <row r="2" spans="1:23" ht="16.5" thickBot="1">
      <c r="A2" s="450"/>
      <c r="B2" s="32"/>
      <c r="C2" s="33"/>
      <c r="D2" s="33"/>
      <c r="E2" s="33"/>
      <c r="F2" s="33"/>
      <c r="G2" s="33"/>
      <c r="H2" s="413"/>
      <c r="I2" s="1678" t="str">
        <f>IF('INTERIM-CERTIFICATION'!$M$5="","CHARTER #: Enter Charter # on INTERIM-CERTIFICATION Worksheet",(_xlfn.CONCAT("CHARTER #: ",'INTERIM-CERTIFICATION'!$M$5)))</f>
        <v>CHARTER #: 971</v>
      </c>
      <c r="J2" s="1678"/>
      <c r="K2" s="1678"/>
      <c r="L2" s="1678"/>
      <c r="M2" s="1678"/>
      <c r="N2" s="1678"/>
      <c r="O2" s="205"/>
      <c r="P2" s="10"/>
      <c r="Q2" s="10"/>
      <c r="R2" s="10"/>
      <c r="S2" s="10"/>
      <c r="T2"/>
      <c r="U2"/>
      <c r="V2" s="451"/>
    </row>
    <row r="3" spans="1:23" ht="16.5" thickTop="1">
      <c r="A3" s="450"/>
      <c r="B3" s="32"/>
      <c r="C3" s="33"/>
      <c r="D3" s="33"/>
      <c r="E3" s="33"/>
      <c r="F3" s="33"/>
      <c r="G3" s="33"/>
      <c r="H3" s="34"/>
      <c r="I3" s="90"/>
      <c r="J3" s="34"/>
      <c r="K3" s="34"/>
      <c r="L3" s="34"/>
      <c r="M3" s="34"/>
      <c r="N3" s="34"/>
      <c r="O3" s="34"/>
      <c r="P3" s="34"/>
      <c r="Q3" s="34"/>
      <c r="R3" s="34"/>
      <c r="S3" s="34"/>
      <c r="T3"/>
      <c r="U3"/>
      <c r="V3" s="451"/>
    </row>
    <row r="4" spans="1:23" s="1403" customFormat="1" ht="15.75">
      <c r="A4" s="39"/>
      <c r="B4" s="35"/>
      <c r="C4"/>
      <c r="D4"/>
      <c r="E4" s="36"/>
      <c r="F4" s="36"/>
      <c r="G4" s="36"/>
      <c r="H4" s="36"/>
      <c r="I4" s="36"/>
      <c r="J4" s="93" t="str">
        <f>"Fiscal Year "&amp;'Budget-ADA'!K7&amp;" Second Interim Report"</f>
        <v>Fiscal Year 2021-22 Second Interim Report</v>
      </c>
      <c r="K4" s="36"/>
      <c r="L4" s="36"/>
      <c r="M4" s="36"/>
      <c r="N4" s="36"/>
      <c r="O4" s="36"/>
      <c r="P4" s="36"/>
      <c r="Q4" s="36"/>
      <c r="R4" s="36"/>
      <c r="S4" s="36"/>
      <c r="T4"/>
      <c r="U4" s="87"/>
      <c r="V4" s="452"/>
      <c r="W4" s="1214"/>
    </row>
    <row r="5" spans="1:23" s="1403" customFormat="1" ht="15.75">
      <c r="A5" s="39"/>
      <c r="B5" s="35"/>
      <c r="C5" s="35"/>
      <c r="D5"/>
      <c r="E5" s="36"/>
      <c r="F5" s="36"/>
      <c r="G5" s="36"/>
      <c r="H5" s="36"/>
      <c r="I5" s="36"/>
      <c r="J5" s="36" t="str">
        <f>"Projected ADA as of January 31, "&amp;'Budget-DEBT'!$D$13+1&amp;""</f>
        <v>Projected ADA as of January 31, 2022</v>
      </c>
      <c r="K5" s="36"/>
      <c r="L5" s="36"/>
      <c r="M5" s="36"/>
      <c r="N5" s="36"/>
      <c r="O5" s="36"/>
      <c r="P5" s="36"/>
      <c r="Q5" s="36"/>
      <c r="R5" s="36"/>
      <c r="S5" s="36"/>
      <c r="T5"/>
      <c r="U5" s="87"/>
      <c r="V5" s="452"/>
      <c r="W5" s="1214"/>
    </row>
    <row r="6" spans="1:23" s="1403" customFormat="1" ht="16.5" thickBot="1">
      <c r="A6" s="1824" t="str">
        <f>Instructions!H1</f>
        <v>Rev. 5/28/2021</v>
      </c>
      <c r="B6" s="1825"/>
      <c r="C6" s="1825"/>
      <c r="D6" s="1825"/>
      <c r="E6" s="1825"/>
      <c r="F6" s="1825"/>
      <c r="G6" s="1825"/>
      <c r="H6" s="1825"/>
      <c r="I6" s="105"/>
      <c r="J6" s="104"/>
      <c r="K6" s="235"/>
      <c r="L6" s="235"/>
      <c r="M6" s="235"/>
      <c r="N6" s="235"/>
      <c r="O6" s="235"/>
      <c r="P6" s="235"/>
      <c r="Q6" s="1"/>
      <c r="R6" s="1"/>
      <c r="S6" s="1"/>
      <c r="T6"/>
      <c r="U6"/>
      <c r="V6" s="452"/>
      <c r="W6" s="1214"/>
    </row>
    <row r="7" spans="1:23" s="1403" customFormat="1" ht="16.5" customHeight="1">
      <c r="A7" s="1669" t="str">
        <f>IF('INTERIM-CERTIFICATION'!$H$3="","Charter Authorizer: Enter Charter Authorizer on INTERIM-CERTIFICATION Worksheet",(_xlfn.CONCAT("Charter Authorizer: ",'INTERIM-CERTIFICATION'!$H$3)))</f>
        <v>Charter Authorizer: Enter Charter Authorizer on INTERIM-CERTIFICATION Worksheet</v>
      </c>
      <c r="B7" s="1670"/>
      <c r="C7" s="1670"/>
      <c r="D7" s="1670"/>
      <c r="E7" s="1670"/>
      <c r="F7" s="1670"/>
      <c r="G7" s="1671"/>
      <c r="H7" s="241"/>
      <c r="I7" s="1652" t="str">
        <f>'Budget-ADA'!I7</f>
        <v>2020-21</v>
      </c>
      <c r="J7" s="1826"/>
      <c r="K7" s="428"/>
      <c r="L7" s="429" t="str">
        <f>""&amp;'Budget-ADA'!$K$7&amp;" Adopted Budget"</f>
        <v>2021-22 Adopted Budget</v>
      </c>
      <c r="M7" s="430"/>
      <c r="N7" s="428"/>
      <c r="O7" s="429" t="str">
        <f>""&amp;'Budget-ADA'!$K$7&amp;" Second Interim"</f>
        <v>2021-22 Second Interim</v>
      </c>
      <c r="P7" s="430"/>
      <c r="Q7" s="428"/>
      <c r="R7" s="429" t="str">
        <f>""&amp;'Budget-ADA'!$N$7&amp;" Second Interim"</f>
        <v>2022-23 Second Interim</v>
      </c>
      <c r="S7" s="430"/>
      <c r="T7" s="428"/>
      <c r="U7" s="429" t="str">
        <f>""&amp;'Budget-ADA'!$Q$7&amp;" Second Interim"</f>
        <v>2023-24 Second Interim</v>
      </c>
      <c r="V7" s="431"/>
      <c r="W7" s="1214"/>
    </row>
    <row r="8" spans="1:23" s="1403" customFormat="1" ht="21" thickBot="1">
      <c r="A8" s="1672"/>
      <c r="B8" s="1673"/>
      <c r="C8" s="1673"/>
      <c r="D8" s="1673"/>
      <c r="E8" s="1673"/>
      <c r="F8" s="1673"/>
      <c r="G8" s="1674"/>
      <c r="H8" s="39"/>
      <c r="I8" s="425" t="s">
        <v>122</v>
      </c>
      <c r="J8" s="426" t="s">
        <v>123</v>
      </c>
      <c r="K8" s="432" t="s">
        <v>117</v>
      </c>
      <c r="L8" s="433" t="s">
        <v>123</v>
      </c>
      <c r="M8" s="1822" t="s">
        <v>124</v>
      </c>
      <c r="N8" s="432" t="s">
        <v>117</v>
      </c>
      <c r="O8" s="433" t="s">
        <v>123</v>
      </c>
      <c r="P8" s="1822" t="s">
        <v>544</v>
      </c>
      <c r="Q8" s="432" t="s">
        <v>117</v>
      </c>
      <c r="R8" s="433" t="s">
        <v>123</v>
      </c>
      <c r="S8" s="1822" t="s">
        <v>124</v>
      </c>
      <c r="T8" s="432" t="s">
        <v>117</v>
      </c>
      <c r="U8" s="433" t="s">
        <v>123</v>
      </c>
      <c r="V8" s="1820" t="s">
        <v>124</v>
      </c>
      <c r="W8" s="1214"/>
    </row>
    <row r="9" spans="1:23" ht="19.5" thickBot="1">
      <c r="A9" s="416" t="s">
        <v>103</v>
      </c>
      <c r="B9" s="417"/>
      <c r="C9" s="417"/>
      <c r="D9" s="417"/>
      <c r="E9" s="418"/>
      <c r="F9" s="419"/>
      <c r="G9" s="418"/>
      <c r="H9" s="424" t="s">
        <v>125</v>
      </c>
      <c r="I9" s="232" t="s">
        <v>545</v>
      </c>
      <c r="J9" s="89"/>
      <c r="K9" s="86" t="s">
        <v>127</v>
      </c>
      <c r="L9" s="89"/>
      <c r="M9" s="1823"/>
      <c r="N9" s="86" t="s">
        <v>127</v>
      </c>
      <c r="O9" s="89"/>
      <c r="P9" s="1823"/>
      <c r="Q9" s="86" t="s">
        <v>127</v>
      </c>
      <c r="R9" s="89"/>
      <c r="S9" s="1823"/>
      <c r="T9" s="86" t="s">
        <v>127</v>
      </c>
      <c r="U9" s="89"/>
      <c r="V9" s="1821"/>
    </row>
    <row r="10" spans="1:23" ht="17.25" thickTop="1" thickBot="1">
      <c r="A10" s="414" t="s">
        <v>580</v>
      </c>
      <c r="B10" s="415"/>
      <c r="C10" s="415"/>
      <c r="D10" s="44"/>
      <c r="E10" s="44"/>
      <c r="F10" s="44"/>
      <c r="G10" s="1001">
        <v>1</v>
      </c>
      <c r="H10" s="557"/>
      <c r="I10" s="558"/>
      <c r="J10" s="557"/>
      <c r="K10" s="557"/>
      <c r="L10" s="557"/>
      <c r="M10" s="557"/>
      <c r="N10" s="557"/>
      <c r="O10" s="557"/>
      <c r="P10" s="557"/>
      <c r="Q10" s="557"/>
      <c r="R10" s="557"/>
      <c r="S10" s="557"/>
      <c r="T10" s="557"/>
      <c r="U10" s="557"/>
      <c r="V10" s="559"/>
    </row>
    <row r="11" spans="1:23" ht="15.75">
      <c r="A11" s="41" t="s">
        <v>129</v>
      </c>
      <c r="B11" s="242"/>
      <c r="C11"/>
      <c r="D11" s="33"/>
      <c r="E11" s="33"/>
      <c r="F11" s="33"/>
      <c r="G11" s="33"/>
      <c r="H11" s="560"/>
      <c r="I11" s="438"/>
      <c r="J11" s="242"/>
      <c r="K11" s="242"/>
      <c r="L11" s="242"/>
      <c r="M11" s="242"/>
      <c r="N11" s="242"/>
      <c r="O11" s="242"/>
      <c r="P11" s="242"/>
      <c r="Q11" s="242"/>
      <c r="R11" s="242"/>
      <c r="S11" s="242"/>
      <c r="T11" s="242"/>
      <c r="U11" s="242"/>
      <c r="V11" s="437"/>
    </row>
    <row r="12" spans="1:23" ht="15.75">
      <c r="A12" s="67"/>
      <c r="B12" s="246"/>
      <c r="C12" s="247" t="s">
        <v>130</v>
      </c>
      <c r="D12" s="244"/>
      <c r="E12" s="244"/>
      <c r="F12" s="244"/>
      <c r="G12" s="244"/>
      <c r="H12" s="245" t="s">
        <v>131</v>
      </c>
      <c r="I12" s="427">
        <f>'Budget-ADA'!I12</f>
        <v>0</v>
      </c>
      <c r="J12" s="784"/>
      <c r="K12" s="255">
        <f>'Budget-ADA'!K12</f>
        <v>0</v>
      </c>
      <c r="L12" s="784"/>
      <c r="M12" s="251" t="str">
        <f>'Budget-ADA'!M12</f>
        <v xml:space="preserve"> </v>
      </c>
      <c r="N12" s="249"/>
      <c r="O12" s="784"/>
      <c r="P12" s="250" t="str">
        <f t="shared" ref="P12:P23" si="0">IF(K12&lt;1," ",IF(N12&lt;1," ",(N12-K12)/K12))</f>
        <v xml:space="preserve"> </v>
      </c>
      <c r="Q12" s="249"/>
      <c r="R12" s="784"/>
      <c r="S12" s="250" t="str">
        <f t="shared" ref="S12:S23" si="1">IF(N12&lt;1," ",IF(Q12&lt;1," ",(Q12-N12)/N12))</f>
        <v xml:space="preserve"> </v>
      </c>
      <c r="T12" s="249"/>
      <c r="U12" s="784"/>
      <c r="V12" s="252" t="str">
        <f t="shared" ref="V12:V23" si="2">IF(Q12&lt;1," ",IF(T12&lt;1," ",(T12-Q12)/Q12))</f>
        <v xml:space="preserve"> </v>
      </c>
    </row>
    <row r="13" spans="1:23" ht="15.75">
      <c r="A13" s="238"/>
      <c r="B13" s="246"/>
      <c r="C13" s="140" t="s">
        <v>132</v>
      </c>
      <c r="D13" s="244"/>
      <c r="E13" s="244"/>
      <c r="F13" s="244"/>
      <c r="G13" s="244"/>
      <c r="H13" s="245" t="s">
        <v>133</v>
      </c>
      <c r="I13" s="427">
        <f>'Budget-ADA'!I13</f>
        <v>0</v>
      </c>
      <c r="J13" s="657"/>
      <c r="K13" s="255">
        <f>'Budget-ADA'!K13</f>
        <v>0</v>
      </c>
      <c r="L13" s="657"/>
      <c r="M13" s="251" t="str">
        <f>'Budget-ADA'!M13</f>
        <v xml:space="preserve"> </v>
      </c>
      <c r="N13" s="249"/>
      <c r="O13" s="657"/>
      <c r="P13" s="250" t="str">
        <f t="shared" si="0"/>
        <v xml:space="preserve"> </v>
      </c>
      <c r="Q13" s="249"/>
      <c r="R13" s="657"/>
      <c r="S13" s="250" t="str">
        <f t="shared" si="1"/>
        <v xml:space="preserve"> </v>
      </c>
      <c r="T13" s="249"/>
      <c r="U13" s="657"/>
      <c r="V13" s="252" t="str">
        <f t="shared" si="2"/>
        <v xml:space="preserve"> </v>
      </c>
    </row>
    <row r="14" spans="1:23" ht="15.75">
      <c r="A14" s="67"/>
      <c r="B14" s="246"/>
      <c r="C14" s="247" t="s">
        <v>134</v>
      </c>
      <c r="D14" s="244"/>
      <c r="E14" s="244"/>
      <c r="F14" s="244"/>
      <c r="G14" s="244"/>
      <c r="H14" s="245" t="s">
        <v>135</v>
      </c>
      <c r="I14" s="427">
        <f>'Budget-ADA'!I14</f>
        <v>0</v>
      </c>
      <c r="J14" s="657"/>
      <c r="K14" s="255">
        <f>'Budget-ADA'!K14</f>
        <v>0</v>
      </c>
      <c r="L14" s="657"/>
      <c r="M14" s="251" t="str">
        <f>'Budget-ADA'!M14</f>
        <v xml:space="preserve"> </v>
      </c>
      <c r="N14" s="249"/>
      <c r="O14" s="657"/>
      <c r="P14" s="250" t="str">
        <f t="shared" si="0"/>
        <v xml:space="preserve"> </v>
      </c>
      <c r="Q14" s="249"/>
      <c r="R14" s="657"/>
      <c r="S14" s="250" t="str">
        <f t="shared" si="1"/>
        <v xml:space="preserve"> </v>
      </c>
      <c r="T14" s="249"/>
      <c r="U14" s="657"/>
      <c r="V14" s="252" t="str">
        <f t="shared" si="2"/>
        <v xml:space="preserve"> </v>
      </c>
    </row>
    <row r="15" spans="1:23" ht="15.75">
      <c r="A15" s="67"/>
      <c r="B15" s="246"/>
      <c r="C15" s="140" t="s">
        <v>136</v>
      </c>
      <c r="D15" s="244"/>
      <c r="E15" s="244"/>
      <c r="F15" s="244"/>
      <c r="G15" s="244"/>
      <c r="H15" s="245" t="s">
        <v>137</v>
      </c>
      <c r="I15" s="427">
        <f>'Budget-ADA'!I15</f>
        <v>0</v>
      </c>
      <c r="J15" s="657"/>
      <c r="K15" s="255">
        <f>'Budget-ADA'!K15</f>
        <v>0</v>
      </c>
      <c r="L15" s="657"/>
      <c r="M15" s="251" t="str">
        <f>'Budget-ADA'!M15</f>
        <v xml:space="preserve"> </v>
      </c>
      <c r="N15" s="249"/>
      <c r="O15" s="657"/>
      <c r="P15" s="250" t="str">
        <f t="shared" si="0"/>
        <v xml:space="preserve"> </v>
      </c>
      <c r="Q15" s="249"/>
      <c r="R15" s="657"/>
      <c r="S15" s="250" t="str">
        <f t="shared" si="1"/>
        <v xml:space="preserve"> </v>
      </c>
      <c r="T15" s="249"/>
      <c r="U15" s="657"/>
      <c r="V15" s="252" t="str">
        <f t="shared" si="2"/>
        <v xml:space="preserve"> </v>
      </c>
    </row>
    <row r="16" spans="1:23" ht="15.75">
      <c r="A16" s="67"/>
      <c r="B16" s="246"/>
      <c r="C16" s="247" t="s">
        <v>138</v>
      </c>
      <c r="D16" s="244"/>
      <c r="E16" s="244"/>
      <c r="F16" s="244"/>
      <c r="G16" s="244"/>
      <c r="H16" s="245" t="s">
        <v>139</v>
      </c>
      <c r="I16" s="427">
        <f>'Budget-ADA'!I16</f>
        <v>0</v>
      </c>
      <c r="J16" s="657"/>
      <c r="K16" s="255">
        <f>'Budget-ADA'!K16</f>
        <v>0</v>
      </c>
      <c r="L16" s="657"/>
      <c r="M16" s="251" t="str">
        <f>'Budget-ADA'!M16</f>
        <v xml:space="preserve"> </v>
      </c>
      <c r="N16" s="249"/>
      <c r="O16" s="657"/>
      <c r="P16" s="250" t="str">
        <f t="shared" si="0"/>
        <v xml:space="preserve"> </v>
      </c>
      <c r="Q16" s="249"/>
      <c r="R16" s="657"/>
      <c r="S16" s="250" t="str">
        <f t="shared" si="1"/>
        <v xml:space="preserve"> </v>
      </c>
      <c r="T16" s="249"/>
      <c r="U16" s="657"/>
      <c r="V16" s="252" t="str">
        <f t="shared" si="2"/>
        <v xml:space="preserve"> </v>
      </c>
    </row>
    <row r="17" spans="1:22" ht="15.75">
      <c r="A17" s="67"/>
      <c r="B17" s="246"/>
      <c r="C17" s="140" t="s">
        <v>140</v>
      </c>
      <c r="D17" s="244"/>
      <c r="E17" s="244"/>
      <c r="F17" s="244"/>
      <c r="G17" s="244"/>
      <c r="H17" s="245" t="s">
        <v>141</v>
      </c>
      <c r="I17" s="427">
        <f>'Budget-ADA'!I17</f>
        <v>0</v>
      </c>
      <c r="J17" s="657"/>
      <c r="K17" s="255">
        <f>'Budget-ADA'!K17</f>
        <v>0</v>
      </c>
      <c r="L17" s="657"/>
      <c r="M17" s="251" t="str">
        <f>'Budget-ADA'!M17</f>
        <v xml:space="preserve"> </v>
      </c>
      <c r="N17" s="249"/>
      <c r="O17" s="657"/>
      <c r="P17" s="250" t="str">
        <f t="shared" si="0"/>
        <v xml:space="preserve"> </v>
      </c>
      <c r="Q17" s="249"/>
      <c r="R17" s="657"/>
      <c r="S17" s="250" t="str">
        <f t="shared" si="1"/>
        <v xml:space="preserve"> </v>
      </c>
      <c r="T17" s="249"/>
      <c r="U17" s="657"/>
      <c r="V17" s="252" t="str">
        <f t="shared" si="2"/>
        <v xml:space="preserve"> </v>
      </c>
    </row>
    <row r="18" spans="1:22" ht="15.75">
      <c r="A18" s="67"/>
      <c r="B18" s="246"/>
      <c r="C18" s="247" t="s">
        <v>142</v>
      </c>
      <c r="D18" s="244"/>
      <c r="E18" s="244"/>
      <c r="F18" s="244"/>
      <c r="G18" s="244"/>
      <c r="H18" s="245" t="s">
        <v>143</v>
      </c>
      <c r="I18" s="427">
        <f>'Budget-ADA'!I18</f>
        <v>0</v>
      </c>
      <c r="J18" s="657"/>
      <c r="K18" s="255">
        <f>'Budget-ADA'!K18</f>
        <v>0</v>
      </c>
      <c r="L18" s="657"/>
      <c r="M18" s="251" t="str">
        <f>'Budget-ADA'!M18</f>
        <v xml:space="preserve"> </v>
      </c>
      <c r="N18" s="249"/>
      <c r="O18" s="657"/>
      <c r="P18" s="250" t="str">
        <f t="shared" si="0"/>
        <v xml:space="preserve"> </v>
      </c>
      <c r="Q18" s="249"/>
      <c r="R18" s="657"/>
      <c r="S18" s="250" t="str">
        <f t="shared" si="1"/>
        <v xml:space="preserve"> </v>
      </c>
      <c r="T18" s="249"/>
      <c r="U18" s="657"/>
      <c r="V18" s="252" t="str">
        <f t="shared" si="2"/>
        <v xml:space="preserve"> </v>
      </c>
    </row>
    <row r="19" spans="1:22" ht="15.75">
      <c r="A19" s="67"/>
      <c r="B19" s="246"/>
      <c r="C19" s="140" t="s">
        <v>144</v>
      </c>
      <c r="D19" s="244"/>
      <c r="E19" s="244"/>
      <c r="F19" s="244"/>
      <c r="G19" s="244"/>
      <c r="H19" s="245" t="s">
        <v>145</v>
      </c>
      <c r="I19" s="427">
        <f>'Budget-ADA'!I19</f>
        <v>0</v>
      </c>
      <c r="J19" s="657"/>
      <c r="K19" s="255">
        <f>'Budget-ADA'!K19</f>
        <v>0</v>
      </c>
      <c r="L19" s="657"/>
      <c r="M19" s="251" t="str">
        <f>'Budget-ADA'!M19</f>
        <v xml:space="preserve"> </v>
      </c>
      <c r="N19" s="249"/>
      <c r="O19" s="657"/>
      <c r="P19" s="250" t="str">
        <f t="shared" si="0"/>
        <v xml:space="preserve"> </v>
      </c>
      <c r="Q19" s="249"/>
      <c r="R19" s="657"/>
      <c r="S19" s="250" t="str">
        <f t="shared" si="1"/>
        <v xml:space="preserve"> </v>
      </c>
      <c r="T19" s="249"/>
      <c r="U19" s="657"/>
      <c r="V19" s="252" t="str">
        <f t="shared" si="2"/>
        <v xml:space="preserve"> </v>
      </c>
    </row>
    <row r="20" spans="1:22" ht="18.75" customHeight="1">
      <c r="A20" s="67"/>
      <c r="B20" s="1664" t="s">
        <v>146</v>
      </c>
      <c r="C20" s="1665"/>
      <c r="D20" s="1665"/>
      <c r="E20" s="1665"/>
      <c r="F20" s="1665"/>
      <c r="G20" s="1666"/>
      <c r="H20" s="245" t="s">
        <v>147</v>
      </c>
      <c r="I20" s="427">
        <f>'Budget-ADA'!I20</f>
        <v>0</v>
      </c>
      <c r="J20" s="254">
        <f>IF(('Budget-ADA'!J20="Cell G10 CANNOT be blank"), "Missing Data, BUDGET-ADA Tab, cell G10",'Budget-ADA'!J20)</f>
        <v>0</v>
      </c>
      <c r="K20" s="255">
        <f>'Budget-ADA'!K20</f>
        <v>0</v>
      </c>
      <c r="L20" s="442">
        <f>IF(('Budget-ADA'!L20="Cell G10 CANNOT be blank"), "Missing Data, BUDGET-ADA Tab, cell G10",'Budget-ADA'!L20)</f>
        <v>0</v>
      </c>
      <c r="M20" s="441" t="str">
        <f>'Budget-ADA'!M20</f>
        <v xml:space="preserve"> </v>
      </c>
      <c r="N20" s="253">
        <f>N12+N14+N16+N18</f>
        <v>0</v>
      </c>
      <c r="O20" s="657"/>
      <c r="P20" s="251" t="str">
        <f t="shared" si="0"/>
        <v xml:space="preserve"> </v>
      </c>
      <c r="Q20" s="253">
        <f>Q12+Q14+Q16+Q18</f>
        <v>0</v>
      </c>
      <c r="R20" s="657"/>
      <c r="S20" s="251" t="str">
        <f t="shared" si="1"/>
        <v xml:space="preserve"> </v>
      </c>
      <c r="T20" s="253">
        <f>T12+T14+T16+T18</f>
        <v>0</v>
      </c>
      <c r="U20" s="657"/>
      <c r="V20" s="434" t="str">
        <f t="shared" si="2"/>
        <v xml:space="preserve"> </v>
      </c>
    </row>
    <row r="21" spans="1:22" ht="15.75">
      <c r="A21" s="67"/>
      <c r="B21" s="1664" t="s">
        <v>148</v>
      </c>
      <c r="C21" s="1665"/>
      <c r="D21" s="1665"/>
      <c r="E21" s="1665"/>
      <c r="F21" s="1665"/>
      <c r="G21" s="1666"/>
      <c r="H21" s="245" t="s">
        <v>149</v>
      </c>
      <c r="I21" s="427">
        <f>'Budget-ADA'!I21</f>
        <v>0</v>
      </c>
      <c r="J21" s="254">
        <f>'Budget-ADA'!J21</f>
        <v>0</v>
      </c>
      <c r="K21" s="255">
        <f>'Budget-ADA'!K21</f>
        <v>0</v>
      </c>
      <c r="L21" s="442">
        <f>'Budget-ADA'!L21</f>
        <v>0</v>
      </c>
      <c r="M21" s="441" t="str">
        <f>'Budget-ADA'!M21</f>
        <v xml:space="preserve"> </v>
      </c>
      <c r="N21" s="253">
        <f>N13+N15+N17+N19</f>
        <v>0</v>
      </c>
      <c r="O21" s="442">
        <f>N21</f>
        <v>0</v>
      </c>
      <c r="P21" s="251" t="str">
        <f t="shared" si="0"/>
        <v xml:space="preserve"> </v>
      </c>
      <c r="Q21" s="253">
        <f>Q13+Q15+Q17+Q19</f>
        <v>0</v>
      </c>
      <c r="R21" s="442">
        <f>Q21</f>
        <v>0</v>
      </c>
      <c r="S21" s="251" t="str">
        <f t="shared" si="1"/>
        <v xml:space="preserve"> </v>
      </c>
      <c r="T21" s="253">
        <f>T13+T15+T17+T19</f>
        <v>0</v>
      </c>
      <c r="U21" s="442">
        <f>T21</f>
        <v>0</v>
      </c>
      <c r="V21" s="434" t="str">
        <f t="shared" si="2"/>
        <v xml:space="preserve"> </v>
      </c>
    </row>
    <row r="22" spans="1:22" ht="47.25" customHeight="1">
      <c r="A22" s="67"/>
      <c r="B22" s="1664" t="s">
        <v>150</v>
      </c>
      <c r="C22" s="1665"/>
      <c r="D22" s="1665"/>
      <c r="E22" s="1665"/>
      <c r="F22" s="1665"/>
      <c r="G22" s="1666"/>
      <c r="H22" s="245" t="s">
        <v>151</v>
      </c>
      <c r="I22" s="427">
        <f>'Budget-ADA'!I22</f>
        <v>0</v>
      </c>
      <c r="J22" s="442">
        <f>'Budget-ADA'!J22</f>
        <v>0</v>
      </c>
      <c r="K22" s="255">
        <f>'Budget-ADA'!K22</f>
        <v>0</v>
      </c>
      <c r="L22" s="442">
        <f>'Budget-ADA'!L22</f>
        <v>0</v>
      </c>
      <c r="M22" s="251" t="str">
        <f>'Budget-ADA'!M22</f>
        <v xml:space="preserve"> </v>
      </c>
      <c r="N22" s="253">
        <f>N20-N21</f>
        <v>0</v>
      </c>
      <c r="O22" s="442">
        <f>IF($G$10="","Cell G10 CANNOT be blank",N22*$G$10)</f>
        <v>0</v>
      </c>
      <c r="P22" s="251" t="str">
        <f t="shared" si="0"/>
        <v xml:space="preserve"> </v>
      </c>
      <c r="Q22" s="255">
        <f>Q20-Q21</f>
        <v>0</v>
      </c>
      <c r="R22" s="442">
        <f>IF($G$10="","Cell G10 CANNOT be blank",Q22*$G$10)</f>
        <v>0</v>
      </c>
      <c r="S22" s="251" t="str">
        <f t="shared" si="1"/>
        <v xml:space="preserve"> </v>
      </c>
      <c r="T22" s="255">
        <f>T20-T21</f>
        <v>0</v>
      </c>
      <c r="U22" s="442">
        <f>IF($G$10="","Cell G10 CANNOT be blank",T22*$G$10)</f>
        <v>0</v>
      </c>
      <c r="V22" s="434" t="str">
        <f t="shared" si="2"/>
        <v xml:space="preserve"> </v>
      </c>
    </row>
    <row r="23" spans="1:22" ht="31.5" customHeight="1">
      <c r="A23" s="67"/>
      <c r="B23" s="1657" t="s">
        <v>152</v>
      </c>
      <c r="C23" s="1658"/>
      <c r="D23" s="1658"/>
      <c r="E23" s="1658"/>
      <c r="F23" s="1658"/>
      <c r="G23" s="1659"/>
      <c r="H23" s="245" t="s">
        <v>153</v>
      </c>
      <c r="I23" s="427">
        <f>'Budget-ADA'!I23</f>
        <v>0</v>
      </c>
      <c r="J23" s="657"/>
      <c r="K23" s="255">
        <f>'Budget-ADA'!K23</f>
        <v>0</v>
      </c>
      <c r="L23" s="657"/>
      <c r="M23" s="251" t="str">
        <f>'Budget-ADA'!M23</f>
        <v xml:space="preserve"> </v>
      </c>
      <c r="N23" s="249"/>
      <c r="O23" s="657"/>
      <c r="P23" s="250" t="str">
        <f t="shared" si="0"/>
        <v xml:space="preserve"> </v>
      </c>
      <c r="Q23" s="249"/>
      <c r="R23" s="657"/>
      <c r="S23" s="250" t="str">
        <f t="shared" si="1"/>
        <v xml:space="preserve"> </v>
      </c>
      <c r="T23" s="249"/>
      <c r="U23" s="657"/>
      <c r="V23" s="434" t="str">
        <f t="shared" si="2"/>
        <v xml:space="preserve"> </v>
      </c>
    </row>
    <row r="24" spans="1:22" ht="15.75">
      <c r="A24" s="67"/>
      <c r="B24" s="565"/>
      <c r="C24" s="435"/>
      <c r="D24" s="435"/>
      <c r="E24" s="435"/>
      <c r="F24" s="435"/>
      <c r="G24" s="435"/>
      <c r="H24" s="561"/>
      <c r="I24" s="562"/>
      <c r="J24" s="562"/>
      <c r="K24" s="562"/>
      <c r="L24" s="562"/>
      <c r="M24" s="566"/>
      <c r="N24" s="106"/>
      <c r="O24" s="562"/>
      <c r="P24" s="566"/>
      <c r="Q24" s="106"/>
      <c r="R24" s="562"/>
      <c r="S24" s="566"/>
      <c r="T24" s="573"/>
      <c r="U24" s="562"/>
      <c r="V24" s="567"/>
    </row>
    <row r="25" spans="1:22" ht="15.75">
      <c r="A25" s="41" t="s">
        <v>154</v>
      </c>
      <c r="B25" s="242"/>
      <c r="C25"/>
      <c r="D25" s="33"/>
      <c r="E25" s="33"/>
      <c r="F25" s="33"/>
      <c r="G25" s="33"/>
      <c r="H25" s="568"/>
      <c r="I25" s="91"/>
      <c r="J25" s="37"/>
      <c r="K25" s="37"/>
      <c r="L25" s="37"/>
      <c r="M25" s="37"/>
      <c r="N25" s="37"/>
      <c r="O25" s="37"/>
      <c r="P25" s="37"/>
      <c r="Q25" s="37"/>
      <c r="R25" s="37"/>
      <c r="S25" s="37"/>
      <c r="T25" s="37"/>
      <c r="U25" s="37"/>
      <c r="V25" s="237"/>
    </row>
    <row r="26" spans="1:22" ht="15.75">
      <c r="A26" s="67"/>
      <c r="B26" s="246"/>
      <c r="C26" s="247" t="s">
        <v>130</v>
      </c>
      <c r="D26" s="244"/>
      <c r="E26" s="244"/>
      <c r="F26" s="244"/>
      <c r="G26" s="244"/>
      <c r="H26" s="245" t="s">
        <v>131</v>
      </c>
      <c r="I26" s="427">
        <f>'Budget-ADA'!I26</f>
        <v>0</v>
      </c>
      <c r="J26" s="784"/>
      <c r="K26" s="255">
        <f>'Budget-ADA'!K26</f>
        <v>0</v>
      </c>
      <c r="L26" s="784"/>
      <c r="M26" s="251" t="str">
        <f>'Budget-ADA'!M26</f>
        <v xml:space="preserve"> </v>
      </c>
      <c r="N26" s="249"/>
      <c r="O26" s="784"/>
      <c r="P26" s="250" t="str">
        <f t="shared" ref="P26:P36" si="3">IF(K26&lt;1," ",IF(N26&lt;1," ",(N26-K26)/K26))</f>
        <v xml:space="preserve"> </v>
      </c>
      <c r="Q26" s="249"/>
      <c r="R26" s="784"/>
      <c r="S26" s="250" t="str">
        <f t="shared" ref="S26:S36" si="4">IF(N26&lt;1," ",IF(Q26&lt;1," ",(Q26-N26)/N26))</f>
        <v xml:space="preserve"> </v>
      </c>
      <c r="T26" s="249"/>
      <c r="U26" s="784"/>
      <c r="V26" s="252" t="str">
        <f t="shared" ref="V26:V36" si="5">IF(Q26&lt;1," ",IF(T26&lt;1," ",(T26-Q26)/Q26))</f>
        <v xml:space="preserve"> </v>
      </c>
    </row>
    <row r="27" spans="1:22" ht="15.75">
      <c r="A27" s="67"/>
      <c r="B27" s="246"/>
      <c r="C27" s="140" t="s">
        <v>132</v>
      </c>
      <c r="D27" s="244"/>
      <c r="E27" s="244"/>
      <c r="F27" s="244"/>
      <c r="G27" s="244"/>
      <c r="H27" s="245" t="s">
        <v>133</v>
      </c>
      <c r="I27" s="427">
        <f>'Budget-ADA'!I27</f>
        <v>0</v>
      </c>
      <c r="J27" s="657"/>
      <c r="K27" s="255">
        <f>'Budget-ADA'!K27</f>
        <v>0</v>
      </c>
      <c r="L27" s="657"/>
      <c r="M27" s="251" t="str">
        <f>'Budget-ADA'!M27</f>
        <v xml:space="preserve"> </v>
      </c>
      <c r="N27" s="249"/>
      <c r="O27" s="657"/>
      <c r="P27" s="250" t="str">
        <f t="shared" si="3"/>
        <v xml:space="preserve"> </v>
      </c>
      <c r="Q27" s="249"/>
      <c r="R27" s="657"/>
      <c r="S27" s="250" t="str">
        <f t="shared" si="4"/>
        <v xml:space="preserve"> </v>
      </c>
      <c r="T27" s="249"/>
      <c r="U27" s="657"/>
      <c r="V27" s="252" t="str">
        <f t="shared" si="5"/>
        <v xml:space="preserve"> </v>
      </c>
    </row>
    <row r="28" spans="1:22" ht="15.75">
      <c r="A28" s="67"/>
      <c r="B28" s="246"/>
      <c r="C28" s="247" t="s">
        <v>134</v>
      </c>
      <c r="D28" s="244"/>
      <c r="E28" s="244"/>
      <c r="F28" s="244"/>
      <c r="G28" s="244"/>
      <c r="H28" s="245" t="s">
        <v>135</v>
      </c>
      <c r="I28" s="427">
        <f>'Budget-ADA'!I28</f>
        <v>0</v>
      </c>
      <c r="J28" s="657"/>
      <c r="K28" s="255">
        <f>'Budget-ADA'!K28</f>
        <v>0</v>
      </c>
      <c r="L28" s="657"/>
      <c r="M28" s="251" t="str">
        <f>'Budget-ADA'!M28</f>
        <v xml:space="preserve"> </v>
      </c>
      <c r="N28" s="249"/>
      <c r="O28" s="657"/>
      <c r="P28" s="250" t="str">
        <f t="shared" si="3"/>
        <v xml:space="preserve"> </v>
      </c>
      <c r="Q28" s="249"/>
      <c r="R28" s="657"/>
      <c r="S28" s="250" t="str">
        <f t="shared" si="4"/>
        <v xml:space="preserve"> </v>
      </c>
      <c r="T28" s="249"/>
      <c r="U28" s="657"/>
      <c r="V28" s="252" t="str">
        <f t="shared" si="5"/>
        <v xml:space="preserve"> </v>
      </c>
    </row>
    <row r="29" spans="1:22" ht="15.75">
      <c r="A29" s="67"/>
      <c r="B29" s="246"/>
      <c r="C29" s="140" t="s">
        <v>136</v>
      </c>
      <c r="D29" s="244"/>
      <c r="E29" s="244"/>
      <c r="F29" s="244"/>
      <c r="G29" s="244"/>
      <c r="H29" s="245" t="s">
        <v>137</v>
      </c>
      <c r="I29" s="427">
        <f>'Budget-ADA'!I29</f>
        <v>0</v>
      </c>
      <c r="J29" s="657"/>
      <c r="K29" s="255">
        <f>'Budget-ADA'!K29</f>
        <v>0</v>
      </c>
      <c r="L29" s="657"/>
      <c r="M29" s="251" t="str">
        <f>'Budget-ADA'!M29</f>
        <v xml:space="preserve"> </v>
      </c>
      <c r="N29" s="249"/>
      <c r="O29" s="657"/>
      <c r="P29" s="250" t="str">
        <f t="shared" si="3"/>
        <v xml:space="preserve"> </v>
      </c>
      <c r="Q29" s="249"/>
      <c r="R29" s="657"/>
      <c r="S29" s="250" t="str">
        <f t="shared" si="4"/>
        <v xml:space="preserve"> </v>
      </c>
      <c r="T29" s="249"/>
      <c r="U29" s="657"/>
      <c r="V29" s="252" t="str">
        <f t="shared" si="5"/>
        <v xml:space="preserve"> </v>
      </c>
    </row>
    <row r="30" spans="1:22" ht="15.75">
      <c r="A30" s="67"/>
      <c r="B30" s="246"/>
      <c r="C30" s="247" t="s">
        <v>138</v>
      </c>
      <c r="D30" s="244"/>
      <c r="E30" s="244"/>
      <c r="F30" s="244"/>
      <c r="G30" s="244"/>
      <c r="H30" s="245" t="s">
        <v>139</v>
      </c>
      <c r="I30" s="427">
        <f>'Budget-ADA'!I30</f>
        <v>0</v>
      </c>
      <c r="J30" s="657"/>
      <c r="K30" s="255">
        <f>'Budget-ADA'!K30</f>
        <v>0</v>
      </c>
      <c r="L30" s="657"/>
      <c r="M30" s="251" t="str">
        <f>'Budget-ADA'!M30</f>
        <v xml:space="preserve"> </v>
      </c>
      <c r="N30" s="249"/>
      <c r="O30" s="657"/>
      <c r="P30" s="250" t="str">
        <f t="shared" si="3"/>
        <v xml:space="preserve"> </v>
      </c>
      <c r="Q30" s="249"/>
      <c r="R30" s="657"/>
      <c r="S30" s="250" t="str">
        <f t="shared" si="4"/>
        <v xml:space="preserve"> </v>
      </c>
      <c r="T30" s="249"/>
      <c r="U30" s="657"/>
      <c r="V30" s="252" t="str">
        <f t="shared" si="5"/>
        <v xml:space="preserve"> </v>
      </c>
    </row>
    <row r="31" spans="1:22" ht="15.75">
      <c r="A31" s="67"/>
      <c r="B31" s="246"/>
      <c r="C31" s="140" t="s">
        <v>140</v>
      </c>
      <c r="D31" s="244"/>
      <c r="E31" s="244"/>
      <c r="F31" s="244"/>
      <c r="G31" s="244"/>
      <c r="H31" s="245" t="s">
        <v>141</v>
      </c>
      <c r="I31" s="427">
        <f>'Budget-ADA'!I31</f>
        <v>0</v>
      </c>
      <c r="J31" s="657"/>
      <c r="K31" s="255">
        <f>'Budget-ADA'!K31</f>
        <v>0</v>
      </c>
      <c r="L31" s="657"/>
      <c r="M31" s="251" t="str">
        <f>'Budget-ADA'!M31</f>
        <v xml:space="preserve"> </v>
      </c>
      <c r="N31" s="249"/>
      <c r="O31" s="657"/>
      <c r="P31" s="250" t="str">
        <f t="shared" si="3"/>
        <v xml:space="preserve"> </v>
      </c>
      <c r="Q31" s="249"/>
      <c r="R31" s="657"/>
      <c r="S31" s="250" t="str">
        <f t="shared" si="4"/>
        <v xml:space="preserve"> </v>
      </c>
      <c r="T31" s="249"/>
      <c r="U31" s="657"/>
      <c r="V31" s="252" t="str">
        <f t="shared" si="5"/>
        <v xml:space="preserve"> </v>
      </c>
    </row>
    <row r="32" spans="1:22" ht="15.75">
      <c r="A32" s="67"/>
      <c r="B32" s="246"/>
      <c r="C32" s="247" t="s">
        <v>142</v>
      </c>
      <c r="D32" s="244"/>
      <c r="E32" s="244"/>
      <c r="F32" s="244"/>
      <c r="G32" s="244"/>
      <c r="H32" s="245" t="s">
        <v>143</v>
      </c>
      <c r="I32" s="427">
        <f>'Budget-ADA'!I32</f>
        <v>0</v>
      </c>
      <c r="J32" s="657"/>
      <c r="K32" s="255">
        <f>'Budget-ADA'!K32</f>
        <v>0</v>
      </c>
      <c r="L32" s="657"/>
      <c r="M32" s="251" t="str">
        <f>'Budget-ADA'!M32</f>
        <v xml:space="preserve"> </v>
      </c>
      <c r="N32" s="249"/>
      <c r="O32" s="657"/>
      <c r="P32" s="250" t="str">
        <f t="shared" si="3"/>
        <v xml:space="preserve"> </v>
      </c>
      <c r="Q32" s="249"/>
      <c r="R32" s="657"/>
      <c r="S32" s="250" t="str">
        <f t="shared" si="4"/>
        <v xml:space="preserve"> </v>
      </c>
      <c r="T32" s="249"/>
      <c r="U32" s="657"/>
      <c r="V32" s="252" t="str">
        <f t="shared" si="5"/>
        <v xml:space="preserve"> </v>
      </c>
    </row>
    <row r="33" spans="1:22" ht="15.75" customHeight="1">
      <c r="A33" s="67"/>
      <c r="B33" s="246"/>
      <c r="C33" s="650" t="s">
        <v>144</v>
      </c>
      <c r="D33" s="244"/>
      <c r="E33" s="244"/>
      <c r="F33" s="244"/>
      <c r="G33" s="244"/>
      <c r="H33" s="245" t="s">
        <v>145</v>
      </c>
      <c r="I33" s="427">
        <f>'Budget-ADA'!I33</f>
        <v>0</v>
      </c>
      <c r="J33" s="657"/>
      <c r="K33" s="255">
        <f>'Budget-ADA'!K33</f>
        <v>0</v>
      </c>
      <c r="L33" s="657"/>
      <c r="M33" s="251" t="str">
        <f>'Budget-ADA'!M33</f>
        <v xml:space="preserve"> </v>
      </c>
      <c r="N33" s="249"/>
      <c r="O33" s="657"/>
      <c r="P33" s="250" t="str">
        <f t="shared" si="3"/>
        <v xml:space="preserve"> </v>
      </c>
      <c r="Q33" s="249"/>
      <c r="R33" s="657"/>
      <c r="S33" s="250" t="str">
        <f t="shared" si="4"/>
        <v xml:space="preserve"> </v>
      </c>
      <c r="T33" s="249"/>
      <c r="U33" s="657"/>
      <c r="V33" s="252" t="str">
        <f t="shared" si="5"/>
        <v xml:space="preserve"> </v>
      </c>
    </row>
    <row r="34" spans="1:22" ht="18.75" customHeight="1">
      <c r="A34" s="67"/>
      <c r="B34" s="1664" t="s">
        <v>146</v>
      </c>
      <c r="C34" s="1665"/>
      <c r="D34" s="1665"/>
      <c r="E34" s="1665"/>
      <c r="F34" s="1665"/>
      <c r="G34" s="1666"/>
      <c r="H34" s="245" t="s">
        <v>147</v>
      </c>
      <c r="I34" s="427">
        <f>'Budget-ADA'!I34</f>
        <v>0</v>
      </c>
      <c r="J34" s="254">
        <f>IF(('Budget-ADA'!J34="Cell G10 CANNOT be blank"), "Missing Data, BUDGET-ADA Tab, cell G10",'Budget-ADA'!J34)</f>
        <v>0</v>
      </c>
      <c r="K34" s="255">
        <f>'Budget-ADA'!K34</f>
        <v>0</v>
      </c>
      <c r="L34" s="442">
        <f>IF(('Budget-ADA'!L34="Cell G10 CANNOT be blank"), "Missing Data, BUDGET-ADA Tab, cell G10",'Budget-ADA'!L34)</f>
        <v>0</v>
      </c>
      <c r="M34" s="441" t="str">
        <f>'Budget-ADA'!M34</f>
        <v xml:space="preserve"> </v>
      </c>
      <c r="N34" s="253">
        <f>N26+N28+N30+N32</f>
        <v>0</v>
      </c>
      <c r="O34" s="657"/>
      <c r="P34" s="251" t="str">
        <f t="shared" si="3"/>
        <v xml:space="preserve"> </v>
      </c>
      <c r="Q34" s="253">
        <f>Q26+Q28+Q30+Q32</f>
        <v>0</v>
      </c>
      <c r="R34" s="657"/>
      <c r="S34" s="251" t="str">
        <f t="shared" si="4"/>
        <v xml:space="preserve"> </v>
      </c>
      <c r="T34" s="253">
        <f>T26+T28+T30+T32</f>
        <v>0</v>
      </c>
      <c r="U34" s="657"/>
      <c r="V34" s="434" t="str">
        <f t="shared" si="5"/>
        <v xml:space="preserve"> </v>
      </c>
    </row>
    <row r="35" spans="1:22" ht="15.75">
      <c r="A35" s="67"/>
      <c r="B35" s="1664" t="s">
        <v>148</v>
      </c>
      <c r="C35" s="1665"/>
      <c r="D35" s="1665"/>
      <c r="E35" s="1665"/>
      <c r="F35" s="1665"/>
      <c r="G35" s="1666"/>
      <c r="H35" s="245" t="s">
        <v>149</v>
      </c>
      <c r="I35" s="427">
        <f>'Budget-ADA'!I35</f>
        <v>0</v>
      </c>
      <c r="J35" s="254">
        <f>'Budget-ADA'!J35</f>
        <v>0</v>
      </c>
      <c r="K35" s="255">
        <f>'Budget-ADA'!K35</f>
        <v>0</v>
      </c>
      <c r="L35" s="442">
        <f>'Budget-ADA'!L35</f>
        <v>0</v>
      </c>
      <c r="M35" s="441" t="str">
        <f>'Budget-ADA'!M35</f>
        <v xml:space="preserve"> </v>
      </c>
      <c r="N35" s="253">
        <f>N27+N29+N31+N33</f>
        <v>0</v>
      </c>
      <c r="O35" s="442">
        <f>N35</f>
        <v>0</v>
      </c>
      <c r="P35" s="251" t="str">
        <f t="shared" si="3"/>
        <v xml:space="preserve"> </v>
      </c>
      <c r="Q35" s="253">
        <f>Q27+Q29+Q31+Q33</f>
        <v>0</v>
      </c>
      <c r="R35" s="442">
        <f>Q35</f>
        <v>0</v>
      </c>
      <c r="S35" s="251" t="str">
        <f t="shared" si="4"/>
        <v xml:space="preserve"> </v>
      </c>
      <c r="T35" s="253">
        <f>T27+T29+T31+T33</f>
        <v>0</v>
      </c>
      <c r="U35" s="442">
        <f>T35</f>
        <v>0</v>
      </c>
      <c r="V35" s="434" t="str">
        <f t="shared" si="5"/>
        <v xml:space="preserve"> </v>
      </c>
    </row>
    <row r="36" spans="1:22" ht="47.25" customHeight="1">
      <c r="A36" s="67"/>
      <c r="B36" s="1664" t="s">
        <v>150</v>
      </c>
      <c r="C36" s="1665"/>
      <c r="D36" s="1665"/>
      <c r="E36" s="1665"/>
      <c r="F36" s="1665"/>
      <c r="G36" s="1666"/>
      <c r="H36" s="245" t="s">
        <v>151</v>
      </c>
      <c r="I36" s="427">
        <f>'Budget-ADA'!I36</f>
        <v>0</v>
      </c>
      <c r="J36" s="442">
        <f>'Budget-ADA'!J36</f>
        <v>0</v>
      </c>
      <c r="K36" s="255">
        <f>'Budget-ADA'!K36</f>
        <v>0</v>
      </c>
      <c r="L36" s="442">
        <f>'Budget-ADA'!L36</f>
        <v>0</v>
      </c>
      <c r="M36" s="251" t="str">
        <f>'Budget-ADA'!M36</f>
        <v xml:space="preserve"> </v>
      </c>
      <c r="N36" s="253">
        <f>N34-N35</f>
        <v>0</v>
      </c>
      <c r="O36" s="442">
        <f>IF($G$10="","Cell G10 CANNOT be blank",N36*$G$10)</f>
        <v>0</v>
      </c>
      <c r="P36" s="251" t="str">
        <f t="shared" si="3"/>
        <v xml:space="preserve"> </v>
      </c>
      <c r="Q36" s="255">
        <f>Q34-Q35</f>
        <v>0</v>
      </c>
      <c r="R36" s="442">
        <f>IF($G$10="","Cell G10 CANNOT be blank",Q36*$G$10)</f>
        <v>0</v>
      </c>
      <c r="S36" s="251" t="str">
        <f t="shared" si="4"/>
        <v xml:space="preserve"> </v>
      </c>
      <c r="T36" s="255">
        <f>T34-T35</f>
        <v>0</v>
      </c>
      <c r="U36" s="442">
        <f>IF($G$10="","Cell G10 CANNOT be blank",T36*$G$10)</f>
        <v>0</v>
      </c>
      <c r="V36" s="434" t="str">
        <f t="shared" si="5"/>
        <v xml:space="preserve"> </v>
      </c>
    </row>
    <row r="37" spans="1:22" ht="15.75">
      <c r="A37" s="67"/>
      <c r="B37" s="565"/>
      <c r="C37" s="435"/>
      <c r="D37" s="435"/>
      <c r="E37" s="435"/>
      <c r="F37" s="435"/>
      <c r="G37" s="435"/>
      <c r="H37" s="561"/>
      <c r="I37" s="562"/>
      <c r="J37" s="563"/>
      <c r="K37" s="563"/>
      <c r="L37" s="563"/>
      <c r="M37" s="563"/>
      <c r="N37" s="563"/>
      <c r="O37" s="563"/>
      <c r="P37" s="563"/>
      <c r="Q37" s="563"/>
      <c r="R37" s="563"/>
      <c r="S37" s="563"/>
      <c r="T37" s="563"/>
      <c r="U37" s="563"/>
      <c r="V37" s="564"/>
    </row>
    <row r="38" spans="1:22" ht="15.75">
      <c r="A38" s="41" t="s">
        <v>155</v>
      </c>
      <c r="B38" s="436"/>
      <c r="C38" s="151"/>
      <c r="D38" s="243"/>
      <c r="E38" s="243"/>
      <c r="F38" s="243"/>
      <c r="G38" s="243"/>
      <c r="H38" s="560"/>
      <c r="I38" s="438"/>
      <c r="J38" s="242"/>
      <c r="K38" s="438"/>
      <c r="L38" s="242"/>
      <c r="M38" s="569"/>
      <c r="N38" s="438"/>
      <c r="O38" s="242"/>
      <c r="P38" s="242"/>
      <c r="Q38" s="438"/>
      <c r="R38" s="242"/>
      <c r="S38" s="242"/>
      <c r="T38" s="438"/>
      <c r="U38" s="242"/>
      <c r="V38" s="437"/>
    </row>
    <row r="39" spans="1:22" ht="15.75">
      <c r="A39" s="440"/>
      <c r="B39" s="246"/>
      <c r="C39" s="247" t="s">
        <v>130</v>
      </c>
      <c r="D39" s="244"/>
      <c r="E39" s="244"/>
      <c r="F39" s="244"/>
      <c r="G39" s="244"/>
      <c r="H39" s="245" t="s">
        <v>131</v>
      </c>
      <c r="I39" s="427">
        <f>'Budget-ADA'!I39</f>
        <v>342.1</v>
      </c>
      <c r="J39" s="784"/>
      <c r="K39" s="255">
        <f>'Budget-ADA'!K39</f>
        <v>260.39999999999998</v>
      </c>
      <c r="L39" s="784"/>
      <c r="M39" s="251">
        <f>'Budget-ADA'!M39</f>
        <v>-0.23881905875475018</v>
      </c>
      <c r="N39" s="249">
        <v>218.55</v>
      </c>
      <c r="O39" s="784"/>
      <c r="P39" s="250">
        <f t="shared" ref="P39:P49" si="6">IF(K39&lt;1," ",IF(N39&lt;1," ",(N39-K39)/K39))</f>
        <v>-0.16071428571428559</v>
      </c>
      <c r="Q39" s="249">
        <v>204.6</v>
      </c>
      <c r="R39" s="784"/>
      <c r="S39" s="250">
        <f t="shared" ref="S39:S49" si="7">IF(N39&lt;1," ",IF(Q39&lt;1," ",(Q39-N39)/N39))</f>
        <v>-6.3829787234042631E-2</v>
      </c>
      <c r="T39" s="249">
        <v>223.2</v>
      </c>
      <c r="U39" s="784"/>
      <c r="V39" s="252">
        <f t="shared" ref="V39:V49" si="8">IF(Q39&lt;1," ",IF(T39&lt;1," ",(T39-Q39)/Q39))</f>
        <v>9.0909090909090884E-2</v>
      </c>
    </row>
    <row r="40" spans="1:22" ht="15.75">
      <c r="A40" s="40"/>
      <c r="B40" s="246"/>
      <c r="C40" s="140" t="s">
        <v>132</v>
      </c>
      <c r="D40" s="244"/>
      <c r="E40" s="244"/>
      <c r="F40" s="244"/>
      <c r="G40" s="244"/>
      <c r="H40" s="245" t="s">
        <v>133</v>
      </c>
      <c r="I40" s="427">
        <f>'Budget-ADA'!I40</f>
        <v>0</v>
      </c>
      <c r="J40" s="657"/>
      <c r="K40" s="255">
        <f>'Budget-ADA'!K40</f>
        <v>0</v>
      </c>
      <c r="L40" s="657"/>
      <c r="M40" s="251" t="str">
        <f>'Budget-ADA'!M40</f>
        <v xml:space="preserve"> </v>
      </c>
      <c r="N40" s="249"/>
      <c r="O40" s="657"/>
      <c r="P40" s="250" t="str">
        <f t="shared" si="6"/>
        <v xml:space="preserve"> </v>
      </c>
      <c r="Q40" s="249"/>
      <c r="R40" s="657"/>
      <c r="S40" s="250" t="str">
        <f t="shared" si="7"/>
        <v xml:space="preserve"> </v>
      </c>
      <c r="T40" s="249"/>
      <c r="U40" s="657"/>
      <c r="V40" s="252" t="str">
        <f t="shared" si="8"/>
        <v xml:space="preserve"> </v>
      </c>
    </row>
    <row r="41" spans="1:22" ht="15.75">
      <c r="A41" s="40"/>
      <c r="B41" s="246"/>
      <c r="C41" s="247" t="s">
        <v>134</v>
      </c>
      <c r="D41" s="244"/>
      <c r="E41" s="244"/>
      <c r="F41" s="244"/>
      <c r="G41" s="244"/>
      <c r="H41" s="245" t="s">
        <v>135</v>
      </c>
      <c r="I41" s="427">
        <f>'Budget-ADA'!I41</f>
        <v>0</v>
      </c>
      <c r="J41" s="657"/>
      <c r="K41" s="255">
        <f>'Budget-ADA'!K41</f>
        <v>0</v>
      </c>
      <c r="L41" s="657"/>
      <c r="M41" s="251" t="str">
        <f>'Budget-ADA'!M41</f>
        <v xml:space="preserve"> </v>
      </c>
      <c r="N41" s="249"/>
      <c r="O41" s="657"/>
      <c r="P41" s="250" t="str">
        <f t="shared" si="6"/>
        <v xml:space="preserve"> </v>
      </c>
      <c r="Q41" s="249"/>
      <c r="R41" s="657"/>
      <c r="S41" s="250" t="str">
        <f t="shared" si="7"/>
        <v xml:space="preserve"> </v>
      </c>
      <c r="T41" s="249"/>
      <c r="U41" s="657"/>
      <c r="V41" s="252" t="str">
        <f t="shared" si="8"/>
        <v xml:space="preserve"> </v>
      </c>
    </row>
    <row r="42" spans="1:22" ht="15.75">
      <c r="A42" s="40"/>
      <c r="B42" s="246"/>
      <c r="C42" s="140" t="s">
        <v>136</v>
      </c>
      <c r="D42" s="244"/>
      <c r="E42" s="244"/>
      <c r="F42" s="244"/>
      <c r="G42" s="244"/>
      <c r="H42" s="245" t="s">
        <v>137</v>
      </c>
      <c r="I42" s="427">
        <f>'Budget-ADA'!I42</f>
        <v>0</v>
      </c>
      <c r="J42" s="657"/>
      <c r="K42" s="255">
        <f>'Budget-ADA'!K42</f>
        <v>0</v>
      </c>
      <c r="L42" s="657"/>
      <c r="M42" s="251" t="str">
        <f>'Budget-ADA'!M42</f>
        <v xml:space="preserve"> </v>
      </c>
      <c r="N42" s="249"/>
      <c r="O42" s="657"/>
      <c r="P42" s="250" t="str">
        <f t="shared" si="6"/>
        <v xml:space="preserve"> </v>
      </c>
      <c r="Q42" s="249"/>
      <c r="R42" s="657"/>
      <c r="S42" s="250" t="str">
        <f t="shared" si="7"/>
        <v xml:space="preserve"> </v>
      </c>
      <c r="T42" s="249"/>
      <c r="U42" s="657"/>
      <c r="V42" s="252" t="str">
        <f t="shared" si="8"/>
        <v xml:space="preserve"> </v>
      </c>
    </row>
    <row r="43" spans="1:22" ht="15.75">
      <c r="A43" s="40"/>
      <c r="B43" s="246"/>
      <c r="C43" s="247" t="s">
        <v>138</v>
      </c>
      <c r="D43" s="244"/>
      <c r="E43" s="244"/>
      <c r="F43" s="244"/>
      <c r="G43" s="244"/>
      <c r="H43" s="245" t="s">
        <v>139</v>
      </c>
      <c r="I43" s="427">
        <f>'Budget-ADA'!I43</f>
        <v>0</v>
      </c>
      <c r="J43" s="657"/>
      <c r="K43" s="255">
        <f>'Budget-ADA'!K43</f>
        <v>0</v>
      </c>
      <c r="L43" s="657"/>
      <c r="M43" s="251" t="str">
        <f>'Budget-ADA'!M43</f>
        <v xml:space="preserve"> </v>
      </c>
      <c r="N43" s="249"/>
      <c r="O43" s="657"/>
      <c r="P43" s="250" t="str">
        <f t="shared" si="6"/>
        <v xml:space="preserve"> </v>
      </c>
      <c r="Q43" s="249"/>
      <c r="R43" s="657"/>
      <c r="S43" s="250" t="str">
        <f t="shared" si="7"/>
        <v xml:space="preserve"> </v>
      </c>
      <c r="T43" s="249"/>
      <c r="U43" s="657"/>
      <c r="V43" s="252" t="str">
        <f t="shared" si="8"/>
        <v xml:space="preserve"> </v>
      </c>
    </row>
    <row r="44" spans="1:22" ht="15.75">
      <c r="A44" s="40"/>
      <c r="B44" s="246"/>
      <c r="C44" s="140" t="s">
        <v>140</v>
      </c>
      <c r="D44" s="244"/>
      <c r="E44" s="244"/>
      <c r="F44" s="244"/>
      <c r="G44" s="244"/>
      <c r="H44" s="245" t="s">
        <v>141</v>
      </c>
      <c r="I44" s="427">
        <f>'Budget-ADA'!I44</f>
        <v>0</v>
      </c>
      <c r="J44" s="657"/>
      <c r="K44" s="255">
        <f>'Budget-ADA'!K44</f>
        <v>0</v>
      </c>
      <c r="L44" s="657"/>
      <c r="M44" s="251" t="str">
        <f>'Budget-ADA'!M44</f>
        <v xml:space="preserve"> </v>
      </c>
      <c r="N44" s="249"/>
      <c r="O44" s="657"/>
      <c r="P44" s="250" t="str">
        <f t="shared" si="6"/>
        <v xml:space="preserve"> </v>
      </c>
      <c r="Q44" s="249"/>
      <c r="R44" s="657"/>
      <c r="S44" s="250" t="str">
        <f t="shared" si="7"/>
        <v xml:space="preserve"> </v>
      </c>
      <c r="T44" s="249"/>
      <c r="U44" s="657"/>
      <c r="V44" s="252" t="str">
        <f t="shared" si="8"/>
        <v xml:space="preserve"> </v>
      </c>
    </row>
    <row r="45" spans="1:22" ht="15.75">
      <c r="A45" s="40"/>
      <c r="B45" s="246"/>
      <c r="C45" s="247" t="s">
        <v>142</v>
      </c>
      <c r="D45" s="244"/>
      <c r="E45" s="244"/>
      <c r="F45" s="244"/>
      <c r="G45" s="244"/>
      <c r="H45" s="245" t="s">
        <v>143</v>
      </c>
      <c r="I45" s="427">
        <f>'Budget-ADA'!I45</f>
        <v>0</v>
      </c>
      <c r="J45" s="657"/>
      <c r="K45" s="255">
        <f>'Budget-ADA'!K45</f>
        <v>0</v>
      </c>
      <c r="L45" s="657"/>
      <c r="M45" s="251" t="str">
        <f>'Budget-ADA'!M45</f>
        <v xml:space="preserve"> </v>
      </c>
      <c r="N45" s="249"/>
      <c r="O45" s="657"/>
      <c r="P45" s="250" t="str">
        <f t="shared" si="6"/>
        <v xml:space="preserve"> </v>
      </c>
      <c r="Q45" s="249"/>
      <c r="R45" s="657"/>
      <c r="S45" s="250" t="str">
        <f t="shared" si="7"/>
        <v xml:space="preserve"> </v>
      </c>
      <c r="T45" s="249"/>
      <c r="U45" s="657"/>
      <c r="V45" s="252" t="str">
        <f t="shared" si="8"/>
        <v xml:space="preserve"> </v>
      </c>
    </row>
    <row r="46" spans="1:22" ht="15.75">
      <c r="A46" s="40"/>
      <c r="B46" s="246"/>
      <c r="C46" s="140" t="s">
        <v>144</v>
      </c>
      <c r="D46" s="244"/>
      <c r="E46" s="244"/>
      <c r="F46" s="244"/>
      <c r="G46" s="244"/>
      <c r="H46" s="245" t="s">
        <v>145</v>
      </c>
      <c r="I46" s="427">
        <f>'Budget-ADA'!I46</f>
        <v>0</v>
      </c>
      <c r="J46" s="657"/>
      <c r="K46" s="255">
        <f>'Budget-ADA'!K46</f>
        <v>0</v>
      </c>
      <c r="L46" s="657"/>
      <c r="M46" s="251" t="str">
        <f>'Budget-ADA'!M46</f>
        <v xml:space="preserve"> </v>
      </c>
      <c r="N46" s="249"/>
      <c r="O46" s="657"/>
      <c r="P46" s="250" t="str">
        <f t="shared" si="6"/>
        <v xml:space="preserve"> </v>
      </c>
      <c r="Q46" s="249"/>
      <c r="R46" s="657"/>
      <c r="S46" s="250" t="str">
        <f t="shared" si="7"/>
        <v xml:space="preserve"> </v>
      </c>
      <c r="T46" s="249"/>
      <c r="U46" s="657"/>
      <c r="V46" s="252" t="str">
        <f t="shared" si="8"/>
        <v xml:space="preserve"> </v>
      </c>
    </row>
    <row r="47" spans="1:22" ht="18.75" customHeight="1">
      <c r="A47" s="67"/>
      <c r="B47" s="1664" t="s">
        <v>146</v>
      </c>
      <c r="C47" s="1665"/>
      <c r="D47" s="1665"/>
      <c r="E47" s="1665"/>
      <c r="F47" s="1665"/>
      <c r="G47" s="1666"/>
      <c r="H47" s="245" t="s">
        <v>147</v>
      </c>
      <c r="I47" s="427">
        <f>'Budget-ADA'!I47</f>
        <v>342.1</v>
      </c>
      <c r="J47" s="254">
        <f>IF(('Budget-ADA'!J47="Cell G10 CANNOT be blank"), "Missing Data, BUDGET-ADA Tab, cell G10",'Budget-ADA'!J47)</f>
        <v>0</v>
      </c>
      <c r="K47" s="255">
        <f>'Budget-ADA'!K47</f>
        <v>260.39999999999998</v>
      </c>
      <c r="L47" s="442">
        <f>IF(('Budget-ADA'!L47="Cell G10 CANNOT be blank"), "Missing Data, BUDGET-ADA Tab, cell G10",'Budget-ADA'!L47)</f>
        <v>0</v>
      </c>
      <c r="M47" s="441">
        <f>'Budget-ADA'!M47</f>
        <v>-0.23881905875475018</v>
      </c>
      <c r="N47" s="253">
        <f>N39+N41+N43+N45</f>
        <v>218.55</v>
      </c>
      <c r="O47" s="657"/>
      <c r="P47" s="251">
        <f t="shared" si="6"/>
        <v>-0.16071428571428559</v>
      </c>
      <c r="Q47" s="253">
        <f>Q39+Q41+Q43+Q45</f>
        <v>204.6</v>
      </c>
      <c r="R47" s="657"/>
      <c r="S47" s="251">
        <f t="shared" si="7"/>
        <v>-6.3829787234042631E-2</v>
      </c>
      <c r="T47" s="253">
        <f>T39+T41+T43+T45</f>
        <v>223.2</v>
      </c>
      <c r="U47" s="657"/>
      <c r="V47" s="434">
        <f t="shared" si="8"/>
        <v>9.0909090909090884E-2</v>
      </c>
    </row>
    <row r="48" spans="1:22" ht="15.75">
      <c r="A48" s="67"/>
      <c r="B48" s="1664" t="s">
        <v>148</v>
      </c>
      <c r="C48" s="1665"/>
      <c r="D48" s="1665"/>
      <c r="E48" s="1665"/>
      <c r="F48" s="1665"/>
      <c r="G48" s="1666"/>
      <c r="H48" s="245" t="s">
        <v>149</v>
      </c>
      <c r="I48" s="427">
        <f>'Budget-ADA'!I48</f>
        <v>0</v>
      </c>
      <c r="J48" s="254">
        <f>'Budget-ADA'!J48</f>
        <v>0</v>
      </c>
      <c r="K48" s="255">
        <f>'Budget-ADA'!K48</f>
        <v>0</v>
      </c>
      <c r="L48" s="442">
        <f>'Budget-ADA'!L48</f>
        <v>0</v>
      </c>
      <c r="M48" s="441" t="str">
        <f>'Budget-ADA'!M48</f>
        <v xml:space="preserve"> </v>
      </c>
      <c r="N48" s="253">
        <f>N40+N42+N44+N46</f>
        <v>0</v>
      </c>
      <c r="O48" s="442">
        <f>N48</f>
        <v>0</v>
      </c>
      <c r="P48" s="251" t="str">
        <f t="shared" si="6"/>
        <v xml:space="preserve"> </v>
      </c>
      <c r="Q48" s="253">
        <f>Q40+Q42+Q44+Q46</f>
        <v>0</v>
      </c>
      <c r="R48" s="442">
        <f>Q48</f>
        <v>0</v>
      </c>
      <c r="S48" s="251" t="str">
        <f t="shared" si="7"/>
        <v xml:space="preserve"> </v>
      </c>
      <c r="T48" s="253">
        <f>T40+T42+T44+T46</f>
        <v>0</v>
      </c>
      <c r="U48" s="442">
        <f>T48</f>
        <v>0</v>
      </c>
      <c r="V48" s="434" t="str">
        <f t="shared" si="8"/>
        <v xml:space="preserve"> </v>
      </c>
    </row>
    <row r="49" spans="1:22" ht="47.25" customHeight="1">
      <c r="A49" s="67"/>
      <c r="B49" s="1664" t="s">
        <v>150</v>
      </c>
      <c r="C49" s="1665"/>
      <c r="D49" s="1665"/>
      <c r="E49" s="1665"/>
      <c r="F49" s="1665"/>
      <c r="G49" s="1666"/>
      <c r="H49" s="245" t="s">
        <v>151</v>
      </c>
      <c r="I49" s="427">
        <f>'Budget-ADA'!I49</f>
        <v>342.1</v>
      </c>
      <c r="J49" s="442">
        <f>'Budget-ADA'!J49</f>
        <v>342.1</v>
      </c>
      <c r="K49" s="255">
        <f>'Budget-ADA'!K49</f>
        <v>260.39999999999998</v>
      </c>
      <c r="L49" s="442">
        <f>'Budget-ADA'!L49</f>
        <v>260.39999999999998</v>
      </c>
      <c r="M49" s="251">
        <f>'Budget-ADA'!M49</f>
        <v>-0.23881905875475018</v>
      </c>
      <c r="N49" s="253">
        <f>N47-N48</f>
        <v>218.55</v>
      </c>
      <c r="O49" s="442">
        <f>IF($G$10="","Cell G10 CANNOT be blank",N49*$G$10)</f>
        <v>218.55</v>
      </c>
      <c r="P49" s="251">
        <f t="shared" si="6"/>
        <v>-0.16071428571428559</v>
      </c>
      <c r="Q49" s="255">
        <f>Q47-Q48</f>
        <v>204.6</v>
      </c>
      <c r="R49" s="442">
        <f>IF($G$10="","Cell G10 CANNOT be blank",Q49*$G$10)</f>
        <v>204.6</v>
      </c>
      <c r="S49" s="251">
        <f t="shared" si="7"/>
        <v>-6.3829787234042631E-2</v>
      </c>
      <c r="T49" s="255">
        <f>T47-T48</f>
        <v>223.2</v>
      </c>
      <c r="U49" s="442">
        <f>IF($G$10="","Cell G10 CANNOT be blank",T49*$G$10)</f>
        <v>223.2</v>
      </c>
      <c r="V49" s="434">
        <f t="shared" si="8"/>
        <v>9.0909090909090884E-2</v>
      </c>
    </row>
    <row r="50" spans="1:22" ht="15.75">
      <c r="A50" s="40"/>
      <c r="B50" s="435"/>
      <c r="C50" s="435"/>
      <c r="D50" s="435"/>
      <c r="E50" s="435"/>
      <c r="F50" s="435"/>
      <c r="G50" s="435"/>
      <c r="H50" s="561"/>
      <c r="I50" s="91"/>
      <c r="J50" s="37"/>
      <c r="K50" s="37"/>
      <c r="L50" s="37"/>
      <c r="M50" s="37"/>
      <c r="N50" s="37"/>
      <c r="O50" s="37"/>
      <c r="P50" s="37"/>
      <c r="Q50" s="37"/>
      <c r="R50" s="37"/>
      <c r="S50" s="37"/>
      <c r="T50" s="37"/>
      <c r="U50" s="37"/>
      <c r="V50" s="237"/>
    </row>
    <row r="51" spans="1:22" ht="15.75">
      <c r="A51" s="41" t="s">
        <v>156</v>
      </c>
      <c r="B51" s="436"/>
      <c r="C51" s="151"/>
      <c r="D51" s="243"/>
      <c r="E51" s="243"/>
      <c r="F51" s="243"/>
      <c r="G51" s="243"/>
      <c r="H51" s="560"/>
      <c r="I51" s="438"/>
      <c r="J51" s="242"/>
      <c r="K51" s="438"/>
      <c r="L51" s="242"/>
      <c r="M51" s="569"/>
      <c r="N51" s="438"/>
      <c r="O51" s="242"/>
      <c r="P51" s="242"/>
      <c r="Q51" s="438"/>
      <c r="R51" s="242"/>
      <c r="S51" s="242"/>
      <c r="T51" s="438"/>
      <c r="U51" s="242"/>
      <c r="V51" s="437"/>
    </row>
    <row r="52" spans="1:22" ht="15.75">
      <c r="A52" s="440"/>
      <c r="B52" s="246"/>
      <c r="C52" s="247" t="s">
        <v>130</v>
      </c>
      <c r="D52" s="244"/>
      <c r="E52" s="244"/>
      <c r="F52" s="244"/>
      <c r="G52" s="244"/>
      <c r="H52" s="245" t="s">
        <v>131</v>
      </c>
      <c r="I52" s="427">
        <f>'Budget-ADA'!I52</f>
        <v>557.16999999999996</v>
      </c>
      <c r="J52" s="784"/>
      <c r="K52" s="255">
        <f>'Budget-ADA'!K52</f>
        <v>535.67999999999995</v>
      </c>
      <c r="L52" s="784"/>
      <c r="M52" s="251">
        <f>'Budget-ADA'!M52</f>
        <v>-3.8569915824613693E-2</v>
      </c>
      <c r="N52" s="249">
        <v>427.79999999999995</v>
      </c>
      <c r="O52" s="784"/>
      <c r="P52" s="250">
        <f t="shared" ref="P52:P62" si="9">IF(K52&lt;1," ",IF(N52&lt;1," ",(N52-K52)/K52))</f>
        <v>-0.2013888888888889</v>
      </c>
      <c r="Q52" s="249">
        <v>446.4</v>
      </c>
      <c r="R52" s="784"/>
      <c r="S52" s="250">
        <f t="shared" ref="S52:S62" si="10">IF(N52&lt;1," ",IF(Q52&lt;1," ",(Q52-N52)/N52))</f>
        <v>4.3478260869565272E-2</v>
      </c>
      <c r="T52" s="249">
        <v>427.8</v>
      </c>
      <c r="U52" s="784"/>
      <c r="V52" s="252">
        <f t="shared" ref="V52:V62" si="11">IF(Q52&lt;1," ",IF(T52&lt;1," ",(T52-Q52)/Q52))</f>
        <v>-4.1666666666666595E-2</v>
      </c>
    </row>
    <row r="53" spans="1:22" ht="15.75">
      <c r="A53" s="40"/>
      <c r="B53" s="246"/>
      <c r="C53" s="140" t="s">
        <v>132</v>
      </c>
      <c r="D53" s="244"/>
      <c r="E53" s="244"/>
      <c r="F53" s="244"/>
      <c r="G53" s="244"/>
      <c r="H53" s="245" t="s">
        <v>133</v>
      </c>
      <c r="I53" s="427">
        <f>'Budget-ADA'!I53</f>
        <v>0</v>
      </c>
      <c r="J53" s="657"/>
      <c r="K53" s="255">
        <f>'Budget-ADA'!K53</f>
        <v>0</v>
      </c>
      <c r="L53" s="657"/>
      <c r="M53" s="251" t="str">
        <f>'Budget-ADA'!M53</f>
        <v xml:space="preserve"> </v>
      </c>
      <c r="N53" s="249"/>
      <c r="O53" s="657"/>
      <c r="P53" s="250" t="str">
        <f t="shared" si="9"/>
        <v xml:space="preserve"> </v>
      </c>
      <c r="Q53" s="249"/>
      <c r="R53" s="657"/>
      <c r="S53" s="250" t="str">
        <f t="shared" si="10"/>
        <v xml:space="preserve"> </v>
      </c>
      <c r="T53" s="249"/>
      <c r="U53" s="657"/>
      <c r="V53" s="252" t="str">
        <f t="shared" si="11"/>
        <v xml:space="preserve"> </v>
      </c>
    </row>
    <row r="54" spans="1:22" ht="15.75">
      <c r="A54" s="40"/>
      <c r="B54" s="246"/>
      <c r="C54" s="247" t="s">
        <v>134</v>
      </c>
      <c r="D54" s="244"/>
      <c r="E54" s="244"/>
      <c r="F54" s="244"/>
      <c r="G54" s="244"/>
      <c r="H54" s="245" t="s">
        <v>135</v>
      </c>
      <c r="I54" s="427">
        <f>'Budget-ADA'!I54</f>
        <v>0</v>
      </c>
      <c r="J54" s="657"/>
      <c r="K54" s="255">
        <f>'Budget-ADA'!K54</f>
        <v>0</v>
      </c>
      <c r="L54" s="657"/>
      <c r="M54" s="251" t="str">
        <f>'Budget-ADA'!M54</f>
        <v xml:space="preserve"> </v>
      </c>
      <c r="N54" s="249"/>
      <c r="O54" s="657"/>
      <c r="P54" s="250" t="str">
        <f t="shared" si="9"/>
        <v xml:space="preserve"> </v>
      </c>
      <c r="Q54" s="249"/>
      <c r="R54" s="657"/>
      <c r="S54" s="250" t="str">
        <f t="shared" si="10"/>
        <v xml:space="preserve"> </v>
      </c>
      <c r="T54" s="249"/>
      <c r="U54" s="657"/>
      <c r="V54" s="252" t="str">
        <f t="shared" si="11"/>
        <v xml:space="preserve"> </v>
      </c>
    </row>
    <row r="55" spans="1:22" ht="15.75">
      <c r="A55" s="40"/>
      <c r="B55" s="246"/>
      <c r="C55" s="140" t="s">
        <v>136</v>
      </c>
      <c r="D55" s="244"/>
      <c r="E55" s="244"/>
      <c r="F55" s="244"/>
      <c r="G55" s="244"/>
      <c r="H55" s="245" t="s">
        <v>137</v>
      </c>
      <c r="I55" s="427">
        <f>'Budget-ADA'!I55</f>
        <v>0</v>
      </c>
      <c r="J55" s="657"/>
      <c r="K55" s="255">
        <f>'Budget-ADA'!K55</f>
        <v>0</v>
      </c>
      <c r="L55" s="657"/>
      <c r="M55" s="251" t="str">
        <f>'Budget-ADA'!M55</f>
        <v xml:space="preserve"> </v>
      </c>
      <c r="N55" s="249"/>
      <c r="O55" s="657"/>
      <c r="P55" s="250" t="str">
        <f t="shared" si="9"/>
        <v xml:space="preserve"> </v>
      </c>
      <c r="Q55" s="249"/>
      <c r="R55" s="657"/>
      <c r="S55" s="250" t="str">
        <f t="shared" si="10"/>
        <v xml:space="preserve"> </v>
      </c>
      <c r="T55" s="249"/>
      <c r="U55" s="657"/>
      <c r="V55" s="252" t="str">
        <f t="shared" si="11"/>
        <v xml:space="preserve"> </v>
      </c>
    </row>
    <row r="56" spans="1:22" ht="15.75">
      <c r="A56" s="40"/>
      <c r="B56" s="246"/>
      <c r="C56" s="247" t="s">
        <v>138</v>
      </c>
      <c r="D56" s="244"/>
      <c r="E56" s="244"/>
      <c r="F56" s="244"/>
      <c r="G56" s="244"/>
      <c r="H56" s="245" t="s">
        <v>139</v>
      </c>
      <c r="I56" s="427">
        <f>'Budget-ADA'!I56</f>
        <v>0</v>
      </c>
      <c r="J56" s="657"/>
      <c r="K56" s="255">
        <f>'Budget-ADA'!K56</f>
        <v>0</v>
      </c>
      <c r="L56" s="657"/>
      <c r="M56" s="251" t="str">
        <f>'Budget-ADA'!M56</f>
        <v xml:space="preserve"> </v>
      </c>
      <c r="N56" s="249"/>
      <c r="O56" s="657"/>
      <c r="P56" s="250" t="str">
        <f t="shared" si="9"/>
        <v xml:space="preserve"> </v>
      </c>
      <c r="Q56" s="249"/>
      <c r="R56" s="657"/>
      <c r="S56" s="250" t="str">
        <f t="shared" si="10"/>
        <v xml:space="preserve"> </v>
      </c>
      <c r="T56" s="249"/>
      <c r="U56" s="657"/>
      <c r="V56" s="252" t="str">
        <f t="shared" si="11"/>
        <v xml:space="preserve"> </v>
      </c>
    </row>
    <row r="57" spans="1:22" ht="15.75">
      <c r="A57" s="40"/>
      <c r="B57" s="246"/>
      <c r="C57" s="140" t="s">
        <v>140</v>
      </c>
      <c r="D57" s="244"/>
      <c r="E57" s="244"/>
      <c r="F57" s="244"/>
      <c r="G57" s="244"/>
      <c r="H57" s="245" t="s">
        <v>141</v>
      </c>
      <c r="I57" s="427">
        <f>'Budget-ADA'!I57</f>
        <v>0</v>
      </c>
      <c r="J57" s="657"/>
      <c r="K57" s="255">
        <f>'Budget-ADA'!K57</f>
        <v>0</v>
      </c>
      <c r="L57" s="657"/>
      <c r="M57" s="251" t="str">
        <f>'Budget-ADA'!M57</f>
        <v xml:space="preserve"> </v>
      </c>
      <c r="N57" s="249"/>
      <c r="O57" s="657"/>
      <c r="P57" s="250" t="str">
        <f t="shared" si="9"/>
        <v xml:space="preserve"> </v>
      </c>
      <c r="Q57" s="249"/>
      <c r="R57" s="657"/>
      <c r="S57" s="250" t="str">
        <f t="shared" si="10"/>
        <v xml:space="preserve"> </v>
      </c>
      <c r="T57" s="249"/>
      <c r="U57" s="657"/>
      <c r="V57" s="252" t="str">
        <f t="shared" si="11"/>
        <v xml:space="preserve"> </v>
      </c>
    </row>
    <row r="58" spans="1:22" ht="15.75">
      <c r="A58" s="40"/>
      <c r="B58" s="246"/>
      <c r="C58" s="247" t="s">
        <v>142</v>
      </c>
      <c r="D58" s="244"/>
      <c r="E58" s="244"/>
      <c r="F58" s="244"/>
      <c r="G58" s="244"/>
      <c r="H58" s="245" t="s">
        <v>143</v>
      </c>
      <c r="I58" s="427">
        <f>'Budget-ADA'!I58</f>
        <v>0</v>
      </c>
      <c r="J58" s="657"/>
      <c r="K58" s="255">
        <f>'Budget-ADA'!K58</f>
        <v>0</v>
      </c>
      <c r="L58" s="657"/>
      <c r="M58" s="251" t="str">
        <f>'Budget-ADA'!M58</f>
        <v xml:space="preserve"> </v>
      </c>
      <c r="N58" s="249"/>
      <c r="O58" s="657"/>
      <c r="P58" s="250" t="str">
        <f t="shared" si="9"/>
        <v xml:space="preserve"> </v>
      </c>
      <c r="Q58" s="249"/>
      <c r="R58" s="657"/>
      <c r="S58" s="250" t="str">
        <f t="shared" si="10"/>
        <v xml:space="preserve"> </v>
      </c>
      <c r="T58" s="249"/>
      <c r="U58" s="657"/>
      <c r="V58" s="252" t="str">
        <f t="shared" si="11"/>
        <v xml:space="preserve"> </v>
      </c>
    </row>
    <row r="59" spans="1:22" ht="15.75">
      <c r="A59" s="40"/>
      <c r="B59" s="246"/>
      <c r="C59" s="140" t="s">
        <v>144</v>
      </c>
      <c r="D59" s="244"/>
      <c r="E59" s="244"/>
      <c r="F59" s="244"/>
      <c r="G59" s="244"/>
      <c r="H59" s="245" t="s">
        <v>145</v>
      </c>
      <c r="I59" s="427">
        <f>'Budget-ADA'!I59</f>
        <v>0</v>
      </c>
      <c r="J59" s="657"/>
      <c r="K59" s="255">
        <f>'Budget-ADA'!K59</f>
        <v>0</v>
      </c>
      <c r="L59" s="657"/>
      <c r="M59" s="251" t="str">
        <f>'Budget-ADA'!M59</f>
        <v xml:space="preserve"> </v>
      </c>
      <c r="N59" s="249"/>
      <c r="O59" s="657"/>
      <c r="P59" s="250" t="str">
        <f t="shared" si="9"/>
        <v xml:space="preserve"> </v>
      </c>
      <c r="Q59" s="249"/>
      <c r="R59" s="657"/>
      <c r="S59" s="250" t="str">
        <f t="shared" si="10"/>
        <v xml:space="preserve"> </v>
      </c>
      <c r="T59" s="249"/>
      <c r="U59" s="657"/>
      <c r="V59" s="252" t="str">
        <f t="shared" si="11"/>
        <v xml:space="preserve"> </v>
      </c>
    </row>
    <row r="60" spans="1:22" ht="18.75" customHeight="1">
      <c r="A60" s="67"/>
      <c r="B60" s="1664" t="s">
        <v>146</v>
      </c>
      <c r="C60" s="1665"/>
      <c r="D60" s="1665"/>
      <c r="E60" s="1665"/>
      <c r="F60" s="1665"/>
      <c r="G60" s="1666"/>
      <c r="H60" s="245" t="s">
        <v>147</v>
      </c>
      <c r="I60" s="427">
        <f>'Budget-ADA'!I60</f>
        <v>557.16999999999996</v>
      </c>
      <c r="J60" s="254">
        <f>IF(('Budget-ADA'!J60="Cell G10 CANNOT be blank"), "Missing Data, BUDGET-ADA Tab, cell G10",'Budget-ADA'!J60)</f>
        <v>0</v>
      </c>
      <c r="K60" s="255">
        <f>'Budget-ADA'!K60</f>
        <v>535.67999999999995</v>
      </c>
      <c r="L60" s="442">
        <f>IF(('Budget-ADA'!L60="Cell G10 CANNOT be blank"), "Missing Data, BUDGET-ADA Tab, cell G10",'Budget-ADA'!L60)</f>
        <v>0</v>
      </c>
      <c r="M60" s="441">
        <f>'Budget-ADA'!M60</f>
        <v>-3.8569915824613693E-2</v>
      </c>
      <c r="N60" s="253">
        <f>N52+N54+N56+N58</f>
        <v>427.79999999999995</v>
      </c>
      <c r="O60" s="657"/>
      <c r="P60" s="251">
        <f t="shared" si="9"/>
        <v>-0.2013888888888889</v>
      </c>
      <c r="Q60" s="253">
        <f>Q52+Q54+Q56+Q58</f>
        <v>446.4</v>
      </c>
      <c r="R60" s="657"/>
      <c r="S60" s="251">
        <f t="shared" si="10"/>
        <v>4.3478260869565272E-2</v>
      </c>
      <c r="T60" s="253">
        <f>T52+T54+T56+T58</f>
        <v>427.8</v>
      </c>
      <c r="U60" s="657"/>
      <c r="V60" s="434">
        <f t="shared" si="11"/>
        <v>-4.1666666666666595E-2</v>
      </c>
    </row>
    <row r="61" spans="1:22" ht="15.75">
      <c r="A61" s="67"/>
      <c r="B61" s="1664" t="s">
        <v>148</v>
      </c>
      <c r="C61" s="1665"/>
      <c r="D61" s="1665"/>
      <c r="E61" s="1665"/>
      <c r="F61" s="1665"/>
      <c r="G61" s="1666"/>
      <c r="H61" s="245" t="s">
        <v>149</v>
      </c>
      <c r="I61" s="427">
        <f>'Budget-ADA'!I61</f>
        <v>0</v>
      </c>
      <c r="J61" s="254">
        <f>'Budget-ADA'!J61</f>
        <v>0</v>
      </c>
      <c r="K61" s="255">
        <f>'Budget-ADA'!K61</f>
        <v>0</v>
      </c>
      <c r="L61" s="442">
        <f>'Budget-ADA'!L61</f>
        <v>0</v>
      </c>
      <c r="M61" s="441" t="str">
        <f>'Budget-ADA'!M61</f>
        <v xml:space="preserve"> </v>
      </c>
      <c r="N61" s="253">
        <f>N53+N55+N57+N59</f>
        <v>0</v>
      </c>
      <c r="O61" s="442">
        <f>N61</f>
        <v>0</v>
      </c>
      <c r="P61" s="251" t="str">
        <f t="shared" si="9"/>
        <v xml:space="preserve"> </v>
      </c>
      <c r="Q61" s="253">
        <f>Q53+Q55+Q57+Q59</f>
        <v>0</v>
      </c>
      <c r="R61" s="442">
        <f>Q61</f>
        <v>0</v>
      </c>
      <c r="S61" s="251" t="str">
        <f t="shared" si="10"/>
        <v xml:space="preserve"> </v>
      </c>
      <c r="T61" s="253">
        <f>T53+T55+T57+T59</f>
        <v>0</v>
      </c>
      <c r="U61" s="442">
        <f>T61</f>
        <v>0</v>
      </c>
      <c r="V61" s="434" t="str">
        <f t="shared" si="11"/>
        <v xml:space="preserve"> </v>
      </c>
    </row>
    <row r="62" spans="1:22" ht="47.25" customHeight="1">
      <c r="A62" s="67"/>
      <c r="B62" s="1664" t="s">
        <v>150</v>
      </c>
      <c r="C62" s="1665"/>
      <c r="D62" s="1665"/>
      <c r="E62" s="1665"/>
      <c r="F62" s="1665"/>
      <c r="G62" s="1666"/>
      <c r="H62" s="245" t="s">
        <v>151</v>
      </c>
      <c r="I62" s="427">
        <f>'Budget-ADA'!I62</f>
        <v>557.16999999999996</v>
      </c>
      <c r="J62" s="442">
        <f>'Budget-ADA'!J62</f>
        <v>557.16999999999996</v>
      </c>
      <c r="K62" s="255">
        <f>'Budget-ADA'!K62</f>
        <v>535.67999999999995</v>
      </c>
      <c r="L62" s="442">
        <f>'Budget-ADA'!L62</f>
        <v>535.67999999999995</v>
      </c>
      <c r="M62" s="251">
        <f>'Budget-ADA'!M62</f>
        <v>-3.8569915824613693E-2</v>
      </c>
      <c r="N62" s="253">
        <f>N60-N61</f>
        <v>427.79999999999995</v>
      </c>
      <c r="O62" s="442">
        <f>IF($G$10="","Cell G10 CANNOT be blank",N62*$G$10)</f>
        <v>427.79999999999995</v>
      </c>
      <c r="P62" s="251">
        <f t="shared" si="9"/>
        <v>-0.2013888888888889</v>
      </c>
      <c r="Q62" s="255">
        <f>Q60-Q61</f>
        <v>446.4</v>
      </c>
      <c r="R62" s="442">
        <f>IF($G$10="","Cell G10 CANNOT be blank",Q62*$G$10)</f>
        <v>446.4</v>
      </c>
      <c r="S62" s="251">
        <f t="shared" si="10"/>
        <v>4.3478260869565272E-2</v>
      </c>
      <c r="T62" s="255">
        <f>T60-T61</f>
        <v>427.8</v>
      </c>
      <c r="U62" s="442">
        <f>IF($G$10="","Cell G10 CANNOT be blank",T62*$G$10)</f>
        <v>427.8</v>
      </c>
      <c r="V62" s="434">
        <f t="shared" si="11"/>
        <v>-4.1666666666666595E-2</v>
      </c>
    </row>
    <row r="63" spans="1:22" ht="15.75">
      <c r="A63" s="40"/>
      <c r="B63" s="435"/>
      <c r="C63" s="435"/>
      <c r="D63" s="435"/>
      <c r="E63" s="435"/>
      <c r="F63" s="435"/>
      <c r="G63" s="435"/>
      <c r="H63" s="561"/>
      <c r="I63" s="91"/>
      <c r="J63" s="37"/>
      <c r="K63" s="91"/>
      <c r="L63" s="37"/>
      <c r="M63" s="570"/>
      <c r="N63" s="91"/>
      <c r="O63" s="37"/>
      <c r="P63" s="37"/>
      <c r="Q63" s="91"/>
      <c r="R63" s="37"/>
      <c r="S63" s="37"/>
      <c r="T63" s="91"/>
      <c r="U63" s="37"/>
      <c r="V63" s="237"/>
    </row>
    <row r="64" spans="1:22" ht="15.75">
      <c r="A64" s="107" t="s">
        <v>157</v>
      </c>
      <c r="C64" s="242"/>
      <c r="D64" s="243"/>
      <c r="E64" s="243"/>
      <c r="F64" s="243"/>
      <c r="G64" s="243"/>
      <c r="H64" s="560"/>
      <c r="I64" s="438"/>
      <c r="J64" s="242"/>
      <c r="K64" s="438"/>
      <c r="L64" s="242"/>
      <c r="M64" s="569"/>
      <c r="N64" s="438"/>
      <c r="O64" s="242"/>
      <c r="P64" s="242"/>
      <c r="Q64" s="438"/>
      <c r="R64" s="242"/>
      <c r="S64" s="242"/>
      <c r="T64" s="438"/>
      <c r="U64" s="242"/>
      <c r="V64" s="437"/>
    </row>
    <row r="65" spans="1:22" ht="15.75">
      <c r="A65" s="440"/>
      <c r="B65" s="246"/>
      <c r="C65" s="247" t="s">
        <v>130</v>
      </c>
      <c r="D65" s="244"/>
      <c r="E65" s="244"/>
      <c r="F65" s="244"/>
      <c r="G65" s="244"/>
      <c r="H65" s="245" t="s">
        <v>131</v>
      </c>
      <c r="I65" s="427">
        <f>'Budget-ADA'!I65</f>
        <v>899.27</v>
      </c>
      <c r="J65" s="784"/>
      <c r="K65" s="255">
        <f>'Budget-ADA'!K65</f>
        <v>796.07999999999993</v>
      </c>
      <c r="L65" s="784"/>
      <c r="M65" s="251">
        <f>'Budget-ADA'!M65</f>
        <v>-0.11474862944388232</v>
      </c>
      <c r="N65" s="255">
        <f t="shared" ref="N65:N72" si="12">N12+N26+N39+N52</f>
        <v>646.34999999999991</v>
      </c>
      <c r="O65" s="784"/>
      <c r="P65" s="250">
        <f t="shared" ref="P65:P75" si="13">IF(K65&lt;1," ",IF(N65&lt;1," ",(N65-K65)/K65))</f>
        <v>-0.18808411214953275</v>
      </c>
      <c r="Q65" s="255">
        <f t="shared" ref="Q65:Q72" si="14">Q12+Q26+Q39+Q52</f>
        <v>651</v>
      </c>
      <c r="R65" s="784"/>
      <c r="S65" s="250">
        <f t="shared" ref="S65:S75" si="15">IF(N65&lt;1," ",IF(Q65&lt;1," ",(Q65-N65)/N65))</f>
        <v>7.1942446043166885E-3</v>
      </c>
      <c r="T65" s="255">
        <f t="shared" ref="T65:T72" si="16">T12+T26+T39+T52</f>
        <v>651</v>
      </c>
      <c r="U65" s="784"/>
      <c r="V65" s="252">
        <f t="shared" ref="V65:V75" si="17">IF(Q65&lt;1," ",IF(T65&lt;1," ",(T65-Q65)/Q65))</f>
        <v>0</v>
      </c>
    </row>
    <row r="66" spans="1:22" ht="15.75">
      <c r="A66" s="40"/>
      <c r="B66" s="246"/>
      <c r="C66" s="140" t="s">
        <v>132</v>
      </c>
      <c r="D66" s="244"/>
      <c r="E66" s="244"/>
      <c r="F66" s="244"/>
      <c r="G66" s="244"/>
      <c r="H66" s="245" t="s">
        <v>133</v>
      </c>
      <c r="I66" s="427">
        <f>'Budget-ADA'!I66</f>
        <v>0</v>
      </c>
      <c r="J66" s="657"/>
      <c r="K66" s="255">
        <f>'Budget-ADA'!K66</f>
        <v>0</v>
      </c>
      <c r="L66" s="657"/>
      <c r="M66" s="251" t="str">
        <f>'Budget-ADA'!M66</f>
        <v xml:space="preserve"> </v>
      </c>
      <c r="N66" s="255">
        <f t="shared" si="12"/>
        <v>0</v>
      </c>
      <c r="O66" s="657"/>
      <c r="P66" s="250" t="str">
        <f t="shared" si="13"/>
        <v xml:space="preserve"> </v>
      </c>
      <c r="Q66" s="255">
        <f t="shared" si="14"/>
        <v>0</v>
      </c>
      <c r="R66" s="657"/>
      <c r="S66" s="250" t="str">
        <f t="shared" si="15"/>
        <v xml:space="preserve"> </v>
      </c>
      <c r="T66" s="255">
        <f t="shared" si="16"/>
        <v>0</v>
      </c>
      <c r="U66" s="657"/>
      <c r="V66" s="252" t="str">
        <f t="shared" si="17"/>
        <v xml:space="preserve"> </v>
      </c>
    </row>
    <row r="67" spans="1:22" ht="15.75">
      <c r="A67" s="40"/>
      <c r="B67" s="246"/>
      <c r="C67" s="247" t="s">
        <v>134</v>
      </c>
      <c r="D67" s="244"/>
      <c r="E67" s="244"/>
      <c r="F67" s="244"/>
      <c r="G67" s="244"/>
      <c r="H67" s="245" t="s">
        <v>135</v>
      </c>
      <c r="I67" s="427">
        <f>'Budget-ADA'!I67</f>
        <v>0</v>
      </c>
      <c r="J67" s="657"/>
      <c r="K67" s="255">
        <f>'Budget-ADA'!K67</f>
        <v>0</v>
      </c>
      <c r="L67" s="657"/>
      <c r="M67" s="251" t="str">
        <f>'Budget-ADA'!M67</f>
        <v xml:space="preserve"> </v>
      </c>
      <c r="N67" s="255">
        <f t="shared" si="12"/>
        <v>0</v>
      </c>
      <c r="O67" s="657"/>
      <c r="P67" s="250" t="str">
        <f t="shared" si="13"/>
        <v xml:space="preserve"> </v>
      </c>
      <c r="Q67" s="255">
        <f t="shared" si="14"/>
        <v>0</v>
      </c>
      <c r="R67" s="657"/>
      <c r="S67" s="250" t="str">
        <f t="shared" si="15"/>
        <v xml:space="preserve"> </v>
      </c>
      <c r="T67" s="255">
        <f t="shared" si="16"/>
        <v>0</v>
      </c>
      <c r="U67" s="657"/>
      <c r="V67" s="252" t="str">
        <f t="shared" si="17"/>
        <v xml:space="preserve"> </v>
      </c>
    </row>
    <row r="68" spans="1:22" ht="15.75">
      <c r="A68" s="40"/>
      <c r="B68" s="246"/>
      <c r="C68" s="140" t="s">
        <v>136</v>
      </c>
      <c r="D68" s="244"/>
      <c r="E68" s="244"/>
      <c r="F68" s="244"/>
      <c r="G68" s="244"/>
      <c r="H68" s="245" t="s">
        <v>137</v>
      </c>
      <c r="I68" s="427">
        <f>'Budget-ADA'!I68</f>
        <v>0</v>
      </c>
      <c r="J68" s="657"/>
      <c r="K68" s="255">
        <f>'Budget-ADA'!K68</f>
        <v>0</v>
      </c>
      <c r="L68" s="657"/>
      <c r="M68" s="251" t="str">
        <f>'Budget-ADA'!M68</f>
        <v xml:space="preserve"> </v>
      </c>
      <c r="N68" s="255">
        <f t="shared" si="12"/>
        <v>0</v>
      </c>
      <c r="O68" s="657"/>
      <c r="P68" s="250" t="str">
        <f t="shared" si="13"/>
        <v xml:space="preserve"> </v>
      </c>
      <c r="Q68" s="255">
        <f t="shared" si="14"/>
        <v>0</v>
      </c>
      <c r="R68" s="657"/>
      <c r="S68" s="250" t="str">
        <f t="shared" si="15"/>
        <v xml:space="preserve"> </v>
      </c>
      <c r="T68" s="255">
        <f t="shared" si="16"/>
        <v>0</v>
      </c>
      <c r="U68" s="657"/>
      <c r="V68" s="252" t="str">
        <f t="shared" si="17"/>
        <v xml:space="preserve"> </v>
      </c>
    </row>
    <row r="69" spans="1:22" ht="15.75">
      <c r="A69" s="40"/>
      <c r="B69" s="246"/>
      <c r="C69" s="247" t="s">
        <v>138</v>
      </c>
      <c r="D69" s="244"/>
      <c r="E69" s="244"/>
      <c r="F69" s="244"/>
      <c r="G69" s="244"/>
      <c r="H69" s="245" t="s">
        <v>139</v>
      </c>
      <c r="I69" s="427">
        <f>'Budget-ADA'!I69</f>
        <v>0</v>
      </c>
      <c r="J69" s="657"/>
      <c r="K69" s="255">
        <f>'Budget-ADA'!K69</f>
        <v>0</v>
      </c>
      <c r="L69" s="657"/>
      <c r="M69" s="251" t="str">
        <f>'Budget-ADA'!M69</f>
        <v xml:space="preserve"> </v>
      </c>
      <c r="N69" s="255">
        <f t="shared" si="12"/>
        <v>0</v>
      </c>
      <c r="O69" s="657"/>
      <c r="P69" s="250" t="str">
        <f t="shared" si="13"/>
        <v xml:space="preserve"> </v>
      </c>
      <c r="Q69" s="255">
        <f t="shared" si="14"/>
        <v>0</v>
      </c>
      <c r="R69" s="657"/>
      <c r="S69" s="250" t="str">
        <f t="shared" si="15"/>
        <v xml:space="preserve"> </v>
      </c>
      <c r="T69" s="255">
        <f t="shared" si="16"/>
        <v>0</v>
      </c>
      <c r="U69" s="657"/>
      <c r="V69" s="252" t="str">
        <f t="shared" si="17"/>
        <v xml:space="preserve"> </v>
      </c>
    </row>
    <row r="70" spans="1:22" ht="15.75">
      <c r="A70" s="107"/>
      <c r="B70" s="246"/>
      <c r="C70" s="140" t="s">
        <v>140</v>
      </c>
      <c r="D70" s="244"/>
      <c r="E70" s="244"/>
      <c r="F70" s="244"/>
      <c r="G70" s="244"/>
      <c r="H70" s="245" t="s">
        <v>141</v>
      </c>
      <c r="I70" s="427">
        <f>'Budget-ADA'!I70</f>
        <v>0</v>
      </c>
      <c r="J70" s="657"/>
      <c r="K70" s="255">
        <f>'Budget-ADA'!K70</f>
        <v>0</v>
      </c>
      <c r="L70" s="657"/>
      <c r="M70" s="251" t="str">
        <f>'Budget-ADA'!M70</f>
        <v xml:space="preserve"> </v>
      </c>
      <c r="N70" s="255">
        <f t="shared" si="12"/>
        <v>0</v>
      </c>
      <c r="O70" s="657"/>
      <c r="P70" s="250" t="str">
        <f t="shared" si="13"/>
        <v xml:space="preserve"> </v>
      </c>
      <c r="Q70" s="255">
        <f t="shared" si="14"/>
        <v>0</v>
      </c>
      <c r="R70" s="657"/>
      <c r="S70" s="250" t="str">
        <f t="shared" si="15"/>
        <v xml:space="preserve"> </v>
      </c>
      <c r="T70" s="255">
        <f t="shared" si="16"/>
        <v>0</v>
      </c>
      <c r="U70" s="657"/>
      <c r="V70" s="252" t="str">
        <f t="shared" si="17"/>
        <v xml:space="preserve"> </v>
      </c>
    </row>
    <row r="71" spans="1:22" ht="15.75">
      <c r="A71" s="107"/>
      <c r="B71" s="246"/>
      <c r="C71" s="247" t="s">
        <v>142</v>
      </c>
      <c r="D71" s="244"/>
      <c r="E71" s="244"/>
      <c r="F71" s="244"/>
      <c r="G71" s="244"/>
      <c r="H71" s="245" t="s">
        <v>143</v>
      </c>
      <c r="I71" s="427">
        <f>'Budget-ADA'!I71</f>
        <v>0</v>
      </c>
      <c r="J71" s="657"/>
      <c r="K71" s="255">
        <f>'Budget-ADA'!K71</f>
        <v>0</v>
      </c>
      <c r="L71" s="657"/>
      <c r="M71" s="251" t="str">
        <f>'Budget-ADA'!M71</f>
        <v xml:space="preserve"> </v>
      </c>
      <c r="N71" s="255">
        <f t="shared" si="12"/>
        <v>0</v>
      </c>
      <c r="O71" s="657"/>
      <c r="P71" s="250" t="str">
        <f t="shared" si="13"/>
        <v xml:space="preserve"> </v>
      </c>
      <c r="Q71" s="255">
        <f t="shared" si="14"/>
        <v>0</v>
      </c>
      <c r="R71" s="657"/>
      <c r="S71" s="250" t="str">
        <f t="shared" si="15"/>
        <v xml:space="preserve"> </v>
      </c>
      <c r="T71" s="255">
        <f t="shared" si="16"/>
        <v>0</v>
      </c>
      <c r="U71" s="657"/>
      <c r="V71" s="252" t="str">
        <f t="shared" si="17"/>
        <v xml:space="preserve"> </v>
      </c>
    </row>
    <row r="72" spans="1:22" ht="15.75">
      <c r="A72" s="107"/>
      <c r="B72" s="246"/>
      <c r="C72" s="140" t="s">
        <v>144</v>
      </c>
      <c r="D72" s="244"/>
      <c r="E72" s="244"/>
      <c r="F72" s="244"/>
      <c r="G72" s="244"/>
      <c r="H72" s="245" t="s">
        <v>145</v>
      </c>
      <c r="I72" s="427">
        <f>'Budget-ADA'!I72</f>
        <v>0</v>
      </c>
      <c r="J72" s="657"/>
      <c r="K72" s="255">
        <f>'Budget-ADA'!K72</f>
        <v>0</v>
      </c>
      <c r="L72" s="657"/>
      <c r="M72" s="441" t="str">
        <f>'Budget-ADA'!M72</f>
        <v xml:space="preserve"> </v>
      </c>
      <c r="N72" s="255">
        <f t="shared" si="12"/>
        <v>0</v>
      </c>
      <c r="O72" s="657"/>
      <c r="P72" s="250" t="str">
        <f t="shared" si="13"/>
        <v xml:space="preserve"> </v>
      </c>
      <c r="Q72" s="255">
        <f t="shared" si="14"/>
        <v>0</v>
      </c>
      <c r="R72" s="657"/>
      <c r="S72" s="250" t="str">
        <f t="shared" si="15"/>
        <v xml:space="preserve"> </v>
      </c>
      <c r="T72" s="255">
        <f t="shared" si="16"/>
        <v>0</v>
      </c>
      <c r="U72" s="657"/>
      <c r="V72" s="252" t="str">
        <f t="shared" si="17"/>
        <v xml:space="preserve"> </v>
      </c>
    </row>
    <row r="73" spans="1:22" ht="18.75" customHeight="1">
      <c r="A73" s="67"/>
      <c r="B73" s="1664" t="s">
        <v>146</v>
      </c>
      <c r="C73" s="1665"/>
      <c r="D73" s="1665"/>
      <c r="E73" s="1665"/>
      <c r="F73" s="1665"/>
      <c r="G73" s="1666"/>
      <c r="H73" s="245" t="s">
        <v>147</v>
      </c>
      <c r="I73" s="427">
        <f>'Budget-ADA'!I73</f>
        <v>899.27</v>
      </c>
      <c r="J73" s="254">
        <f>IF(('Budget-ADA'!J73="Cell G10 CANNOT be blank"), "Missing Data, BUDGET-ADA Tab, cell G10",'Budget-ADA'!J73)</f>
        <v>0</v>
      </c>
      <c r="K73" s="255">
        <f>'Budget-ADA'!K73</f>
        <v>796.07999999999993</v>
      </c>
      <c r="L73" s="442">
        <f>IF(('Budget-ADA'!L73="Cell G10 CANNOT be blank"), "Missing Data, BUDGET-ADA Tab, cell G10",'Budget-ADA'!L73)</f>
        <v>0</v>
      </c>
      <c r="M73" s="441">
        <f>'Budget-ADA'!M73</f>
        <v>-0.11474862944388232</v>
      </c>
      <c r="N73" s="253">
        <f>N65+N67+N69+N71</f>
        <v>646.34999999999991</v>
      </c>
      <c r="O73" s="657"/>
      <c r="P73" s="251">
        <f t="shared" si="13"/>
        <v>-0.18808411214953275</v>
      </c>
      <c r="Q73" s="253">
        <f>Q65+Q67+Q69+Q71</f>
        <v>651</v>
      </c>
      <c r="R73" s="657"/>
      <c r="S73" s="251">
        <f t="shared" si="15"/>
        <v>7.1942446043166885E-3</v>
      </c>
      <c r="T73" s="253">
        <f>T65+T67+T69+T71</f>
        <v>651</v>
      </c>
      <c r="U73" s="657"/>
      <c r="V73" s="434">
        <f t="shared" si="17"/>
        <v>0</v>
      </c>
    </row>
    <row r="74" spans="1:22" ht="15.75">
      <c r="A74" s="67"/>
      <c r="B74" s="1664" t="s">
        <v>148</v>
      </c>
      <c r="C74" s="1665"/>
      <c r="D74" s="1665"/>
      <c r="E74" s="1665"/>
      <c r="F74" s="1665"/>
      <c r="G74" s="1666"/>
      <c r="H74" s="245" t="s">
        <v>149</v>
      </c>
      <c r="I74" s="427">
        <f>'Budget-ADA'!I74</f>
        <v>0</v>
      </c>
      <c r="J74" s="254">
        <f>'Budget-ADA'!J74</f>
        <v>0</v>
      </c>
      <c r="K74" s="255">
        <f>'Budget-ADA'!K74</f>
        <v>0</v>
      </c>
      <c r="L74" s="442">
        <f>'Budget-ADA'!L74</f>
        <v>0</v>
      </c>
      <c r="M74" s="441" t="str">
        <f>'Budget-ADA'!M74</f>
        <v xml:space="preserve"> </v>
      </c>
      <c r="N74" s="253">
        <f>N66+N68+N70+N72</f>
        <v>0</v>
      </c>
      <c r="O74" s="442">
        <f>N74</f>
        <v>0</v>
      </c>
      <c r="P74" s="251" t="str">
        <f t="shared" si="13"/>
        <v xml:space="preserve"> </v>
      </c>
      <c r="Q74" s="253">
        <f>Q66+Q68+Q70+Q72</f>
        <v>0</v>
      </c>
      <c r="R74" s="442">
        <f>Q74</f>
        <v>0</v>
      </c>
      <c r="S74" s="251" t="str">
        <f t="shared" si="15"/>
        <v xml:space="preserve"> </v>
      </c>
      <c r="T74" s="253">
        <f>T66+T68+T70+T72</f>
        <v>0</v>
      </c>
      <c r="U74" s="442">
        <f>T74</f>
        <v>0</v>
      </c>
      <c r="V74" s="434" t="str">
        <f t="shared" si="17"/>
        <v xml:space="preserve"> </v>
      </c>
    </row>
    <row r="75" spans="1:22" ht="47.25" customHeight="1">
      <c r="A75" s="67"/>
      <c r="B75" s="1664" t="s">
        <v>150</v>
      </c>
      <c r="C75" s="1665"/>
      <c r="D75" s="1665"/>
      <c r="E75" s="1665"/>
      <c r="F75" s="1665"/>
      <c r="G75" s="1666"/>
      <c r="H75" s="245" t="s">
        <v>151</v>
      </c>
      <c r="I75" s="427">
        <f>'Budget-ADA'!I75</f>
        <v>899.27</v>
      </c>
      <c r="J75" s="442">
        <f>'Budget-ADA'!J75</f>
        <v>899.27</v>
      </c>
      <c r="K75" s="255">
        <f>'Budget-ADA'!K75</f>
        <v>796.07999999999993</v>
      </c>
      <c r="L75" s="442">
        <f>'Budget-ADA'!L75</f>
        <v>796.07999999999993</v>
      </c>
      <c r="M75" s="251">
        <f>'Budget-ADA'!M75</f>
        <v>-0.11474862944388232</v>
      </c>
      <c r="N75" s="253">
        <f>N73-N74</f>
        <v>646.34999999999991</v>
      </c>
      <c r="O75" s="442">
        <f>IF($G$10="","Cell G10 CANNOT be blank",N75*$G$10)</f>
        <v>646.34999999999991</v>
      </c>
      <c r="P75" s="251">
        <f t="shared" si="13"/>
        <v>-0.18808411214953275</v>
      </c>
      <c r="Q75" s="255">
        <f>Q73-Q74</f>
        <v>651</v>
      </c>
      <c r="R75" s="442">
        <f>IF($G$10="","Cell G10 CANNOT be blank",Q75*$G$10)</f>
        <v>651</v>
      </c>
      <c r="S75" s="251">
        <f t="shared" si="15"/>
        <v>7.1942446043166885E-3</v>
      </c>
      <c r="T75" s="255">
        <f>T73-T74</f>
        <v>651</v>
      </c>
      <c r="U75" s="442">
        <f>IF($G$10="","Cell G10 CANNOT be blank",T75*$G$10)</f>
        <v>651</v>
      </c>
      <c r="V75" s="434">
        <f t="shared" si="17"/>
        <v>0</v>
      </c>
    </row>
    <row r="76" spans="1:22" ht="17.25" customHeight="1" thickBot="1">
      <c r="A76" s="239"/>
      <c r="B76" s="1685" t="s">
        <v>158</v>
      </c>
      <c r="C76" s="1686"/>
      <c r="D76" s="1686"/>
      <c r="E76" s="1686"/>
      <c r="F76" s="1686"/>
      <c r="G76" s="1687"/>
      <c r="H76" s="574"/>
      <c r="I76" s="1015">
        <f>'Budget-ADA'!I76</f>
        <v>0</v>
      </c>
      <c r="J76" s="240">
        <f>'Budget-ADA'!J76</f>
        <v>899.27</v>
      </c>
      <c r="K76" s="1016">
        <f>'Budget-ADA'!K76</f>
        <v>0</v>
      </c>
      <c r="L76" s="572">
        <f>'Budget-ADA'!L76</f>
        <v>796.07999999999993</v>
      </c>
      <c r="M76" s="1013"/>
      <c r="N76" s="1010"/>
      <c r="O76" s="1012">
        <f>O74+O75</f>
        <v>646.34999999999991</v>
      </c>
      <c r="P76" s="1013"/>
      <c r="Q76" s="1010"/>
      <c r="R76" s="1012">
        <f>R74+R75</f>
        <v>651</v>
      </c>
      <c r="S76" s="1013"/>
      <c r="T76" s="1010"/>
      <c r="U76" s="1012">
        <f>U74+U75</f>
        <v>651</v>
      </c>
      <c r="V76" s="1014"/>
    </row>
    <row r="77" spans="1:22" ht="15.75">
      <c r="A77" s="37"/>
      <c r="B77" s="106"/>
      <c r="C77" s="33"/>
      <c r="D77" s="33"/>
      <c r="E77" s="33"/>
      <c r="F77" s="33"/>
      <c r="G77" s="33"/>
      <c r="H77" s="37"/>
      <c r="I77" s="227"/>
      <c r="J77" s="227"/>
      <c r="K77" s="227"/>
      <c r="L77" s="227"/>
      <c r="M77" s="227"/>
      <c r="N77" s="227"/>
      <c r="O77" s="227"/>
      <c r="P77" s="227"/>
      <c r="Q77" s="227"/>
      <c r="R77" s="227"/>
      <c r="S77" s="227"/>
      <c r="T77" s="227"/>
      <c r="U77" s="227"/>
    </row>
    <row r="78" spans="1:22" ht="21.75" customHeight="1">
      <c r="A78" s="571" t="s">
        <v>546</v>
      </c>
      <c r="B78" s="571"/>
      <c r="C78" s="227"/>
      <c r="D78" s="227"/>
      <c r="E78" s="227"/>
      <c r="F78" s="227"/>
      <c r="G78" s="227"/>
      <c r="H78" s="227"/>
      <c r="I78" s="6"/>
      <c r="J78" s="6"/>
      <c r="K78" s="6"/>
      <c r="L78" s="6"/>
      <c r="M78" s="6"/>
      <c r="N78" s="6"/>
      <c r="O78" s="6"/>
      <c r="P78" s="6"/>
      <c r="Q78" s="6"/>
      <c r="R78" s="6"/>
      <c r="S78" s="6"/>
      <c r="T78" s="6"/>
    </row>
    <row r="79" spans="1:22" ht="12.75">
      <c r="A79" s="6"/>
      <c r="B79" s="6"/>
      <c r="C79" s="6"/>
      <c r="D79" s="6"/>
      <c r="E79" s="6"/>
      <c r="F79" s="6"/>
      <c r="G79" s="6"/>
      <c r="H79" s="6"/>
      <c r="I79" s="6"/>
      <c r="J79" s="6"/>
      <c r="K79" s="6"/>
      <c r="L79" s="6"/>
      <c r="M79" s="6"/>
      <c r="N79" s="6"/>
      <c r="O79" s="6"/>
      <c r="P79" s="6"/>
      <c r="Q79" s="6"/>
      <c r="R79" s="6"/>
      <c r="S79" s="6"/>
      <c r="T79" s="6"/>
    </row>
    <row r="80" spans="1:22" ht="12.75">
      <c r="A80" s="6"/>
      <c r="B80" s="6"/>
      <c r="C80" s="6"/>
      <c r="D80" s="6"/>
      <c r="E80" s="6"/>
      <c r="F80" s="6"/>
      <c r="G80" s="6"/>
      <c r="H80" s="6"/>
      <c r="I80" s="6"/>
      <c r="J80" s="6"/>
      <c r="K80" s="6"/>
      <c r="L80" s="6"/>
      <c r="M80" s="6"/>
      <c r="N80" s="6"/>
      <c r="O80" s="6"/>
      <c r="P80" s="6"/>
      <c r="Q80" s="6"/>
      <c r="R80" s="6"/>
      <c r="S80" s="6"/>
      <c r="T80" s="6"/>
    </row>
    <row r="81" spans="1:20" ht="12.75">
      <c r="A81" s="6"/>
      <c r="B81" s="6"/>
      <c r="C81" s="6"/>
      <c r="D81" s="6"/>
      <c r="E81" s="6"/>
      <c r="F81" s="6"/>
      <c r="G81" s="6"/>
      <c r="H81" s="6"/>
      <c r="I81" s="6"/>
      <c r="J81" s="6"/>
      <c r="K81" s="6"/>
      <c r="L81" s="6"/>
      <c r="M81" s="6"/>
      <c r="N81" s="6"/>
      <c r="O81" s="6"/>
      <c r="P81" s="6"/>
      <c r="Q81" s="6"/>
      <c r="R81" s="6"/>
      <c r="S81" s="6"/>
      <c r="T81" s="6"/>
    </row>
    <row r="82" spans="1:20" ht="12.75">
      <c r="A82" s="6"/>
      <c r="B82" s="6"/>
      <c r="C82" s="6"/>
      <c r="D82" s="6"/>
      <c r="E82" s="6"/>
      <c r="F82" s="6"/>
      <c r="G82" s="6"/>
      <c r="H82" s="6"/>
      <c r="I82" s="6"/>
      <c r="J82" s="6"/>
      <c r="K82" s="6"/>
      <c r="L82" s="6"/>
      <c r="M82" s="6"/>
      <c r="N82" s="6"/>
      <c r="O82" s="6"/>
      <c r="P82" s="6"/>
      <c r="Q82" s="6"/>
      <c r="R82" s="6"/>
      <c r="S82" s="6"/>
      <c r="T82" s="6"/>
    </row>
    <row r="83" spans="1:20" ht="12.75">
      <c r="A83" s="6"/>
      <c r="B83" s="6"/>
      <c r="C83" s="6"/>
      <c r="D83" s="6"/>
      <c r="E83" s="6"/>
      <c r="F83" s="6"/>
      <c r="G83" s="6"/>
      <c r="H83" s="6"/>
      <c r="I83" s="6"/>
      <c r="J83" s="6"/>
      <c r="K83" s="6"/>
      <c r="L83" s="6"/>
      <c r="M83" s="6"/>
      <c r="N83" s="6"/>
      <c r="O83" s="6"/>
      <c r="P83" s="6"/>
      <c r="Q83" s="6"/>
      <c r="R83" s="6"/>
      <c r="S83" s="6"/>
      <c r="T83" s="6"/>
    </row>
    <row r="84" spans="1:20" ht="12.75">
      <c r="A84" s="6"/>
      <c r="B84" s="6"/>
      <c r="C84" s="6"/>
      <c r="D84" s="6"/>
      <c r="E84" s="6"/>
      <c r="F84" s="6"/>
      <c r="G84" s="6"/>
      <c r="H84" s="6"/>
      <c r="I84" s="6"/>
      <c r="J84" s="6"/>
      <c r="K84" s="6"/>
      <c r="L84" s="6"/>
      <c r="M84" s="6"/>
      <c r="N84" s="6"/>
      <c r="O84" s="6"/>
      <c r="P84" s="6"/>
      <c r="Q84" s="6"/>
      <c r="R84" s="6"/>
      <c r="S84" s="6"/>
      <c r="T84" s="6"/>
    </row>
    <row r="85" spans="1:20" ht="12.75">
      <c r="A85" s="6"/>
      <c r="B85" s="6"/>
      <c r="C85" s="6"/>
      <c r="D85" s="6"/>
      <c r="E85" s="6"/>
      <c r="F85" s="6"/>
      <c r="G85" s="6"/>
      <c r="H85" s="6"/>
      <c r="I85" s="6"/>
      <c r="J85" s="6"/>
      <c r="K85" s="6"/>
      <c r="L85" s="6"/>
      <c r="M85" s="6"/>
      <c r="N85" s="6"/>
      <c r="O85" s="6"/>
      <c r="P85" s="6"/>
      <c r="Q85" s="6"/>
      <c r="R85" s="6"/>
      <c r="S85" s="6"/>
      <c r="T85" s="6"/>
    </row>
    <row r="86" spans="1:20" ht="12.75">
      <c r="A86" s="6"/>
      <c r="B86" s="6"/>
      <c r="C86" s="6"/>
      <c r="D86" s="6"/>
      <c r="E86" s="6"/>
      <c r="F86" s="6"/>
      <c r="G86" s="6"/>
      <c r="H86" s="6"/>
      <c r="I86" s="6"/>
      <c r="J86" s="6"/>
      <c r="K86" s="6"/>
      <c r="L86" s="6"/>
      <c r="M86" s="6"/>
      <c r="N86" s="6"/>
      <c r="O86" s="6"/>
      <c r="P86" s="6"/>
      <c r="Q86" s="6"/>
      <c r="R86" s="6"/>
      <c r="S86" s="6"/>
      <c r="T86" s="6"/>
    </row>
    <row r="87" spans="1:20" ht="12.75">
      <c r="A87" s="6"/>
      <c r="B87" s="6"/>
      <c r="C87" s="6"/>
      <c r="D87" s="6"/>
      <c r="E87" s="6"/>
      <c r="F87" s="6"/>
      <c r="G87" s="6"/>
      <c r="H87" s="6"/>
      <c r="I87" s="6"/>
      <c r="J87" s="6"/>
      <c r="K87" s="6"/>
      <c r="L87" s="6"/>
      <c r="M87" s="6"/>
      <c r="N87" s="6"/>
      <c r="O87" s="6"/>
      <c r="P87" s="6"/>
      <c r="Q87" s="6"/>
      <c r="R87" s="6"/>
      <c r="S87" s="6"/>
      <c r="T87" s="6"/>
    </row>
    <row r="88" spans="1:20" ht="12.75">
      <c r="A88" s="6"/>
      <c r="B88" s="6"/>
      <c r="C88" s="6"/>
      <c r="D88" s="6"/>
      <c r="E88" s="6"/>
      <c r="F88" s="6"/>
      <c r="G88" s="6"/>
      <c r="H88" s="6"/>
    </row>
    <row r="89" spans="1:20" ht="12.75">
      <c r="A89" s="6"/>
    </row>
    <row r="90" spans="1:20" ht="12.75">
      <c r="A90" s="6"/>
    </row>
    <row r="91" spans="1:20" ht="12.75">
      <c r="A91" s="6"/>
    </row>
  </sheetData>
  <sheetProtection password="CC5F" sheet="1" objects="1" scenarios="1"/>
  <mergeCells count="26">
    <mergeCell ref="B75:G75"/>
    <mergeCell ref="B76:G76"/>
    <mergeCell ref="B47:G47"/>
    <mergeCell ref="B48:G48"/>
    <mergeCell ref="B49:G49"/>
    <mergeCell ref="B60:G60"/>
    <mergeCell ref="B61:G61"/>
    <mergeCell ref="B62:G62"/>
    <mergeCell ref="B34:G34"/>
    <mergeCell ref="B35:G35"/>
    <mergeCell ref="B36:G36"/>
    <mergeCell ref="B73:G73"/>
    <mergeCell ref="B74:G74"/>
    <mergeCell ref="V8:V9"/>
    <mergeCell ref="B23:G23"/>
    <mergeCell ref="I1:N1"/>
    <mergeCell ref="I2:N2"/>
    <mergeCell ref="A6:H6"/>
    <mergeCell ref="A7:G8"/>
    <mergeCell ref="I7:J7"/>
    <mergeCell ref="M8:M9"/>
    <mergeCell ref="P8:P9"/>
    <mergeCell ref="S8:S9"/>
    <mergeCell ref="B20:G20"/>
    <mergeCell ref="B21:G21"/>
    <mergeCell ref="B22:G22"/>
  </mergeCells>
  <conditionalFormatting sqref="I1:I2">
    <cfRule type="containsText" dxfId="156" priority="371" stopIfTrue="1" operator="containsText" text="Enter">
      <formula>NOT(ISERROR(SEARCH("Enter",I1)))</formula>
    </cfRule>
  </conditionalFormatting>
  <conditionalFormatting sqref="U22">
    <cfRule type="containsText" dxfId="155" priority="84" stopIfTrue="1" operator="containsText" text="Missin">
      <formula>NOT(ISERROR(SEARCH("Missin",U22)))</formula>
    </cfRule>
    <cfRule type="containsText" dxfId="154" priority="85" stopIfTrue="1" operator="containsText" text="Cell G10 CANNOT be blank">
      <formula>NOT(ISERROR(SEARCH("Cell G10 CANNOT be blank",U22)))</formula>
    </cfRule>
  </conditionalFormatting>
  <conditionalFormatting sqref="J21">
    <cfRule type="containsText" dxfId="153" priority="98" stopIfTrue="1" operator="containsText" text="Missin">
      <formula>NOT(ISERROR(SEARCH("Missin",J21)))</formula>
    </cfRule>
    <cfRule type="containsText" dxfId="152" priority="99" stopIfTrue="1" operator="containsText" text="Cell G10 CANNOT be blank">
      <formula>NOT(ISERROR(SEARCH("Cell G10 CANNOT be blank",J21)))</formula>
    </cfRule>
  </conditionalFormatting>
  <conditionalFormatting sqref="J20">
    <cfRule type="containsText" dxfId="151" priority="96" stopIfTrue="1" operator="containsText" text="Missin">
      <formula>NOT(ISERROR(SEARCH("Missin",J20)))</formula>
    </cfRule>
    <cfRule type="containsText" dxfId="150" priority="97" stopIfTrue="1" operator="containsText" text="Cell G10 CANNOT be blank">
      <formula>NOT(ISERROR(SEARCH("Cell G10 CANNOT be blank",J20)))</formula>
    </cfRule>
  </conditionalFormatting>
  <conditionalFormatting sqref="L20">
    <cfRule type="containsText" dxfId="149" priority="94" stopIfTrue="1" operator="containsText" text="Missin">
      <formula>NOT(ISERROR(SEARCH("Missin",L20)))</formula>
    </cfRule>
    <cfRule type="containsText" dxfId="148" priority="95" stopIfTrue="1" operator="containsText" text="Cell G10 CANNOT be blank">
      <formula>NOT(ISERROR(SEARCH("Cell G10 CANNOT be blank",L20)))</formula>
    </cfRule>
  </conditionalFormatting>
  <conditionalFormatting sqref="O22">
    <cfRule type="containsText" dxfId="147" priority="92" stopIfTrue="1" operator="containsText" text="Missin">
      <formula>NOT(ISERROR(SEARCH("Missin",O22)))</formula>
    </cfRule>
    <cfRule type="containsText" dxfId="146" priority="93" stopIfTrue="1" operator="containsText" text="Cell G10 CANNOT be blank">
      <formula>NOT(ISERROR(SEARCH("Cell G10 CANNOT be blank",O22)))</formula>
    </cfRule>
  </conditionalFormatting>
  <conditionalFormatting sqref="L21:L22">
    <cfRule type="containsText" dxfId="145" priority="90" stopIfTrue="1" operator="containsText" text="Missin">
      <formula>NOT(ISERROR(SEARCH("Missin",L21)))</formula>
    </cfRule>
    <cfRule type="containsText" dxfId="144" priority="91" stopIfTrue="1" operator="containsText" text="Cell G10 CANNOT be blank">
      <formula>NOT(ISERROR(SEARCH("Cell G10 CANNOT be blank",L21)))</formula>
    </cfRule>
  </conditionalFormatting>
  <conditionalFormatting sqref="O21">
    <cfRule type="containsText" dxfId="143" priority="89" stopIfTrue="1" operator="containsText" text="Cell G10 CANNOT be blank">
      <formula>NOT(ISERROR(SEARCH("Cell G10 CANNOT be blank",O21)))</formula>
    </cfRule>
  </conditionalFormatting>
  <conditionalFormatting sqref="R22">
    <cfRule type="containsText" dxfId="142" priority="87" stopIfTrue="1" operator="containsText" text="Missin">
      <formula>NOT(ISERROR(SEARCH("Missin",R22)))</formula>
    </cfRule>
    <cfRule type="containsText" dxfId="141" priority="88" stopIfTrue="1" operator="containsText" text="Cell G10 CANNOT be blank">
      <formula>NOT(ISERROR(SEARCH("Cell G10 CANNOT be blank",R22)))</formula>
    </cfRule>
  </conditionalFormatting>
  <conditionalFormatting sqref="R21">
    <cfRule type="containsText" dxfId="140" priority="86" stopIfTrue="1" operator="containsText" text="Cell G10 CANNOT be blank">
      <formula>NOT(ISERROR(SEARCH("Cell G10 CANNOT be blank",R21)))</formula>
    </cfRule>
  </conditionalFormatting>
  <conditionalFormatting sqref="U21">
    <cfRule type="containsText" dxfId="139" priority="83" stopIfTrue="1" operator="containsText" text="Cell G10 CANNOT be blank">
      <formula>NOT(ISERROR(SEARCH("Cell G10 CANNOT be blank",U21)))</formula>
    </cfRule>
  </conditionalFormatting>
  <conditionalFormatting sqref="L34">
    <cfRule type="containsText" dxfId="138" priority="77" stopIfTrue="1" operator="containsText" text="Missin">
      <formula>NOT(ISERROR(SEARCH("Missin",L34)))</formula>
    </cfRule>
    <cfRule type="containsText" dxfId="137" priority="78" stopIfTrue="1" operator="containsText" text="Cell G10 CANNOT be blank">
      <formula>NOT(ISERROR(SEARCH("Cell G10 CANNOT be blank",L34)))</formula>
    </cfRule>
  </conditionalFormatting>
  <conditionalFormatting sqref="O36">
    <cfRule type="containsText" dxfId="136" priority="75" stopIfTrue="1" operator="containsText" text="Missin">
      <formula>NOT(ISERROR(SEARCH("Missin",O36)))</formula>
    </cfRule>
    <cfRule type="containsText" dxfId="135" priority="76" stopIfTrue="1" operator="containsText" text="Cell G10 CANNOT be blank">
      <formula>NOT(ISERROR(SEARCH("Cell G10 CANNOT be blank",O36)))</formula>
    </cfRule>
  </conditionalFormatting>
  <conditionalFormatting sqref="L35:L36">
    <cfRule type="containsText" dxfId="134" priority="73" stopIfTrue="1" operator="containsText" text="Missin">
      <formula>NOT(ISERROR(SEARCH("Missin",L35)))</formula>
    </cfRule>
    <cfRule type="containsText" dxfId="133" priority="74" stopIfTrue="1" operator="containsText" text="Cell G10 CANNOT be blank">
      <formula>NOT(ISERROR(SEARCH("Cell G10 CANNOT be blank",L35)))</formula>
    </cfRule>
  </conditionalFormatting>
  <conditionalFormatting sqref="J35">
    <cfRule type="containsText" dxfId="132" priority="81" stopIfTrue="1" operator="containsText" text="Missin">
      <formula>NOT(ISERROR(SEARCH("Missin",J35)))</formula>
    </cfRule>
    <cfRule type="containsText" dxfId="131" priority="82" stopIfTrue="1" operator="containsText" text="Cell G10 CANNOT be blank">
      <formula>NOT(ISERROR(SEARCH("Cell G10 CANNOT be blank",J35)))</formula>
    </cfRule>
  </conditionalFormatting>
  <conditionalFormatting sqref="J34">
    <cfRule type="containsText" dxfId="130" priority="79" stopIfTrue="1" operator="containsText" text="Missin">
      <formula>NOT(ISERROR(SEARCH("Missin",J34)))</formula>
    </cfRule>
    <cfRule type="containsText" dxfId="129" priority="80" stopIfTrue="1" operator="containsText" text="Cell G10 CANNOT be blank">
      <formula>NOT(ISERROR(SEARCH("Cell G10 CANNOT be blank",J34)))</formula>
    </cfRule>
  </conditionalFormatting>
  <conditionalFormatting sqref="O35">
    <cfRule type="containsText" dxfId="128" priority="72" stopIfTrue="1" operator="containsText" text="Cell G10 CANNOT be blank">
      <formula>NOT(ISERROR(SEARCH("Cell G10 CANNOT be blank",O35)))</formula>
    </cfRule>
  </conditionalFormatting>
  <conditionalFormatting sqref="R36">
    <cfRule type="containsText" dxfId="127" priority="70" stopIfTrue="1" operator="containsText" text="Missin">
      <formula>NOT(ISERROR(SEARCH("Missin",R36)))</formula>
    </cfRule>
    <cfRule type="containsText" dxfId="126" priority="71" stopIfTrue="1" operator="containsText" text="Cell G10 CANNOT be blank">
      <formula>NOT(ISERROR(SEARCH("Cell G10 CANNOT be blank",R36)))</formula>
    </cfRule>
  </conditionalFormatting>
  <conditionalFormatting sqref="R35">
    <cfRule type="containsText" dxfId="125" priority="69" stopIfTrue="1" operator="containsText" text="Cell G10 CANNOT be blank">
      <formula>NOT(ISERROR(SEARCH("Cell G10 CANNOT be blank",R35)))</formula>
    </cfRule>
  </conditionalFormatting>
  <conditionalFormatting sqref="U36">
    <cfRule type="containsText" dxfId="124" priority="67" stopIfTrue="1" operator="containsText" text="Missin">
      <formula>NOT(ISERROR(SEARCH("Missin",U36)))</formula>
    </cfRule>
    <cfRule type="containsText" dxfId="123" priority="68" stopIfTrue="1" operator="containsText" text="Cell G10 CANNOT be blank">
      <formula>NOT(ISERROR(SEARCH("Cell G10 CANNOT be blank",U36)))</formula>
    </cfRule>
  </conditionalFormatting>
  <conditionalFormatting sqref="U35">
    <cfRule type="containsText" dxfId="122" priority="66" stopIfTrue="1" operator="containsText" text="Cell G10 CANNOT be blank">
      <formula>NOT(ISERROR(SEARCH("Cell G10 CANNOT be blank",U35)))</formula>
    </cfRule>
  </conditionalFormatting>
  <conditionalFormatting sqref="R49">
    <cfRule type="containsText" dxfId="121" priority="53" stopIfTrue="1" operator="containsText" text="Missin">
      <formula>NOT(ISERROR(SEARCH("Missin",R49)))</formula>
    </cfRule>
    <cfRule type="containsText" dxfId="120" priority="54" stopIfTrue="1" operator="containsText" text="Cell G10 CANNOT be blank">
      <formula>NOT(ISERROR(SEARCH("Cell G10 CANNOT be blank",R49)))</formula>
    </cfRule>
  </conditionalFormatting>
  <conditionalFormatting sqref="J48">
    <cfRule type="containsText" dxfId="119" priority="64" stopIfTrue="1" operator="containsText" text="Missin">
      <formula>NOT(ISERROR(SEARCH("Missin",J48)))</formula>
    </cfRule>
    <cfRule type="containsText" dxfId="118" priority="65" stopIfTrue="1" operator="containsText" text="Cell G10 CANNOT be blank">
      <formula>NOT(ISERROR(SEARCH("Cell G10 CANNOT be blank",J48)))</formula>
    </cfRule>
  </conditionalFormatting>
  <conditionalFormatting sqref="J47">
    <cfRule type="containsText" dxfId="117" priority="62" stopIfTrue="1" operator="containsText" text="Missin">
      <formula>NOT(ISERROR(SEARCH("Missin",J47)))</formula>
    </cfRule>
    <cfRule type="containsText" dxfId="116" priority="63" stopIfTrue="1" operator="containsText" text="Cell G10 CANNOT be blank">
      <formula>NOT(ISERROR(SEARCH("Cell G10 CANNOT be blank",J47)))</formula>
    </cfRule>
  </conditionalFormatting>
  <conditionalFormatting sqref="L47">
    <cfRule type="containsText" dxfId="115" priority="60" stopIfTrue="1" operator="containsText" text="Missin">
      <formula>NOT(ISERROR(SEARCH("Missin",L47)))</formula>
    </cfRule>
    <cfRule type="containsText" dxfId="114" priority="61" stopIfTrue="1" operator="containsText" text="Cell G10 CANNOT be blank">
      <formula>NOT(ISERROR(SEARCH("Cell G10 CANNOT be blank",L47)))</formula>
    </cfRule>
  </conditionalFormatting>
  <conditionalFormatting sqref="O49">
    <cfRule type="containsText" dxfId="113" priority="58" stopIfTrue="1" operator="containsText" text="Missin">
      <formula>NOT(ISERROR(SEARCH("Missin",O49)))</formula>
    </cfRule>
    <cfRule type="containsText" dxfId="112" priority="59" stopIfTrue="1" operator="containsText" text="Cell G10 CANNOT be blank">
      <formula>NOT(ISERROR(SEARCH("Cell G10 CANNOT be blank",O49)))</formula>
    </cfRule>
  </conditionalFormatting>
  <conditionalFormatting sqref="L48:L49">
    <cfRule type="containsText" dxfId="111" priority="56" stopIfTrue="1" operator="containsText" text="Missin">
      <formula>NOT(ISERROR(SEARCH("Missin",L48)))</formula>
    </cfRule>
    <cfRule type="containsText" dxfId="110" priority="57" stopIfTrue="1" operator="containsText" text="Cell G10 CANNOT be blank">
      <formula>NOT(ISERROR(SEARCH("Cell G10 CANNOT be blank",L48)))</formula>
    </cfRule>
  </conditionalFormatting>
  <conditionalFormatting sqref="O48">
    <cfRule type="containsText" dxfId="109" priority="55" stopIfTrue="1" operator="containsText" text="Cell G10 CANNOT be blank">
      <formula>NOT(ISERROR(SEARCH("Cell G10 CANNOT be blank",O48)))</formula>
    </cfRule>
  </conditionalFormatting>
  <conditionalFormatting sqref="R48">
    <cfRule type="containsText" dxfId="108" priority="52" stopIfTrue="1" operator="containsText" text="Cell G10 CANNOT be blank">
      <formula>NOT(ISERROR(SEARCH("Cell G10 CANNOT be blank",R48)))</formula>
    </cfRule>
  </conditionalFormatting>
  <conditionalFormatting sqref="U49">
    <cfRule type="containsText" dxfId="107" priority="50" stopIfTrue="1" operator="containsText" text="Missin">
      <formula>NOT(ISERROR(SEARCH("Missin",U49)))</formula>
    </cfRule>
    <cfRule type="containsText" dxfId="106" priority="51" stopIfTrue="1" operator="containsText" text="Cell G10 CANNOT be blank">
      <formula>NOT(ISERROR(SEARCH("Cell G10 CANNOT be blank",U49)))</formula>
    </cfRule>
  </conditionalFormatting>
  <conditionalFormatting sqref="U48">
    <cfRule type="containsText" dxfId="105" priority="49" stopIfTrue="1" operator="containsText" text="Cell G10 CANNOT be blank">
      <formula>NOT(ISERROR(SEARCH("Cell G10 CANNOT be blank",U48)))</formula>
    </cfRule>
  </conditionalFormatting>
  <conditionalFormatting sqref="L60">
    <cfRule type="containsText" dxfId="104" priority="43" stopIfTrue="1" operator="containsText" text="Missin">
      <formula>NOT(ISERROR(SEARCH("Missin",L60)))</formula>
    </cfRule>
    <cfRule type="containsText" dxfId="103" priority="44" stopIfTrue="1" operator="containsText" text="Cell G10 CANNOT be blank">
      <formula>NOT(ISERROR(SEARCH("Cell G10 CANNOT be blank",L60)))</formula>
    </cfRule>
  </conditionalFormatting>
  <conditionalFormatting sqref="J61">
    <cfRule type="containsText" dxfId="102" priority="47" stopIfTrue="1" operator="containsText" text="Missin">
      <formula>NOT(ISERROR(SEARCH("Missin",J61)))</formula>
    </cfRule>
    <cfRule type="containsText" dxfId="101" priority="48" stopIfTrue="1" operator="containsText" text="Cell G10 CANNOT be blank">
      <formula>NOT(ISERROR(SEARCH("Cell G10 CANNOT be blank",J61)))</formula>
    </cfRule>
  </conditionalFormatting>
  <conditionalFormatting sqref="J60">
    <cfRule type="containsText" dxfId="100" priority="45" stopIfTrue="1" operator="containsText" text="Missin">
      <formula>NOT(ISERROR(SEARCH("Missin",J60)))</formula>
    </cfRule>
    <cfRule type="containsText" dxfId="99" priority="46" stopIfTrue="1" operator="containsText" text="Cell G10 CANNOT be blank">
      <formula>NOT(ISERROR(SEARCH("Cell G10 CANNOT be blank",J60)))</formula>
    </cfRule>
  </conditionalFormatting>
  <conditionalFormatting sqref="O62">
    <cfRule type="containsText" dxfId="98" priority="41" stopIfTrue="1" operator="containsText" text="Missin">
      <formula>NOT(ISERROR(SEARCH("Missin",O62)))</formula>
    </cfRule>
    <cfRule type="containsText" dxfId="97" priority="42" stopIfTrue="1" operator="containsText" text="Cell G10 CANNOT be blank">
      <formula>NOT(ISERROR(SEARCH("Cell G10 CANNOT be blank",O62)))</formula>
    </cfRule>
  </conditionalFormatting>
  <conditionalFormatting sqref="L61:L62">
    <cfRule type="containsText" dxfId="96" priority="39" stopIfTrue="1" operator="containsText" text="Missin">
      <formula>NOT(ISERROR(SEARCH("Missin",L61)))</formula>
    </cfRule>
    <cfRule type="containsText" dxfId="95" priority="40" stopIfTrue="1" operator="containsText" text="Cell G10 CANNOT be blank">
      <formula>NOT(ISERROR(SEARCH("Cell G10 CANNOT be blank",L61)))</formula>
    </cfRule>
  </conditionalFormatting>
  <conditionalFormatting sqref="O61">
    <cfRule type="containsText" dxfId="94" priority="38" stopIfTrue="1" operator="containsText" text="Cell G10 CANNOT be blank">
      <formula>NOT(ISERROR(SEARCH("Cell G10 CANNOT be blank",O61)))</formula>
    </cfRule>
  </conditionalFormatting>
  <conditionalFormatting sqref="R62">
    <cfRule type="containsText" dxfId="93" priority="36" stopIfTrue="1" operator="containsText" text="Missin">
      <formula>NOT(ISERROR(SEARCH("Missin",R62)))</formula>
    </cfRule>
    <cfRule type="containsText" dxfId="92" priority="37" stopIfTrue="1" operator="containsText" text="Cell G10 CANNOT be blank">
      <formula>NOT(ISERROR(SEARCH("Cell G10 CANNOT be blank",R62)))</formula>
    </cfRule>
  </conditionalFormatting>
  <conditionalFormatting sqref="R61">
    <cfRule type="containsText" dxfId="91" priority="35" stopIfTrue="1" operator="containsText" text="Cell G10 CANNOT be blank">
      <formula>NOT(ISERROR(SEARCH("Cell G10 CANNOT be blank",R61)))</formula>
    </cfRule>
  </conditionalFormatting>
  <conditionalFormatting sqref="U62">
    <cfRule type="containsText" dxfId="90" priority="33" stopIfTrue="1" operator="containsText" text="Missin">
      <formula>NOT(ISERROR(SEARCH("Missin",U62)))</formula>
    </cfRule>
    <cfRule type="containsText" dxfId="89" priority="34" stopIfTrue="1" operator="containsText" text="Cell G10 CANNOT be blank">
      <formula>NOT(ISERROR(SEARCH("Cell G10 CANNOT be blank",U62)))</formula>
    </cfRule>
  </conditionalFormatting>
  <conditionalFormatting sqref="U61">
    <cfRule type="containsText" dxfId="88" priority="32" stopIfTrue="1" operator="containsText" text="Cell G10 CANNOT be blank">
      <formula>NOT(ISERROR(SEARCH("Cell G10 CANNOT be blank",U61)))</formula>
    </cfRule>
  </conditionalFormatting>
  <conditionalFormatting sqref="U74">
    <cfRule type="containsText" dxfId="87" priority="15" stopIfTrue="1" operator="containsText" text="Cell G10 CANNOT be blank">
      <formula>NOT(ISERROR(SEARCH("Cell G10 CANNOT be blank",U74)))</formula>
    </cfRule>
  </conditionalFormatting>
  <conditionalFormatting sqref="J74">
    <cfRule type="containsText" dxfId="86" priority="30" stopIfTrue="1" operator="containsText" text="Missin">
      <formula>NOT(ISERROR(SEARCH("Missin",J74)))</formula>
    </cfRule>
    <cfRule type="containsText" dxfId="85" priority="31" stopIfTrue="1" operator="containsText" text="Cell G10 CANNOT be blank">
      <formula>NOT(ISERROR(SEARCH("Cell G10 CANNOT be blank",J74)))</formula>
    </cfRule>
  </conditionalFormatting>
  <conditionalFormatting sqref="J73">
    <cfRule type="containsText" dxfId="84" priority="28" stopIfTrue="1" operator="containsText" text="Missin">
      <formula>NOT(ISERROR(SEARCH("Missin",J73)))</formula>
    </cfRule>
    <cfRule type="containsText" dxfId="83" priority="29" stopIfTrue="1" operator="containsText" text="Cell G10 CANNOT be blank">
      <formula>NOT(ISERROR(SEARCH("Cell G10 CANNOT be blank",J73)))</formula>
    </cfRule>
  </conditionalFormatting>
  <conditionalFormatting sqref="L73">
    <cfRule type="containsText" dxfId="82" priority="26" stopIfTrue="1" operator="containsText" text="Missin">
      <formula>NOT(ISERROR(SEARCH("Missin",L73)))</formula>
    </cfRule>
    <cfRule type="containsText" dxfId="81" priority="27" stopIfTrue="1" operator="containsText" text="Cell G10 CANNOT be blank">
      <formula>NOT(ISERROR(SEARCH("Cell G10 CANNOT be blank",L73)))</formula>
    </cfRule>
  </conditionalFormatting>
  <conditionalFormatting sqref="O75">
    <cfRule type="containsText" dxfId="80" priority="24" stopIfTrue="1" operator="containsText" text="Missin">
      <formula>NOT(ISERROR(SEARCH("Missin",O75)))</formula>
    </cfRule>
    <cfRule type="containsText" dxfId="79" priority="25" stopIfTrue="1" operator="containsText" text="Cell G10 CANNOT be blank">
      <formula>NOT(ISERROR(SEARCH("Cell G10 CANNOT be blank",O75)))</formula>
    </cfRule>
  </conditionalFormatting>
  <conditionalFormatting sqref="L74:L75">
    <cfRule type="containsText" dxfId="78" priority="22" stopIfTrue="1" operator="containsText" text="Missin">
      <formula>NOT(ISERROR(SEARCH("Missin",L74)))</formula>
    </cfRule>
    <cfRule type="containsText" dxfId="77" priority="23" stopIfTrue="1" operator="containsText" text="Cell G10 CANNOT be blank">
      <formula>NOT(ISERROR(SEARCH("Cell G10 CANNOT be blank",L74)))</formula>
    </cfRule>
  </conditionalFormatting>
  <conditionalFormatting sqref="O74">
    <cfRule type="containsText" dxfId="76" priority="21" stopIfTrue="1" operator="containsText" text="Cell G10 CANNOT be blank">
      <formula>NOT(ISERROR(SEARCH("Cell G10 CANNOT be blank",O74)))</formula>
    </cfRule>
  </conditionalFormatting>
  <conditionalFormatting sqref="R75">
    <cfRule type="containsText" dxfId="75" priority="19" stopIfTrue="1" operator="containsText" text="Missin">
      <formula>NOT(ISERROR(SEARCH("Missin",R75)))</formula>
    </cfRule>
    <cfRule type="containsText" dxfId="74" priority="20" stopIfTrue="1" operator="containsText" text="Cell G10 CANNOT be blank">
      <formula>NOT(ISERROR(SEARCH("Cell G10 CANNOT be blank",R75)))</formula>
    </cfRule>
  </conditionalFormatting>
  <conditionalFormatting sqref="R74">
    <cfRule type="containsText" dxfId="73" priority="18" stopIfTrue="1" operator="containsText" text="Cell G10 CANNOT be blank">
      <formula>NOT(ISERROR(SEARCH("Cell G10 CANNOT be blank",R74)))</formula>
    </cfRule>
  </conditionalFormatting>
  <conditionalFormatting sqref="U75">
    <cfRule type="containsText" dxfId="72" priority="16" stopIfTrue="1" operator="containsText" text="Missin">
      <formula>NOT(ISERROR(SEARCH("Missin",U75)))</formula>
    </cfRule>
    <cfRule type="containsText" dxfId="71" priority="17" stopIfTrue="1" operator="containsText" text="Cell G10 CANNOT be blank">
      <formula>NOT(ISERROR(SEARCH("Cell G10 CANNOT be blank",U75)))</formula>
    </cfRule>
  </conditionalFormatting>
  <conditionalFormatting sqref="O76 R76 U76">
    <cfRule type="containsText" dxfId="70" priority="14" stopIfTrue="1" operator="containsText" text="Cell G10 CANNOT be blank">
      <formula>NOT(ISERROR(SEARCH("Cell G10 CANNOT be blank",O76)))</formula>
    </cfRule>
  </conditionalFormatting>
  <conditionalFormatting sqref="L76">
    <cfRule type="containsText" dxfId="69" priority="12" stopIfTrue="1" operator="containsText" text="Missin">
      <formula>NOT(ISERROR(SEARCH("Missin",L76)))</formula>
    </cfRule>
    <cfRule type="containsText" dxfId="68" priority="13" stopIfTrue="1" operator="containsText" text="Cell G10 CANNOT be blank">
      <formula>NOT(ISERROR(SEARCH("Cell G10 CANNOT be blank",L76)))</formula>
    </cfRule>
  </conditionalFormatting>
  <conditionalFormatting sqref="J22">
    <cfRule type="containsText" dxfId="67" priority="10" stopIfTrue="1" operator="containsText" text="Missin">
      <formula>NOT(ISERROR(SEARCH("Missin",J22)))</formula>
    </cfRule>
    <cfRule type="containsText" dxfId="66" priority="11" stopIfTrue="1" operator="containsText" text="Cell G10 CANNOT be blank">
      <formula>NOT(ISERROR(SEARCH("Cell G10 CANNOT be blank",J22)))</formula>
    </cfRule>
  </conditionalFormatting>
  <conditionalFormatting sqref="J36">
    <cfRule type="containsText" dxfId="65" priority="8" stopIfTrue="1" operator="containsText" text="Missin">
      <formula>NOT(ISERROR(SEARCH("Missin",J36)))</formula>
    </cfRule>
    <cfRule type="containsText" dxfId="64" priority="9" stopIfTrue="1" operator="containsText" text="Cell G10 CANNOT be blank">
      <formula>NOT(ISERROR(SEARCH("Cell G10 CANNOT be blank",J36)))</formula>
    </cfRule>
  </conditionalFormatting>
  <conditionalFormatting sqref="J49">
    <cfRule type="containsText" dxfId="63" priority="6" stopIfTrue="1" operator="containsText" text="Missin">
      <formula>NOT(ISERROR(SEARCH("Missin",J49)))</formula>
    </cfRule>
    <cfRule type="containsText" dxfId="62" priority="7" stopIfTrue="1" operator="containsText" text="Cell G10 CANNOT be blank">
      <formula>NOT(ISERROR(SEARCH("Cell G10 CANNOT be blank",J49)))</formula>
    </cfRule>
  </conditionalFormatting>
  <conditionalFormatting sqref="J62">
    <cfRule type="containsText" dxfId="61" priority="4" stopIfTrue="1" operator="containsText" text="Missin">
      <formula>NOT(ISERROR(SEARCH("Missin",J62)))</formula>
    </cfRule>
    <cfRule type="containsText" dxfId="60" priority="5" stopIfTrue="1" operator="containsText" text="Cell G10 CANNOT be blank">
      <formula>NOT(ISERROR(SEARCH("Cell G10 CANNOT be blank",J62)))</formula>
    </cfRule>
  </conditionalFormatting>
  <conditionalFormatting sqref="J75">
    <cfRule type="containsText" dxfId="59" priority="2" stopIfTrue="1" operator="containsText" text="Missin">
      <formula>NOT(ISERROR(SEARCH("Missin",J75)))</formula>
    </cfRule>
    <cfRule type="containsText" dxfId="58" priority="3" stopIfTrue="1" operator="containsText" text="Cell G10 CANNOT be blank">
      <formula>NOT(ISERROR(SEARCH("Cell G10 CANNOT be blank",J75)))</formula>
    </cfRule>
  </conditionalFormatting>
  <conditionalFormatting sqref="A7">
    <cfRule type="containsText" dxfId="57" priority="1" stopIfTrue="1" operator="containsText" text="Enter">
      <formula>NOT(ISERROR(SEARCH("Enter",A7)))</formula>
    </cfRule>
  </conditionalFormatting>
  <printOptions horizontalCentered="1"/>
  <pageMargins left="0.25" right="0.25" top="0.75" bottom="0.75" header="0.3" footer="0.3"/>
  <pageSetup scale="49" fitToHeight="2" orientation="landscape" r:id="rId1"/>
  <headerFooter alignWithMargins="0">
    <oddHeader>&amp;RPage &amp;P of &amp;N</oddHeader>
  </headerFooter>
  <rowBreaks count="1" manualBreakCount="1">
    <brk id="50" max="21" man="1"/>
  </rowBreaks>
  <customProperties>
    <customPr name="DrillPoint.FROID" r:id="rId2"/>
    <customPr name="DrillPoint.Mode" r:id="rId3"/>
    <customPr name="DrillPoint.Subsheet" r:id="rId4"/>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tabColor theme="5"/>
    <pageSetUpPr fitToPage="1"/>
  </sheetPr>
  <dimension ref="A1:AH88"/>
  <sheetViews>
    <sheetView showGridLines="0" zoomScaleNormal="100" zoomScaleSheetLayoutView="100" workbookViewId="0">
      <pane xSplit="6" ySplit="6" topLeftCell="G26" activePane="bottomRight" state="frozen"/>
      <selection pane="topRight" activeCell="J13" sqref="J13"/>
      <selection pane="bottomLeft" activeCell="J13" sqref="J13"/>
      <selection pane="bottomRight" activeCell="H52" sqref="H52"/>
    </sheetView>
  </sheetViews>
  <sheetFormatPr defaultRowHeight="12.75"/>
  <cols>
    <col min="1" max="1" width="3.85546875" customWidth="1"/>
    <col min="2" max="2" width="11" customWidth="1"/>
    <col min="3" max="3" width="16.42578125" customWidth="1"/>
    <col min="4" max="4" width="29.7109375" customWidth="1"/>
    <col min="6" max="6" width="13.7109375" customWidth="1"/>
    <col min="7" max="8" width="19.42578125" customWidth="1"/>
    <col min="9" max="9" width="11.28515625" customWidth="1"/>
    <col min="10" max="10" width="18.85546875" customWidth="1"/>
    <col min="11" max="11" width="11.28515625" customWidth="1"/>
    <col min="12" max="12" width="83.5703125" style="1212" customWidth="1"/>
    <col min="13" max="32" width="9.140625" customWidth="1"/>
  </cols>
  <sheetData>
    <row r="1" spans="1:34" s="2" customFormat="1" ht="15.75">
      <c r="A1" s="1636" t="str">
        <f>IF('INTERIM-CERTIFICATION'!$M$1="","CHARTER NAME: Enter Charter Name on INTERIM-CERTIFICATION Worksheet",(CONCATENATE("CHARTER NAME: ",'INTERIM-CERTIFICATION'!$M$1)))</f>
        <v>CHARTER NAME: Encore High School -</v>
      </c>
      <c r="B1" s="1636"/>
      <c r="C1" s="1636"/>
      <c r="D1" s="1636"/>
      <c r="E1" s="1636"/>
      <c r="F1" s="1636"/>
      <c r="G1" s="11"/>
      <c r="H1" s="11"/>
      <c r="I1" s="11"/>
      <c r="J1" s="1"/>
      <c r="K1" s="1"/>
      <c r="L1" s="1212"/>
      <c r="M1"/>
      <c r="N1"/>
      <c r="O1"/>
      <c r="P1"/>
      <c r="Q1"/>
      <c r="R1"/>
      <c r="S1"/>
      <c r="T1"/>
      <c r="U1"/>
      <c r="V1"/>
      <c r="W1"/>
      <c r="X1"/>
      <c r="Y1"/>
      <c r="Z1"/>
      <c r="AA1"/>
      <c r="AB1"/>
      <c r="AC1"/>
      <c r="AD1"/>
      <c r="AE1"/>
      <c r="AF1"/>
      <c r="AG1" s="1"/>
      <c r="AH1" s="1"/>
    </row>
    <row r="2" spans="1:34" s="2" customFormat="1" ht="15.75">
      <c r="A2" s="1636" t="str">
        <f>IF('INTERIM-CERTIFICATION'!$M$2="","CDS #: Enter Charter CDS # on INTERIM-CERTIFICATION Worksheet",(_xlfn.CONCAT("CDS #: ",'INTERIM-CERTIFICATION'!$M$2)))</f>
        <v>CDS #: 35-75044-01166707</v>
      </c>
      <c r="B2" s="1636"/>
      <c r="C2" s="1636"/>
      <c r="D2" s="1636"/>
      <c r="E2" s="1636"/>
      <c r="F2" s="1636"/>
      <c r="G2" s="81"/>
      <c r="H2" s="81"/>
      <c r="I2" s="81"/>
      <c r="J2" s="1"/>
      <c r="K2" s="1"/>
      <c r="L2" s="1212"/>
      <c r="M2"/>
      <c r="N2"/>
      <c r="O2"/>
      <c r="P2"/>
      <c r="Q2"/>
      <c r="R2"/>
      <c r="S2"/>
      <c r="T2"/>
      <c r="U2"/>
      <c r="V2"/>
      <c r="W2"/>
      <c r="X2"/>
      <c r="Y2"/>
      <c r="Z2"/>
      <c r="AA2"/>
      <c r="AB2"/>
      <c r="AC2"/>
      <c r="AD2"/>
      <c r="AE2"/>
      <c r="AF2"/>
      <c r="AG2" s="1"/>
      <c r="AH2" s="1"/>
    </row>
    <row r="3" spans="1:34" s="2" customFormat="1" ht="15.75">
      <c r="A3" s="1636" t="str">
        <f>IF('INTERIM-CERTIFICATION'!$M$5="","CHARTER #: Enter Charter # on INTERIM-CERTIFICATION Worksheet",(_xlfn.CONCAT("CHARTER #: ",'INTERIM-CERTIFICATION'!$M$5)))</f>
        <v>CHARTER #: 971</v>
      </c>
      <c r="B3" s="1636"/>
      <c r="C3" s="1636"/>
      <c r="D3" s="1636"/>
      <c r="E3" s="1636"/>
      <c r="F3" s="1636"/>
      <c r="G3" s="11"/>
      <c r="H3" s="11"/>
      <c r="I3" s="11"/>
      <c r="J3" s="1"/>
      <c r="K3" s="1"/>
      <c r="L3" s="1212"/>
      <c r="M3"/>
      <c r="N3"/>
      <c r="O3"/>
      <c r="P3"/>
      <c r="Q3"/>
      <c r="R3"/>
      <c r="S3"/>
      <c r="T3"/>
      <c r="U3"/>
      <c r="V3"/>
      <c r="W3"/>
      <c r="X3"/>
      <c r="Y3"/>
      <c r="Z3"/>
      <c r="AA3"/>
      <c r="AB3"/>
      <c r="AC3"/>
      <c r="AD3"/>
      <c r="AE3"/>
      <c r="AF3"/>
      <c r="AG3" s="1"/>
      <c r="AH3" s="1"/>
    </row>
    <row r="4" spans="1:34" s="2" customFormat="1" ht="15.75">
      <c r="A4" s="1693" t="str">
        <f>'2nd Interim-ADA'!J4</f>
        <v>Fiscal Year 2021-22 Second Interim Report</v>
      </c>
      <c r="B4" s="1693"/>
      <c r="C4" s="1693"/>
      <c r="D4" s="1693"/>
      <c r="E4" s="1693"/>
      <c r="F4" s="1693"/>
      <c r="G4" s="1693"/>
      <c r="H4" s="1693"/>
      <c r="I4" s="1693"/>
      <c r="J4" s="1693"/>
      <c r="K4" s="1693"/>
      <c r="L4" s="1212"/>
      <c r="M4"/>
      <c r="N4"/>
      <c r="O4"/>
      <c r="P4"/>
      <c r="Q4"/>
      <c r="R4"/>
      <c r="S4"/>
      <c r="T4"/>
      <c r="U4"/>
      <c r="V4"/>
      <c r="W4"/>
      <c r="X4"/>
      <c r="Y4"/>
      <c r="Z4"/>
      <c r="AA4"/>
      <c r="AB4"/>
      <c r="AC4"/>
      <c r="AD4"/>
      <c r="AE4"/>
      <c r="AF4"/>
      <c r="AG4" s="1"/>
      <c r="AH4" s="1"/>
    </row>
    <row r="5" spans="1:34" s="2" customFormat="1" ht="16.5" thickBot="1">
      <c r="A5" s="1088" t="str">
        <f>Instructions!H1</f>
        <v>Rev. 5/28/2021</v>
      </c>
      <c r="B5" s="266"/>
      <c r="C5" s="266"/>
      <c r="D5" s="11"/>
      <c r="E5" s="11"/>
      <c r="F5" s="11"/>
      <c r="G5" s="11"/>
      <c r="H5" s="11"/>
      <c r="I5" s="11"/>
      <c r="J5" s="1"/>
      <c r="K5" s="11"/>
      <c r="L5" s="1212"/>
      <c r="M5"/>
      <c r="N5"/>
      <c r="O5"/>
      <c r="P5"/>
      <c r="Q5"/>
      <c r="R5"/>
      <c r="S5"/>
      <c r="T5"/>
      <c r="U5"/>
      <c r="V5"/>
      <c r="W5"/>
      <c r="X5"/>
      <c r="Y5"/>
      <c r="Z5"/>
      <c r="AA5"/>
      <c r="AB5"/>
      <c r="AC5"/>
      <c r="AD5"/>
      <c r="AE5"/>
      <c r="AF5"/>
      <c r="AG5" s="1"/>
      <c r="AH5" s="1"/>
    </row>
    <row r="6" spans="1:34" ht="16.5" thickBot="1">
      <c r="A6" s="681" t="s">
        <v>160</v>
      </c>
      <c r="B6" s="682"/>
      <c r="C6" s="682"/>
      <c r="D6" s="682"/>
      <c r="E6" s="682"/>
      <c r="F6" s="683"/>
      <c r="G6" s="280" t="str">
        <f>'Budget-Assumptions'!G6</f>
        <v>2021-22</v>
      </c>
      <c r="H6" s="281" t="str">
        <f>'Budget-Assumptions'!H6</f>
        <v>2022-23</v>
      </c>
      <c r="I6" s="281" t="s">
        <v>161</v>
      </c>
      <c r="J6" s="281" t="str">
        <f>'Budget-Assumptions'!J6</f>
        <v>2023-24</v>
      </c>
      <c r="K6" s="282" t="s">
        <v>161</v>
      </c>
    </row>
    <row r="7" spans="1:34" ht="15.75">
      <c r="A7" s="331"/>
      <c r="B7" s="1"/>
      <c r="C7" s="1"/>
      <c r="D7" s="1"/>
      <c r="E7" s="1"/>
      <c r="F7" s="1232"/>
      <c r="G7" s="1591"/>
      <c r="H7" s="167"/>
      <c r="I7" s="167"/>
      <c r="J7" s="167"/>
      <c r="K7" s="663"/>
    </row>
    <row r="8" spans="1:34" ht="15.75">
      <c r="A8" s="684" t="s">
        <v>162</v>
      </c>
      <c r="C8" s="154"/>
      <c r="D8" s="154"/>
      <c r="E8" s="154"/>
      <c r="F8" s="662"/>
      <c r="G8" s="664"/>
      <c r="H8" s="664"/>
      <c r="I8" s="652"/>
      <c r="J8" s="664"/>
      <c r="K8" s="653"/>
    </row>
    <row r="9" spans="1:34" ht="15.75">
      <c r="A9" s="67"/>
      <c r="B9" s="141" t="s">
        <v>163</v>
      </c>
      <c r="C9" s="140"/>
      <c r="D9" s="142"/>
      <c r="E9" s="140"/>
      <c r="F9" s="1541"/>
      <c r="G9" s="1542">
        <v>5.0700000000000002E-2</v>
      </c>
      <c r="H9" s="1542">
        <v>5.33E-2</v>
      </c>
      <c r="I9" s="487">
        <f>SUM(H9-G9)</f>
        <v>2.5999999999999981E-3</v>
      </c>
      <c r="J9" s="1543">
        <v>3.61E-2</v>
      </c>
      <c r="K9" s="486">
        <f>SUM(J9-H9)</f>
        <v>-1.72E-2</v>
      </c>
    </row>
    <row r="10" spans="1:34" ht="15.75" hidden="1" customHeight="1">
      <c r="A10" s="283"/>
      <c r="B10" s="143" t="s">
        <v>164</v>
      </c>
      <c r="C10" s="144"/>
      <c r="D10" s="142"/>
      <c r="E10" s="144"/>
      <c r="F10" s="1541"/>
      <c r="G10" s="1544">
        <v>1</v>
      </c>
      <c r="H10" s="1544">
        <v>1</v>
      </c>
      <c r="I10" s="487">
        <f>SUM(H10-G10)</f>
        <v>0</v>
      </c>
      <c r="J10" s="1543">
        <v>1</v>
      </c>
      <c r="K10" s="486">
        <f>SUM(J10-H10)</f>
        <v>0</v>
      </c>
    </row>
    <row r="11" spans="1:34" ht="15.75">
      <c r="A11" s="283"/>
      <c r="B11" s="143" t="s">
        <v>547</v>
      </c>
      <c r="C11" s="144"/>
      <c r="D11" s="144"/>
      <c r="E11" s="144"/>
      <c r="F11" s="1541"/>
      <c r="G11" s="1545">
        <v>6826986</v>
      </c>
      <c r="H11" s="1546">
        <v>7250440</v>
      </c>
      <c r="I11" s="487">
        <f>SUM(H11-G11)/G11</f>
        <v>6.2026493096660813E-2</v>
      </c>
      <c r="J11" s="1545">
        <v>7479379</v>
      </c>
      <c r="K11" s="486">
        <f>SUM(J11-H11)/H11</f>
        <v>3.1575876774375074E-2</v>
      </c>
    </row>
    <row r="12" spans="1:34" ht="15.75" hidden="1" customHeight="1">
      <c r="A12" s="283"/>
      <c r="B12" s="372" t="s">
        <v>166</v>
      </c>
      <c r="C12" s="144" t="s">
        <v>167</v>
      </c>
      <c r="D12" s="144"/>
      <c r="E12" s="144"/>
      <c r="F12" s="155"/>
      <c r="G12" s="688"/>
      <c r="H12" s="689"/>
      <c r="I12" s="202"/>
      <c r="J12" s="688"/>
      <c r="K12" s="285"/>
    </row>
    <row r="13" spans="1:34" ht="15.75" hidden="1" customHeight="1">
      <c r="A13" s="283"/>
      <c r="B13" s="143"/>
      <c r="C13" s="144" t="s">
        <v>168</v>
      </c>
      <c r="D13" s="144"/>
      <c r="E13" s="144"/>
      <c r="F13" s="155"/>
      <c r="G13" s="688"/>
      <c r="H13" s="689"/>
      <c r="I13" s="202"/>
      <c r="J13" s="688"/>
      <c r="K13" s="285"/>
    </row>
    <row r="14" spans="1:34" ht="15.75">
      <c r="A14" s="283"/>
      <c r="B14" s="332"/>
      <c r="C14" s="332"/>
      <c r="D14" s="332"/>
      <c r="E14" s="332"/>
      <c r="F14" s="665"/>
      <c r="G14" s="666"/>
      <c r="H14" s="667"/>
      <c r="I14" s="493"/>
      <c r="J14" s="668"/>
      <c r="K14" s="669"/>
    </row>
    <row r="15" spans="1:34" ht="15.75">
      <c r="A15" s="684" t="s">
        <v>169</v>
      </c>
      <c r="B15" s="133"/>
      <c r="C15" s="670"/>
      <c r="D15" s="670"/>
      <c r="E15" s="670"/>
      <c r="F15" s="671"/>
      <c r="G15" s="672"/>
      <c r="H15" s="672"/>
      <c r="I15" s="673"/>
      <c r="J15" s="672"/>
      <c r="K15" s="674"/>
    </row>
    <row r="16" spans="1:34" ht="15.75">
      <c r="A16" s="283"/>
      <c r="B16" s="143" t="s">
        <v>170</v>
      </c>
      <c r="C16" s="144"/>
      <c r="D16" s="144"/>
      <c r="E16" s="144"/>
      <c r="F16" s="1541"/>
      <c r="G16" s="1545">
        <v>163</v>
      </c>
      <c r="H16" s="1545">
        <v>163</v>
      </c>
      <c r="I16" s="1552">
        <f>H16-G16</f>
        <v>0</v>
      </c>
      <c r="J16" s="1545">
        <v>163</v>
      </c>
      <c r="K16" s="1553">
        <f>SUM(J16-H16)</f>
        <v>0</v>
      </c>
    </row>
    <row r="17" spans="1:11" ht="15.75">
      <c r="A17" s="283"/>
      <c r="B17" s="143" t="s">
        <v>171</v>
      </c>
      <c r="C17" s="144"/>
      <c r="D17" s="144"/>
      <c r="E17" s="144"/>
      <c r="F17" s="1541"/>
      <c r="G17" s="1545">
        <v>65</v>
      </c>
      <c r="H17" s="1545">
        <v>65</v>
      </c>
      <c r="I17" s="1552">
        <f>H17-G17</f>
        <v>0</v>
      </c>
      <c r="J17" s="1545">
        <v>65</v>
      </c>
      <c r="K17" s="1553">
        <f>SUM(J17-H17)</f>
        <v>0</v>
      </c>
    </row>
    <row r="18" spans="1:11" ht="15.75">
      <c r="A18" s="283"/>
      <c r="B18" s="332"/>
      <c r="C18" s="332"/>
      <c r="D18" s="332"/>
      <c r="E18" s="332"/>
      <c r="F18" s="665"/>
      <c r="G18" s="666"/>
      <c r="H18" s="667"/>
      <c r="I18" s="493"/>
      <c r="J18" s="668"/>
      <c r="K18" s="669"/>
    </row>
    <row r="19" spans="1:11" ht="15.75">
      <c r="A19" s="685" t="s">
        <v>172</v>
      </c>
      <c r="C19" s="165"/>
      <c r="D19" s="165"/>
      <c r="E19" s="165"/>
      <c r="F19" s="662"/>
      <c r="G19" s="675"/>
      <c r="H19" s="675"/>
      <c r="I19" s="550"/>
      <c r="J19" s="676"/>
      <c r="K19" s="551"/>
    </row>
    <row r="20" spans="1:11" ht="15.75">
      <c r="A20" s="283"/>
      <c r="B20" s="143" t="s">
        <v>173</v>
      </c>
      <c r="C20" s="144"/>
      <c r="D20" s="144"/>
      <c r="E20" s="144"/>
      <c r="F20" s="1554"/>
      <c r="G20" s="1555">
        <f>'2nd Interim-ADA'!N75</f>
        <v>646.34999999999991</v>
      </c>
      <c r="H20" s="1556">
        <f>'2nd Interim-ADA'!Q75</f>
        <v>651</v>
      </c>
      <c r="I20" s="1557">
        <f>H20-G20</f>
        <v>4.6500000000000909</v>
      </c>
      <c r="J20" s="1556">
        <f>'2nd Interim-ADA'!T75</f>
        <v>651</v>
      </c>
      <c r="K20" s="1568">
        <f>J20-H20</f>
        <v>0</v>
      </c>
    </row>
    <row r="21" spans="1:11" ht="48.75" customHeight="1">
      <c r="A21" s="283"/>
      <c r="B21" s="651" t="s">
        <v>174</v>
      </c>
      <c r="C21" s="144"/>
      <c r="D21" s="144"/>
      <c r="E21" s="144"/>
      <c r="F21" s="1554"/>
      <c r="G21" s="1558">
        <f>IF(('2nd Interim-ADA'!O75="Cell G10 CANNOT be blank"), "Missing Data 2nd Interim-ADA Tab, cell G10",'2nd Interim-ADA'!O75)</f>
        <v>646.34999999999991</v>
      </c>
      <c r="H21" s="1558">
        <f>IF(('2nd Interim-ADA'!R75="Cell G10 CANNOT be blank"), "Missing Data 2nd Interim-ADA Tab, cell G10",'2nd Interim-ADA'!R75)</f>
        <v>651</v>
      </c>
      <c r="I21" s="1557">
        <f>H21-G21</f>
        <v>4.6500000000000909</v>
      </c>
      <c r="J21" s="1558">
        <f>IF(('2nd Interim-ADA'!U75="Cell G10 CANNOT be blank"), "Missing Data 2nd Interim-ADA Tab, cell G10",'2nd Interim-ADA'!U75)</f>
        <v>651</v>
      </c>
      <c r="K21" s="1568">
        <f>J21-H21</f>
        <v>0</v>
      </c>
    </row>
    <row r="22" spans="1:11" ht="15.75">
      <c r="A22" s="283"/>
      <c r="B22" s="143" t="s">
        <v>175</v>
      </c>
      <c r="C22" s="144"/>
      <c r="D22" s="144"/>
      <c r="E22" s="144"/>
      <c r="F22" s="1554"/>
      <c r="G22" s="1559">
        <f>'2nd Interim-ADA'!O74</f>
        <v>0</v>
      </c>
      <c r="H22" s="1556">
        <f>'2nd Interim-ADA'!R74</f>
        <v>0</v>
      </c>
      <c r="I22" s="1557">
        <f>H22-G22</f>
        <v>0</v>
      </c>
      <c r="J22" s="1556">
        <f>'2nd Interim-ADA'!U74</f>
        <v>0</v>
      </c>
      <c r="K22" s="1568">
        <f>J22-H22</f>
        <v>0</v>
      </c>
    </row>
    <row r="23" spans="1:11" ht="15.75">
      <c r="A23" s="67"/>
      <c r="B23" s="146" t="s">
        <v>176</v>
      </c>
      <c r="C23" s="140"/>
      <c r="D23" s="140"/>
      <c r="E23" s="140"/>
      <c r="F23" s="1554"/>
      <c r="G23" s="1560">
        <f>SUM(G21:G22)</f>
        <v>646.34999999999991</v>
      </c>
      <c r="H23" s="1560">
        <f>SUM(H21:H22)</f>
        <v>651</v>
      </c>
      <c r="I23" s="1557">
        <f>H23-G23</f>
        <v>4.6500000000000909</v>
      </c>
      <c r="J23" s="1560">
        <f>SUM(J21:J22)</f>
        <v>651</v>
      </c>
      <c r="K23" s="1568">
        <f>J23-H23</f>
        <v>0</v>
      </c>
    </row>
    <row r="24" spans="1:11" ht="15.75">
      <c r="A24" s="284"/>
      <c r="B24" s="147" t="s">
        <v>177</v>
      </c>
      <c r="C24" s="148"/>
      <c r="D24" s="148"/>
      <c r="E24" s="149" t="s">
        <v>178</v>
      </c>
      <c r="F24" s="1561">
        <v>858</v>
      </c>
      <c r="G24" s="1562">
        <v>722</v>
      </c>
      <c r="H24" s="1562">
        <v>700</v>
      </c>
      <c r="I24" s="1557">
        <f>H24-G24</f>
        <v>-22</v>
      </c>
      <c r="J24" s="1562">
        <v>700</v>
      </c>
      <c r="K24" s="1568">
        <f>J24-H24</f>
        <v>0</v>
      </c>
    </row>
    <row r="25" spans="1:11" ht="15.75">
      <c r="A25" s="284"/>
      <c r="B25" s="147" t="s">
        <v>179</v>
      </c>
      <c r="C25" s="148"/>
      <c r="D25" s="148"/>
      <c r="E25" s="151"/>
      <c r="F25" s="1563"/>
      <c r="G25" s="487">
        <f>(G24-F24)/F24</f>
        <v>-0.1585081585081585</v>
      </c>
      <c r="H25" s="487">
        <f>(H24-G24)/G24</f>
        <v>-3.0470914127423823E-2</v>
      </c>
      <c r="I25" s="1550" t="s">
        <v>103</v>
      </c>
      <c r="J25" s="487">
        <f>(J24-H24)/H24</f>
        <v>0</v>
      </c>
      <c r="K25" s="1551" t="s">
        <v>103</v>
      </c>
    </row>
    <row r="26" spans="1:11" ht="15.75">
      <c r="A26" s="284"/>
      <c r="B26" s="147" t="s">
        <v>180</v>
      </c>
      <c r="C26" s="148"/>
      <c r="D26" s="148"/>
      <c r="E26" s="218" t="str">
        <f>'2nd Interim-ADA'!$I$7</f>
        <v>2020-21</v>
      </c>
      <c r="F26" s="1564">
        <f>'2nd Interim-ADA'!$J$76/F24</f>
        <v>1.0481002331002331</v>
      </c>
      <c r="G26" s="487">
        <f>G23/G24</f>
        <v>0.89522160664819928</v>
      </c>
      <c r="H26" s="487">
        <f>H23/H24</f>
        <v>0.93</v>
      </c>
      <c r="I26" s="1550" t="s">
        <v>103</v>
      </c>
      <c r="J26" s="487">
        <f>J23/J24</f>
        <v>0.93</v>
      </c>
      <c r="K26" s="1551" t="s">
        <v>103</v>
      </c>
    </row>
    <row r="27" spans="1:11" ht="15.75">
      <c r="A27" s="284"/>
      <c r="B27" s="147" t="s">
        <v>181</v>
      </c>
      <c r="C27" s="148"/>
      <c r="D27" s="148"/>
      <c r="E27" s="149" t="s">
        <v>182</v>
      </c>
      <c r="F27" s="1561">
        <v>466</v>
      </c>
      <c r="G27" s="1562">
        <v>365</v>
      </c>
      <c r="H27" s="1562">
        <v>386</v>
      </c>
      <c r="I27" s="1557">
        <f>H27-G27</f>
        <v>21</v>
      </c>
      <c r="J27" s="1562">
        <v>386</v>
      </c>
      <c r="K27" s="1568">
        <f>J27-H27</f>
        <v>0</v>
      </c>
    </row>
    <row r="28" spans="1:11" ht="16.5">
      <c r="A28" s="284"/>
      <c r="B28" s="147" t="s">
        <v>183</v>
      </c>
      <c r="C28" s="148"/>
      <c r="D28" s="148"/>
      <c r="E28" s="218" t="str">
        <f>E26</f>
        <v>2020-21</v>
      </c>
      <c r="F28" s="1442">
        <v>0.57840000000000003</v>
      </c>
      <c r="G28" s="1565">
        <v>0.54959999999999998</v>
      </c>
      <c r="H28" s="1565">
        <v>0.53380000000000005</v>
      </c>
      <c r="I28" s="1550"/>
      <c r="J28" s="1565">
        <v>0.53580000000000005</v>
      </c>
      <c r="K28" s="1551" t="s">
        <v>103</v>
      </c>
    </row>
    <row r="29" spans="1:11" ht="15.75">
      <c r="A29" s="283"/>
      <c r="B29" s="332"/>
      <c r="C29" s="332"/>
      <c r="D29" s="332"/>
      <c r="E29" s="332"/>
      <c r="F29" s="1232"/>
      <c r="G29" s="666"/>
      <c r="H29" s="667"/>
      <c r="I29" s="493"/>
      <c r="J29" s="668"/>
      <c r="K29" s="669"/>
    </row>
    <row r="30" spans="1:11" ht="15.75">
      <c r="A30" s="686" t="s">
        <v>184</v>
      </c>
      <c r="C30" s="154"/>
      <c r="D30" s="154"/>
      <c r="E30" s="154"/>
      <c r="F30" s="151"/>
      <c r="G30" s="1349"/>
      <c r="H30" s="1349"/>
      <c r="I30" s="550"/>
      <c r="J30" s="677"/>
      <c r="K30" s="551"/>
    </row>
    <row r="31" spans="1:11" ht="15.75">
      <c r="A31" s="67"/>
      <c r="B31" s="146" t="s">
        <v>185</v>
      </c>
      <c r="C31" s="140"/>
      <c r="D31" s="140"/>
      <c r="E31" s="140"/>
      <c r="F31" s="1554"/>
      <c r="G31" s="1566">
        <v>34.6</v>
      </c>
      <c r="H31" s="1566">
        <v>30.6</v>
      </c>
      <c r="I31" s="1557">
        <f>H31-G31</f>
        <v>-4</v>
      </c>
      <c r="J31" s="1567">
        <v>30.6</v>
      </c>
      <c r="K31" s="1568">
        <f>J31-H31</f>
        <v>0</v>
      </c>
    </row>
    <row r="32" spans="1:11" ht="15.75">
      <c r="A32" s="67"/>
      <c r="B32" s="146" t="s">
        <v>186</v>
      </c>
      <c r="C32" s="140"/>
      <c r="D32" s="140"/>
      <c r="E32" s="140"/>
      <c r="F32" s="1569"/>
      <c r="G32" s="1566">
        <v>3</v>
      </c>
      <c r="H32" s="1566">
        <v>2</v>
      </c>
      <c r="I32" s="1557">
        <f>SUM(H32-G32)</f>
        <v>-1</v>
      </c>
      <c r="J32" s="1567">
        <v>2</v>
      </c>
      <c r="K32" s="1568">
        <f>SUM(J32-H32)</f>
        <v>0</v>
      </c>
    </row>
    <row r="33" spans="1:11" ht="15.75">
      <c r="A33" s="67"/>
      <c r="B33" s="146" t="s">
        <v>187</v>
      </c>
      <c r="C33" s="140"/>
      <c r="D33" s="140"/>
      <c r="E33" s="140"/>
      <c r="F33" s="1569"/>
      <c r="G33" s="1570">
        <v>3</v>
      </c>
      <c r="H33" s="1570">
        <v>2</v>
      </c>
      <c r="I33" s="1557">
        <f>SUM(H33-G33)</f>
        <v>-1</v>
      </c>
      <c r="J33" s="1567">
        <v>2</v>
      </c>
      <c r="K33" s="1568">
        <f>SUM(J33-H33)</f>
        <v>0</v>
      </c>
    </row>
    <row r="34" spans="1:11" ht="15.75">
      <c r="A34" s="284"/>
      <c r="B34" s="150" t="s">
        <v>188</v>
      </c>
      <c r="C34" s="140"/>
      <c r="D34" s="148"/>
      <c r="E34" s="148"/>
      <c r="F34" s="1569"/>
      <c r="G34" s="1557">
        <f>G24/G31</f>
        <v>20.867052023121385</v>
      </c>
      <c r="H34" s="1557">
        <f>H24/H31</f>
        <v>22.875816993464053</v>
      </c>
      <c r="I34" s="1557">
        <f>H34-G34</f>
        <v>2.0087649703426678</v>
      </c>
      <c r="J34" s="1557">
        <f>J24/J31</f>
        <v>22.875816993464053</v>
      </c>
      <c r="K34" s="1568">
        <f>J34-H34</f>
        <v>0</v>
      </c>
    </row>
    <row r="35" spans="1:11" ht="15.75">
      <c r="A35" s="67"/>
      <c r="B35" s="146" t="s">
        <v>189</v>
      </c>
      <c r="C35" s="140"/>
      <c r="D35" s="140"/>
      <c r="E35" s="140"/>
      <c r="F35" s="1554"/>
      <c r="G35" s="1571"/>
      <c r="H35" s="1571"/>
      <c r="I35" s="1557">
        <f>H35-G35</f>
        <v>0</v>
      </c>
      <c r="J35" s="1571"/>
      <c r="K35" s="1568">
        <f>J35-H35</f>
        <v>0</v>
      </c>
    </row>
    <row r="36" spans="1:11" ht="15.75">
      <c r="A36" s="67"/>
      <c r="B36" s="141" t="s">
        <v>190</v>
      </c>
      <c r="C36" s="140"/>
      <c r="D36" s="140"/>
      <c r="E36" s="140"/>
      <c r="F36" s="1554"/>
      <c r="G36" s="1572">
        <v>65980.317919075111</v>
      </c>
      <c r="H36" s="1572">
        <v>70046.269490490173</v>
      </c>
      <c r="I36" s="631">
        <f>IF(H36&lt;1," ",IF(G36&lt;1," ",(H36-G36)/G36))</f>
        <v>6.1623703850623358E-2</v>
      </c>
      <c r="J36" s="1572">
        <v>71699.361450465745</v>
      </c>
      <c r="K36" s="486">
        <f>IF(J36&lt;1," ",IF(H36&lt;1," ",(J36-H36)/H36))</f>
        <v>2.3600000000000065E-2</v>
      </c>
    </row>
    <row r="37" spans="1:11" ht="15.75">
      <c r="A37" s="67"/>
      <c r="B37" s="141" t="s">
        <v>191</v>
      </c>
      <c r="C37" s="140"/>
      <c r="D37" s="140"/>
      <c r="E37" s="140"/>
      <c r="F37" s="1554"/>
      <c r="G37" s="1572">
        <v>119651.90000000001</v>
      </c>
      <c r="H37" s="1572">
        <v>109234.01302499999</v>
      </c>
      <c r="I37" s="631">
        <f>IF(G37&lt;1," ",IF(H37&lt;1," ",(H37-G37)/G37))</f>
        <v>-8.7068295405254875E-2</v>
      </c>
      <c r="J37" s="1572">
        <v>111811.93573239</v>
      </c>
      <c r="K37" s="486">
        <f>IF(H37&lt;1," ",IF(J37&lt;1," ",(J37-H37)/H37))</f>
        <v>2.3600000000000104E-2</v>
      </c>
    </row>
    <row r="38" spans="1:11" ht="15.75">
      <c r="A38" s="67"/>
      <c r="B38" s="141" t="s">
        <v>192</v>
      </c>
      <c r="C38" s="140"/>
      <c r="D38" s="140"/>
      <c r="E38" s="140"/>
      <c r="F38" s="1554"/>
      <c r="G38" s="1572">
        <v>86695.076666666646</v>
      </c>
      <c r="H38" s="1572">
        <v>83488.744297499972</v>
      </c>
      <c r="I38" s="631">
        <f>IF(G38&lt;1," ",IF(H38&lt;1," ",(H38-G38)/G38))</f>
        <v>-3.6984019075208631E-2</v>
      </c>
      <c r="J38" s="1572">
        <v>85459.078662920976</v>
      </c>
      <c r="K38" s="486">
        <f>IF(H38&lt;1," ",IF(J38&lt;1," ",(J38-H38)/H38))</f>
        <v>2.3600000000000055E-2</v>
      </c>
    </row>
    <row r="39" spans="1:11" ht="15.75">
      <c r="A39" s="67"/>
      <c r="B39" s="146" t="s">
        <v>193</v>
      </c>
      <c r="C39" s="140"/>
      <c r="D39" s="140"/>
      <c r="E39" s="140"/>
      <c r="F39" s="1554"/>
      <c r="G39" s="1572"/>
      <c r="H39" s="1572"/>
      <c r="I39" s="487" t="str">
        <f>IF(G39&lt;1," ",IF(H39&lt;1," ",(H39-G39)/G39))</f>
        <v xml:space="preserve"> </v>
      </c>
      <c r="J39" s="1572"/>
      <c r="K39" s="486" t="str">
        <f>IF(H39&lt;1," ",IF(J39&lt;1," ",(J39-H39)/H39))</f>
        <v xml:space="preserve"> </v>
      </c>
    </row>
    <row r="40" spans="1:11" ht="15.75">
      <c r="A40" s="67"/>
      <c r="B40" s="146" t="s">
        <v>194</v>
      </c>
      <c r="C40" s="140"/>
      <c r="D40" s="140"/>
      <c r="E40" s="140"/>
      <c r="F40" s="1554"/>
      <c r="G40" s="1572">
        <v>12138.656148886692</v>
      </c>
      <c r="H40" s="1572">
        <v>13389.079754601227</v>
      </c>
      <c r="I40" s="487">
        <f>IF(H40&lt;1," ",IF(G40&lt;1," ",(H40-G40)/G40))</f>
        <v>0.10301170000842466</v>
      </c>
      <c r="J40" s="1572">
        <v>13705.061349693251</v>
      </c>
      <c r="K40" s="486">
        <f>IF(J40&lt;1," ",IF(H40&lt;1," ",(J40-H40)/H40))</f>
        <v>2.3599948680822148E-2</v>
      </c>
    </row>
    <row r="41" spans="1:11" ht="15.75">
      <c r="A41" s="67"/>
      <c r="B41" s="141" t="s">
        <v>195</v>
      </c>
      <c r="C41" s="140"/>
      <c r="D41" s="140"/>
      <c r="E41" s="140"/>
      <c r="F41" s="1554"/>
      <c r="G41" s="1572">
        <v>8807.1374384236424</v>
      </c>
      <c r="H41" s="1572">
        <v>9492.7607361963182</v>
      </c>
      <c r="I41" s="487">
        <f>IF(H41&lt;1," ",IF(G41&lt;1," ",(H41-G41)/G41))</f>
        <v>7.7848597522896509E-2</v>
      </c>
      <c r="J41" s="1572">
        <v>9716.7791411042945</v>
      </c>
      <c r="K41" s="486">
        <f>IF(J41&lt;1," ",IF(H41&lt;1," ",(J41-H41)/H41))</f>
        <v>2.3598867719670222E-2</v>
      </c>
    </row>
    <row r="42" spans="1:11" ht="15.75">
      <c r="A42" s="67"/>
      <c r="B42" s="141" t="s">
        <v>196</v>
      </c>
      <c r="C42" s="140"/>
      <c r="D42" s="140"/>
      <c r="E42" s="140"/>
      <c r="F42" s="1554"/>
      <c r="G42" s="1362">
        <v>0.16919999999999999</v>
      </c>
      <c r="H42" s="1362">
        <v>0.191</v>
      </c>
      <c r="I42" s="487">
        <f>H42-G42</f>
        <v>2.1800000000000014E-2</v>
      </c>
      <c r="J42" s="1362">
        <v>0.191</v>
      </c>
      <c r="K42" s="486">
        <f>J42-H42</f>
        <v>0</v>
      </c>
    </row>
    <row r="43" spans="1:11" ht="15.75">
      <c r="A43" s="67"/>
      <c r="B43" s="1310"/>
      <c r="C43" s="152"/>
      <c r="D43" s="152"/>
      <c r="E43" s="152"/>
      <c r="F43" s="1311"/>
      <c r="G43" s="1312"/>
      <c r="H43" s="1312"/>
      <c r="I43" s="1313"/>
      <c r="J43" s="1312"/>
      <c r="K43" s="1582"/>
    </row>
    <row r="44" spans="1:11" ht="15.75">
      <c r="A44" s="67"/>
      <c r="B44" s="1688" t="s">
        <v>197</v>
      </c>
      <c r="C44" s="1688"/>
      <c r="D44" s="1688"/>
      <c r="E44" s="1688"/>
      <c r="F44" s="1688"/>
      <c r="G44" s="1688"/>
      <c r="H44" s="1688"/>
      <c r="I44" s="1688"/>
      <c r="J44" s="1688"/>
      <c r="K44" s="1689"/>
    </row>
    <row r="45" spans="1:11" ht="42" customHeight="1">
      <c r="A45" s="67"/>
      <c r="B45" s="1690"/>
      <c r="C45" s="1691"/>
      <c r="D45" s="1691"/>
      <c r="E45" s="1691"/>
      <c r="F45" s="1691"/>
      <c r="G45" s="1691"/>
      <c r="H45" s="1691"/>
      <c r="I45" s="1691"/>
      <c r="J45" s="1691"/>
      <c r="K45" s="1692"/>
    </row>
    <row r="46" spans="1:11" ht="15.75">
      <c r="A46" s="283"/>
      <c r="B46" s="1231"/>
      <c r="C46" s="1231"/>
      <c r="D46" s="1231"/>
      <c r="E46" s="1231"/>
      <c r="F46" s="1232"/>
      <c r="G46" s="1233"/>
      <c r="H46" s="1234"/>
      <c r="I46" s="1052"/>
      <c r="J46" s="1235"/>
      <c r="K46" s="312"/>
    </row>
    <row r="47" spans="1:11" ht="15.75">
      <c r="A47" s="686" t="s">
        <v>198</v>
      </c>
      <c r="C47" s="154"/>
      <c r="D47" s="154"/>
      <c r="E47" s="154"/>
      <c r="F47" s="151"/>
      <c r="G47" s="1349"/>
      <c r="H47" s="1349"/>
      <c r="I47" s="550"/>
      <c r="J47" s="677"/>
      <c r="K47" s="551"/>
    </row>
    <row r="48" spans="1:11" ht="15.75">
      <c r="A48" s="67"/>
      <c r="B48" s="146" t="s">
        <v>199</v>
      </c>
      <c r="C48" s="140"/>
      <c r="D48" s="140"/>
      <c r="E48" s="140"/>
      <c r="F48" s="1554"/>
      <c r="G48" s="1566">
        <v>34.5</v>
      </c>
      <c r="H48" s="1566">
        <v>34.5</v>
      </c>
      <c r="I48" s="1557">
        <f>SUM(H48-G48)</f>
        <v>0</v>
      </c>
      <c r="J48" s="1567">
        <v>34.5</v>
      </c>
      <c r="K48" s="1568">
        <f>SUM(J48-H48)</f>
        <v>0</v>
      </c>
    </row>
    <row r="49" spans="1:13" ht="15.75">
      <c r="A49" s="67"/>
      <c r="B49" s="146" t="s">
        <v>200</v>
      </c>
      <c r="C49" s="140"/>
      <c r="D49" s="140"/>
      <c r="E49" s="140"/>
      <c r="F49" s="1554"/>
      <c r="G49" s="1566">
        <v>7</v>
      </c>
      <c r="H49" s="1566">
        <v>7</v>
      </c>
      <c r="I49" s="1557">
        <f>SUM(H49-G49)</f>
        <v>0</v>
      </c>
      <c r="J49" s="1567">
        <v>7</v>
      </c>
      <c r="K49" s="1568">
        <f>SUM(J49-H49)</f>
        <v>0</v>
      </c>
    </row>
    <row r="50" spans="1:13" ht="15.75">
      <c r="A50" s="67"/>
      <c r="B50" s="141" t="s">
        <v>201</v>
      </c>
      <c r="C50" s="140"/>
      <c r="D50" s="140"/>
      <c r="E50" s="140"/>
      <c r="F50" s="1554"/>
      <c r="G50" s="1572">
        <v>42919.298603351956</v>
      </c>
      <c r="H50" s="1572">
        <v>29455.454545454544</v>
      </c>
      <c r="I50" s="631">
        <f>IF(G50&lt;1," ",IF(H50&lt;1," ",(H50-G50)/G50))</f>
        <v>-0.31370139997688357</v>
      </c>
      <c r="J50" s="1572">
        <v>30150.616883116883</v>
      </c>
      <c r="K50" s="486">
        <f>IF(H50&lt;1," ",IF(J50&lt;1," ",(J50-H50)/H50))</f>
        <v>2.3600462066867479E-2</v>
      </c>
    </row>
    <row r="51" spans="1:13" ht="15.75">
      <c r="A51" s="67"/>
      <c r="B51" s="141" t="s">
        <v>202</v>
      </c>
      <c r="C51" s="140"/>
      <c r="D51" s="140"/>
      <c r="E51" s="140"/>
      <c r="F51" s="1554"/>
      <c r="G51" s="1572">
        <v>95741.92</v>
      </c>
      <c r="H51" s="1572">
        <v>77590.713232000038</v>
      </c>
      <c r="I51" s="631">
        <f>IF(G51&lt;1," ",IF(H51&lt;1," ",(H51-G51)/G51))</f>
        <v>-0.18958473746922935</v>
      </c>
      <c r="J51" s="1867">
        <v>79421.854064275249</v>
      </c>
      <c r="K51" s="486">
        <f>IF(H51&lt;1," ",IF(J51&lt;1," ",(J51-H51)/H51))</f>
        <v>2.3600000000000121E-2</v>
      </c>
    </row>
    <row r="52" spans="1:13" ht="15.75">
      <c r="A52" s="67"/>
      <c r="B52" s="146" t="s">
        <v>203</v>
      </c>
      <c r="C52" s="140"/>
      <c r="D52" s="140"/>
      <c r="E52" s="140"/>
      <c r="F52" s="1554"/>
      <c r="G52" s="1572"/>
      <c r="H52" s="1572"/>
      <c r="I52" s="487" t="str">
        <f>IF(G52&lt;1," ",IF(H52&lt;1," ",(H52-G52)/G52))</f>
        <v xml:space="preserve"> </v>
      </c>
      <c r="J52" s="1572"/>
      <c r="K52" s="486" t="str">
        <f>IF(H52&lt;1," ",IF(J52&lt;1," ",(J52-H52)/H52))</f>
        <v xml:space="preserve"> </v>
      </c>
    </row>
    <row r="53" spans="1:13" ht="15.75">
      <c r="A53" s="67"/>
      <c r="B53" s="146" t="s">
        <v>204</v>
      </c>
      <c r="C53" s="140"/>
      <c r="D53" s="140"/>
      <c r="E53" s="140"/>
      <c r="F53" s="1554"/>
      <c r="G53" s="1572">
        <v>11812.055186985981</v>
      </c>
      <c r="H53" s="1572">
        <v>8295.3351955307262</v>
      </c>
      <c r="I53" s="487">
        <f>IF(G53&lt;1," ",IF(H53&lt;1," ",(H53-G53)/G53))</f>
        <v>-0.29772295640218704</v>
      </c>
      <c r="J53" s="1572">
        <v>8491.117318435754</v>
      </c>
      <c r="K53" s="486">
        <f>IF(H53&lt;1," ",IF(J53&lt;1," ",(J53-H53)/H53))</f>
        <v>2.3601472187707282E-2</v>
      </c>
    </row>
    <row r="54" spans="1:13" ht="15.75">
      <c r="A54" s="67"/>
      <c r="B54" s="141" t="s">
        <v>205</v>
      </c>
      <c r="C54" s="140"/>
      <c r="D54" s="140"/>
      <c r="E54" s="140"/>
      <c r="F54" s="1554"/>
      <c r="G54" s="1572">
        <v>6543.2490654205603</v>
      </c>
      <c r="H54" s="1572">
        <v>4591.9553072625704</v>
      </c>
      <c r="I54" s="487">
        <f>IF(G54&lt;1," ",IF(H54&lt;1," ",(H54-G54)/G54))</f>
        <v>-0.29821480714681808</v>
      </c>
      <c r="J54" s="1572">
        <v>4700.3351955307262</v>
      </c>
      <c r="K54" s="486">
        <f>IF(H54&lt;1," ",IF(J54&lt;1," ",(J54-H54)/H54))</f>
        <v>2.3602121757749631E-2</v>
      </c>
    </row>
    <row r="55" spans="1:13" ht="15.75">
      <c r="A55" s="67"/>
      <c r="B55" s="141" t="s">
        <v>206</v>
      </c>
      <c r="C55" s="140"/>
      <c r="D55" s="140"/>
      <c r="E55" s="140"/>
      <c r="F55" s="1554"/>
      <c r="G55" s="1362">
        <v>0.2291</v>
      </c>
      <c r="H55" s="1362">
        <v>0.26100000000000001</v>
      </c>
      <c r="I55" s="487">
        <f>H55-G55</f>
        <v>3.1900000000000012E-2</v>
      </c>
      <c r="J55" s="1362">
        <v>0.27100000000000002</v>
      </c>
      <c r="K55" s="486">
        <f>J55-H55</f>
        <v>1.0000000000000009E-2</v>
      </c>
    </row>
    <row r="56" spans="1:13" ht="5.25" customHeight="1">
      <c r="A56" s="67"/>
      <c r="B56" s="1310"/>
      <c r="C56" s="152"/>
      <c r="D56" s="152"/>
      <c r="E56" s="152"/>
      <c r="F56" s="1311"/>
      <c r="G56" s="1312"/>
      <c r="H56" s="1312"/>
      <c r="I56" s="1313"/>
      <c r="J56" s="1312"/>
      <c r="K56" s="1582"/>
    </row>
    <row r="57" spans="1:13" ht="15.75">
      <c r="A57" s="67"/>
      <c r="B57" s="1688" t="s">
        <v>197</v>
      </c>
      <c r="C57" s="1688"/>
      <c r="D57" s="1688"/>
      <c r="E57" s="1688"/>
      <c r="F57" s="1688"/>
      <c r="G57" s="1688"/>
      <c r="H57" s="1688"/>
      <c r="I57" s="1688"/>
      <c r="J57" s="1688"/>
      <c r="K57" s="1689"/>
    </row>
    <row r="58" spans="1:13" ht="42" customHeight="1">
      <c r="A58" s="67"/>
      <c r="B58" s="1690"/>
      <c r="C58" s="1691"/>
      <c r="D58" s="1691"/>
      <c r="E58" s="1691"/>
      <c r="F58" s="1691"/>
      <c r="G58" s="1691"/>
      <c r="H58" s="1691"/>
      <c r="I58" s="1691"/>
      <c r="J58" s="1691"/>
      <c r="K58" s="1692"/>
    </row>
    <row r="59" spans="1:13">
      <c r="A59" s="238"/>
      <c r="H59" s="1583"/>
      <c r="J59" s="1583"/>
      <c r="K59" s="470"/>
    </row>
    <row r="60" spans="1:13" ht="15.75">
      <c r="A60" s="686" t="s">
        <v>207</v>
      </c>
      <c r="K60" s="470"/>
      <c r="M60" s="1309"/>
    </row>
    <row r="61" spans="1:13" ht="15.75">
      <c r="A61" s="238"/>
      <c r="B61" s="1272" t="s">
        <v>208</v>
      </c>
      <c r="C61" s="1273"/>
      <c r="D61" s="145"/>
      <c r="E61" s="145"/>
      <c r="F61" s="1554"/>
      <c r="G61" s="1573">
        <v>6.2E-2</v>
      </c>
      <c r="H61" s="1362">
        <v>6.2E-2</v>
      </c>
      <c r="I61" s="487">
        <f>H61-G61</f>
        <v>0</v>
      </c>
      <c r="J61" s="1362">
        <v>6.2E-2</v>
      </c>
      <c r="K61" s="486">
        <f>J61-H61</f>
        <v>0</v>
      </c>
      <c r="M61" s="1309"/>
    </row>
    <row r="62" spans="1:13" ht="15.75">
      <c r="A62" s="238"/>
      <c r="B62" s="1272" t="s">
        <v>209</v>
      </c>
      <c r="C62" s="145"/>
      <c r="D62" s="145"/>
      <c r="E62" s="145"/>
      <c r="F62" s="1554"/>
      <c r="G62" s="1573">
        <v>1.4500000000000001E-2</v>
      </c>
      <c r="H62" s="1362">
        <v>1.4500000000000001E-2</v>
      </c>
      <c r="I62" s="487">
        <f>H62-G62</f>
        <v>0</v>
      </c>
      <c r="J62" s="1362">
        <v>1.4500000000000001E-2</v>
      </c>
      <c r="K62" s="486">
        <f>J62-H62</f>
        <v>0</v>
      </c>
      <c r="M62" s="1309"/>
    </row>
    <row r="63" spans="1:13" ht="15.75">
      <c r="A63" s="238"/>
      <c r="B63" s="1272" t="s">
        <v>210</v>
      </c>
      <c r="C63" s="145"/>
      <c r="D63" s="145"/>
      <c r="E63" s="145"/>
      <c r="F63" s="1554"/>
      <c r="G63" s="1433">
        <v>5.0000000000000001E-3</v>
      </c>
      <c r="H63" s="1362">
        <v>5.0000000000000001E-3</v>
      </c>
      <c r="I63" s="487">
        <f>H63-G63</f>
        <v>0</v>
      </c>
      <c r="J63" s="1362">
        <v>5.0000000000000001E-3</v>
      </c>
      <c r="K63" s="486">
        <f>J63-H63</f>
        <v>0</v>
      </c>
      <c r="M63" s="1309"/>
    </row>
    <row r="64" spans="1:13" ht="15.75">
      <c r="A64" s="238"/>
      <c r="B64" s="1272" t="s">
        <v>211</v>
      </c>
      <c r="C64" s="145"/>
      <c r="D64" s="145"/>
      <c r="E64" s="145"/>
      <c r="F64" s="1554"/>
      <c r="G64" s="1599">
        <v>2.3E-2</v>
      </c>
      <c r="H64" s="1599">
        <v>2.3E-2</v>
      </c>
      <c r="I64" s="1574">
        <f>H64-G64</f>
        <v>0</v>
      </c>
      <c r="J64" s="1599">
        <v>2.3E-2</v>
      </c>
      <c r="K64" s="486">
        <f>J64-H64</f>
        <v>0</v>
      </c>
    </row>
    <row r="65" spans="1:11" ht="15.75">
      <c r="A65" s="283"/>
      <c r="B65" s="332"/>
      <c r="C65" s="332"/>
      <c r="D65" s="332"/>
      <c r="E65" s="332"/>
      <c r="F65" s="665"/>
      <c r="G65" s="1233"/>
      <c r="H65" s="1234"/>
      <c r="I65" s="1052"/>
      <c r="J65" s="1235"/>
      <c r="K65" s="669"/>
    </row>
    <row r="66" spans="1:11" ht="15.75">
      <c r="A66" s="684" t="s">
        <v>212</v>
      </c>
      <c r="B66" s="165"/>
      <c r="C66" s="165"/>
      <c r="D66" s="165"/>
      <c r="E66" s="165"/>
      <c r="F66" s="662"/>
      <c r="G66" s="1233"/>
      <c r="H66" s="1234"/>
      <c r="I66" s="550"/>
      <c r="J66" s="1592"/>
      <c r="K66" s="551"/>
    </row>
    <row r="67" spans="1:11" ht="15.75">
      <c r="A67" s="67"/>
      <c r="B67" s="1593" t="s">
        <v>213</v>
      </c>
      <c r="C67" s="140"/>
      <c r="D67" s="140"/>
      <c r="E67" s="140"/>
      <c r="F67" s="1554"/>
      <c r="G67" s="1572">
        <v>1152802.93</v>
      </c>
      <c r="H67" s="1572">
        <v>1375858.9886</v>
      </c>
      <c r="I67" s="487">
        <f>IF(G67&lt;1," ",IF(H67&lt;1," ",(H67-G67)/G67))</f>
        <v>0.19349019055668093</v>
      </c>
      <c r="J67" s="1572">
        <v>1403376.1683720001</v>
      </c>
      <c r="K67" s="486">
        <f>IF(H67&lt;1," ",IF(J67&lt;1," ",(J67-H67)/H67))</f>
        <v>2.0000000000000046E-2</v>
      </c>
    </row>
    <row r="68" spans="1:11" ht="15.75">
      <c r="A68" s="67"/>
      <c r="B68" s="146" t="s">
        <v>214</v>
      </c>
      <c r="C68" s="140"/>
      <c r="D68" s="140"/>
      <c r="E68" s="140"/>
      <c r="F68" s="1554"/>
      <c r="G68" s="1572">
        <v>225000</v>
      </c>
      <c r="H68" s="1572">
        <v>229500</v>
      </c>
      <c r="I68" s="487">
        <f>IF(G68&lt;1," ",IF(H68&lt;1," ",(H68-G68)/G68))</f>
        <v>0.02</v>
      </c>
      <c r="J68" s="1572">
        <v>184090</v>
      </c>
      <c r="K68" s="486">
        <f>IF(H68&lt;1," ",IF(J68&lt;1," ",(J68-H68)/H68))</f>
        <v>-0.19786492374727668</v>
      </c>
    </row>
    <row r="69" spans="1:11" ht="15.75">
      <c r="A69" s="67"/>
      <c r="B69" s="146" t="s">
        <v>215</v>
      </c>
      <c r="C69" s="140"/>
      <c r="D69" s="140"/>
      <c r="E69" s="140"/>
      <c r="F69" s="1554"/>
      <c r="G69" s="1572" t="s">
        <v>581</v>
      </c>
      <c r="H69" s="1572" t="s">
        <v>581</v>
      </c>
      <c r="I69" s="487" t="e">
        <f>IF(G69&lt;1," ",IF(H69&lt;1," ",(H69-G69)/G69))</f>
        <v>#VALUE!</v>
      </c>
      <c r="J69" s="1572" t="s">
        <v>581</v>
      </c>
      <c r="K69" s="486" t="e">
        <f>IF(H69&lt;1," ",IF(J69&lt;1," ",(J69-H69)/H69))</f>
        <v>#VALUE!</v>
      </c>
    </row>
    <row r="70" spans="1:11" ht="15.75">
      <c r="A70" s="67"/>
      <c r="B70" s="146" t="s">
        <v>217</v>
      </c>
      <c r="C70" s="140"/>
      <c r="D70" s="140"/>
      <c r="E70" s="140"/>
      <c r="F70" s="1554"/>
      <c r="G70" s="1572"/>
      <c r="H70" s="1572"/>
      <c r="I70" s="487" t="str">
        <f>IF(G70&lt;1," ",IF(H70&lt;1," ",(H70-G70)/G70))</f>
        <v xml:space="preserve"> </v>
      </c>
      <c r="J70" s="1572"/>
      <c r="K70" s="486" t="str">
        <f>IF(H70&lt;1," ",IF(J70&lt;1," ",(J70-H70)/H70))</f>
        <v xml:space="preserve"> </v>
      </c>
    </row>
    <row r="71" spans="1:11" ht="10.5" customHeight="1">
      <c r="A71" s="67"/>
      <c r="B71" s="1310"/>
      <c r="C71" s="152"/>
      <c r="D71" s="152"/>
      <c r="E71" s="152"/>
      <c r="F71" s="1311"/>
      <c r="G71" s="1312"/>
      <c r="H71" s="1312"/>
      <c r="I71" s="1313"/>
      <c r="J71" s="1312"/>
      <c r="K71" s="1582"/>
    </row>
    <row r="72" spans="1:11" ht="15.75">
      <c r="A72" s="67"/>
      <c r="B72" s="1688" t="s">
        <v>218</v>
      </c>
      <c r="C72" s="1688"/>
      <c r="D72" s="1688"/>
      <c r="E72" s="1688"/>
      <c r="F72" s="1688"/>
      <c r="G72" s="1688"/>
      <c r="H72" s="1688"/>
      <c r="I72" s="1688"/>
      <c r="J72" s="1688"/>
      <c r="K72" s="1689"/>
    </row>
    <row r="73" spans="1:11" ht="42" customHeight="1">
      <c r="A73" s="67"/>
      <c r="B73" s="1690"/>
      <c r="C73" s="1691"/>
      <c r="D73" s="1691"/>
      <c r="E73" s="1691"/>
      <c r="F73" s="1691"/>
      <c r="G73" s="1691"/>
      <c r="H73" s="1691"/>
      <c r="I73" s="1691"/>
      <c r="J73" s="1691"/>
      <c r="K73" s="1692"/>
    </row>
    <row r="74" spans="1:11" ht="10.5" customHeight="1">
      <c r="A74" s="1314"/>
      <c r="B74" s="1315"/>
      <c r="C74" s="1315"/>
      <c r="D74" s="1315"/>
      <c r="E74" s="1315"/>
      <c r="F74" s="665"/>
      <c r="G74" s="1316"/>
      <c r="H74" s="1317"/>
      <c r="I74" s="1318"/>
      <c r="J74" s="1319"/>
      <c r="K74" s="1320"/>
    </row>
    <row r="75" spans="1:11" ht="15.75">
      <c r="A75" s="305" t="s">
        <v>219</v>
      </c>
      <c r="C75" s="1"/>
      <c r="D75" s="1"/>
      <c r="E75" s="1"/>
      <c r="F75" s="151"/>
      <c r="G75" s="1594"/>
      <c r="H75" s="1594"/>
      <c r="I75" s="158"/>
      <c r="J75" s="1594"/>
      <c r="K75" s="1322"/>
    </row>
    <row r="76" spans="1:11" ht="15.75">
      <c r="A76" s="67"/>
      <c r="B76" s="690">
        <v>0.01</v>
      </c>
      <c r="C76" s="140" t="s">
        <v>220</v>
      </c>
      <c r="D76" s="140"/>
      <c r="E76" s="140"/>
      <c r="F76" s="1554"/>
      <c r="G76" s="1584">
        <f>B76*('2nd Interim-Summary MYP'!H13+'2nd Interim-Summary MYP'!H14+'2nd Interim-Summary MYP'!H15+'2nd Interim-Summary MYP'!H16)</f>
        <v>68269.86</v>
      </c>
      <c r="H76" s="1584">
        <f>B76*('2nd Interim-Summary MYP'!J13+'2nd Interim-Summary MYP'!J14+'2nd Interim-Summary MYP'!J15+'2nd Interim-Summary MYP'!J16)</f>
        <v>72504.400000000009</v>
      </c>
      <c r="I76" s="297">
        <f>IF(G76&lt;1," ",IF(H76&lt;1," ",(H76-G76)/G76))</f>
        <v>6.2026493096660931E-2</v>
      </c>
      <c r="J76" s="1584">
        <f>B76*('2nd Interim-Summary MYP'!L13+'2nd Interim-Summary MYP'!L14+'2nd Interim-Summary MYP'!L15+'2nd Interim-Summary MYP'!L16)</f>
        <v>74793.790000000008</v>
      </c>
      <c r="K76" s="923">
        <f>IF(H76&lt;1," ",IF(J76&lt;1," ",(J76-H76)/H76))</f>
        <v>3.157587677437506E-2</v>
      </c>
    </row>
    <row r="77" spans="1:11" ht="15.75">
      <c r="A77" s="67"/>
      <c r="B77" s="153"/>
      <c r="C77" s="140" t="s">
        <v>221</v>
      </c>
      <c r="D77" s="140"/>
      <c r="E77" s="140"/>
      <c r="F77" s="1554"/>
      <c r="G77" s="1576">
        <v>226592</v>
      </c>
      <c r="H77" s="1576">
        <v>181123.84</v>
      </c>
      <c r="I77" s="487">
        <f>IF(G77&lt;1," ",IF(H77&lt;1," ",(H77-G77)/G77))</f>
        <v>-0.20066092359836182</v>
      </c>
      <c r="J77" s="1576">
        <v>184746.3168</v>
      </c>
      <c r="K77" s="486">
        <f>IF(H77&lt;1," ",IF(J77&lt;1," ",(J77-H77)/H77))</f>
        <v>2.0000000000000021E-2</v>
      </c>
    </row>
    <row r="78" spans="1:11" ht="15.75">
      <c r="A78" s="67"/>
      <c r="B78" s="146"/>
      <c r="C78" s="140" t="s">
        <v>222</v>
      </c>
      <c r="D78" s="140"/>
      <c r="E78" s="140"/>
      <c r="F78" s="1554"/>
      <c r="G78" s="1576"/>
      <c r="H78" s="1576"/>
      <c r="I78" s="487" t="str">
        <f>IF(G78&lt;1," ",IF(H78&lt;1," ",(H78-G78)/G78))</f>
        <v xml:space="preserve"> </v>
      </c>
      <c r="J78" s="1576"/>
      <c r="K78" s="486" t="str">
        <f>IF(H78&lt;1," ",IF(J78&lt;1," ",(J78-H78)/H78))</f>
        <v xml:space="preserve"> </v>
      </c>
    </row>
    <row r="79" spans="1:11" ht="11.25" customHeight="1">
      <c r="A79" s="283"/>
      <c r="B79" s="332"/>
      <c r="C79" s="332"/>
      <c r="D79" s="332"/>
      <c r="E79" s="332"/>
      <c r="F79" s="665"/>
      <c r="G79" s="666"/>
      <c r="H79" s="667"/>
      <c r="I79" s="493"/>
      <c r="J79" s="668"/>
      <c r="K79" s="669"/>
    </row>
    <row r="80" spans="1:11" ht="15.75">
      <c r="A80" s="684" t="s">
        <v>548</v>
      </c>
      <c r="C80" s="154"/>
      <c r="D80" s="154"/>
      <c r="E80" s="154"/>
      <c r="F80" s="151"/>
      <c r="G80" s="678"/>
      <c r="H80" s="678"/>
      <c r="I80" s="679"/>
      <c r="J80" s="678"/>
      <c r="K80" s="680"/>
    </row>
    <row r="81" spans="1:11" ht="15.75">
      <c r="A81" s="286"/>
      <c r="B81" s="1694"/>
      <c r="C81" s="1694"/>
      <c r="D81" s="1694"/>
      <c r="E81" s="1694"/>
      <c r="F81" s="1694"/>
      <c r="G81" s="1576"/>
      <c r="H81" s="1576"/>
      <c r="I81" s="1577" t="str">
        <f t="shared" ref="I81:I88" si="0">IF(G81&lt;1," ",IF(H81&lt;1," ",(H81-G81)/G81))</f>
        <v xml:space="preserve"> </v>
      </c>
      <c r="J81" s="1576"/>
      <c r="K81" s="605" t="str">
        <f t="shared" ref="K81:K88" si="1">IF(H81&lt;1," ",IF(J81&lt;1," ",(J81-H81)/H81))</f>
        <v xml:space="preserve"> </v>
      </c>
    </row>
    <row r="82" spans="1:11" ht="15.75">
      <c r="A82" s="286"/>
      <c r="B82" s="1694"/>
      <c r="C82" s="1694"/>
      <c r="D82" s="1694"/>
      <c r="E82" s="1694"/>
      <c r="F82" s="1694"/>
      <c r="G82" s="1576"/>
      <c r="H82" s="1576"/>
      <c r="I82" s="487" t="str">
        <f t="shared" si="0"/>
        <v xml:space="preserve"> </v>
      </c>
      <c r="J82" s="1576"/>
      <c r="K82" s="486" t="str">
        <f t="shared" si="1"/>
        <v xml:space="preserve"> </v>
      </c>
    </row>
    <row r="83" spans="1:11" ht="15.75">
      <c r="A83" s="286"/>
      <c r="B83" s="1694"/>
      <c r="C83" s="1694"/>
      <c r="D83" s="1694"/>
      <c r="E83" s="1694"/>
      <c r="F83" s="1694"/>
      <c r="G83" s="1576"/>
      <c r="H83" s="1576"/>
      <c r="I83" s="487" t="str">
        <f t="shared" si="0"/>
        <v xml:space="preserve"> </v>
      </c>
      <c r="J83" s="1576"/>
      <c r="K83" s="486" t="str">
        <f t="shared" si="1"/>
        <v xml:space="preserve"> </v>
      </c>
    </row>
    <row r="84" spans="1:11" ht="15.75">
      <c r="A84" s="286"/>
      <c r="B84" s="1694"/>
      <c r="C84" s="1694"/>
      <c r="D84" s="1694"/>
      <c r="E84" s="1694"/>
      <c r="F84" s="1694"/>
      <c r="G84" s="1576"/>
      <c r="H84" s="1576"/>
      <c r="I84" s="487" t="str">
        <f t="shared" si="0"/>
        <v xml:space="preserve"> </v>
      </c>
      <c r="J84" s="1576"/>
      <c r="K84" s="486" t="str">
        <f t="shared" si="1"/>
        <v xml:space="preserve"> </v>
      </c>
    </row>
    <row r="85" spans="1:11" ht="15.75">
      <c r="A85" s="286"/>
      <c r="B85" s="1694"/>
      <c r="C85" s="1694"/>
      <c r="D85" s="1694"/>
      <c r="E85" s="1694"/>
      <c r="F85" s="1694"/>
      <c r="G85" s="1576"/>
      <c r="H85" s="1576"/>
      <c r="I85" s="487" t="str">
        <f t="shared" si="0"/>
        <v xml:space="preserve"> </v>
      </c>
      <c r="J85" s="1576"/>
      <c r="K85" s="486" t="str">
        <f t="shared" si="1"/>
        <v xml:space="preserve"> </v>
      </c>
    </row>
    <row r="86" spans="1:11" ht="15.75">
      <c r="A86" s="286"/>
      <c r="B86" s="1694"/>
      <c r="C86" s="1694"/>
      <c r="D86" s="1694"/>
      <c r="E86" s="1694"/>
      <c r="F86" s="1694"/>
      <c r="G86" s="1576"/>
      <c r="H86" s="1576"/>
      <c r="I86" s="487" t="str">
        <f t="shared" si="0"/>
        <v xml:space="preserve"> </v>
      </c>
      <c r="J86" s="1576"/>
      <c r="K86" s="486" t="str">
        <f t="shared" si="1"/>
        <v xml:space="preserve"> </v>
      </c>
    </row>
    <row r="87" spans="1:11" ht="15.75">
      <c r="A87" s="286"/>
      <c r="B87" s="1694"/>
      <c r="C87" s="1694"/>
      <c r="D87" s="1694"/>
      <c r="E87" s="1694"/>
      <c r="F87" s="1694"/>
      <c r="G87" s="1578"/>
      <c r="H87" s="1578"/>
      <c r="I87" s="487" t="str">
        <f t="shared" si="0"/>
        <v xml:space="preserve"> </v>
      </c>
      <c r="J87" s="1578"/>
      <c r="K87" s="486" t="str">
        <f t="shared" si="1"/>
        <v xml:space="preserve"> </v>
      </c>
    </row>
    <row r="88" spans="1:11" ht="16.5" thickBot="1">
      <c r="A88" s="287"/>
      <c r="B88" s="1695"/>
      <c r="C88" s="1695"/>
      <c r="D88" s="1695"/>
      <c r="E88" s="1695"/>
      <c r="F88" s="1695"/>
      <c r="G88" s="1579"/>
      <c r="H88" s="1579"/>
      <c r="I88" s="1580" t="str">
        <f t="shared" si="0"/>
        <v xml:space="preserve"> </v>
      </c>
      <c r="J88" s="1579"/>
      <c r="K88" s="1581" t="str">
        <f t="shared" si="1"/>
        <v xml:space="preserve"> </v>
      </c>
    </row>
  </sheetData>
  <sheetProtection password="CC5F" sheet="1" objects="1" scenarios="1"/>
  <mergeCells count="18">
    <mergeCell ref="B88:F88"/>
    <mergeCell ref="B86:F86"/>
    <mergeCell ref="B87:F87"/>
    <mergeCell ref="B82:F82"/>
    <mergeCell ref="B83:F83"/>
    <mergeCell ref="A1:F1"/>
    <mergeCell ref="A2:F2"/>
    <mergeCell ref="A3:F3"/>
    <mergeCell ref="B84:F84"/>
    <mergeCell ref="B85:F85"/>
    <mergeCell ref="B81:F81"/>
    <mergeCell ref="B44:K44"/>
    <mergeCell ref="B45:K45"/>
    <mergeCell ref="B57:K57"/>
    <mergeCell ref="B58:K58"/>
    <mergeCell ref="A4:K4"/>
    <mergeCell ref="B72:K72"/>
    <mergeCell ref="B73:K73"/>
  </mergeCells>
  <conditionalFormatting sqref="J21">
    <cfRule type="containsText" dxfId="56" priority="1" stopIfTrue="1" operator="containsText" text="Missing">
      <formula>NOT(ISERROR(SEARCH("Missing",J21)))</formula>
    </cfRule>
    <cfRule type="containsText" dxfId="55" priority="2" stopIfTrue="1" operator="containsText" text="Missing Data ADA Tab, cell G10">
      <formula>NOT(ISERROR(SEARCH("Missing Data ADA Tab, cell G10",J21)))</formula>
    </cfRule>
    <cfRule type="containsText" dxfId="54" priority="3" stopIfTrue="1" operator="containsText" text="Missing Data ADA Tab cell G10">
      <formula>NOT(ISERROR(SEARCH("Missing Data ADA Tab cell G10",J21)))</formula>
    </cfRule>
  </conditionalFormatting>
  <conditionalFormatting sqref="G21:H21 J21">
    <cfRule type="cellIs" dxfId="53" priority="17" stopIfTrue="1" operator="equal">
      <formula>"Cell G11 can NOT be blank"</formula>
    </cfRule>
  </conditionalFormatting>
  <conditionalFormatting sqref="G21">
    <cfRule type="containsText" dxfId="52" priority="9" stopIfTrue="1" operator="containsText" text="Missing">
      <formula>NOT(ISERROR(SEARCH("Missing",G21)))</formula>
    </cfRule>
    <cfRule type="containsText" dxfId="51" priority="15" stopIfTrue="1" operator="containsText" text="Missing Data ADA Tab, cell G10">
      <formula>NOT(ISERROR(SEARCH("Missing Data ADA Tab, cell G10",G21)))</formula>
    </cfRule>
    <cfRule type="containsText" dxfId="50" priority="16" stopIfTrue="1" operator="containsText" text="Missing Data ADA Tab cell G10">
      <formula>NOT(ISERROR(SEARCH("Missing Data ADA Tab cell G10",G21)))</formula>
    </cfRule>
  </conditionalFormatting>
  <conditionalFormatting sqref="H21">
    <cfRule type="containsText" dxfId="49" priority="13" stopIfTrue="1" operator="containsText" text="Missing Data ADA Tab, cell G10">
      <formula>NOT(ISERROR(SEARCH("Missing Data ADA Tab, cell G10",H21)))</formula>
    </cfRule>
    <cfRule type="containsText" dxfId="48" priority="14" stopIfTrue="1" operator="containsText" text="Missing Data ADA Tab cell G10">
      <formula>NOT(ISERROR(SEARCH("Missing Data ADA Tab cell G10",H21)))</formula>
    </cfRule>
  </conditionalFormatting>
  <conditionalFormatting sqref="J21">
    <cfRule type="containsText" dxfId="47" priority="11" stopIfTrue="1" operator="containsText" text="Missing Data ADA Tab, cell G10">
      <formula>NOT(ISERROR(SEARCH("Missing Data ADA Tab, cell G10",J21)))</formula>
    </cfRule>
    <cfRule type="containsText" dxfId="46" priority="12" stopIfTrue="1" operator="containsText" text="Missing Data ADA Tab cell G10">
      <formula>NOT(ISERROR(SEARCH("Missing Data ADA Tab cell G10",J21)))</formula>
    </cfRule>
  </conditionalFormatting>
  <conditionalFormatting sqref="A1:A3">
    <cfRule type="containsText" dxfId="45" priority="10" stopIfTrue="1" operator="containsText" text="Enter">
      <formula>NOT(ISERROR(SEARCH("Enter",A1)))</formula>
    </cfRule>
  </conditionalFormatting>
  <conditionalFormatting sqref="H21">
    <cfRule type="containsText" dxfId="44" priority="6" stopIfTrue="1" operator="containsText" text="Missing">
      <formula>NOT(ISERROR(SEARCH("Missing",H21)))</formula>
    </cfRule>
    <cfRule type="containsText" dxfId="43" priority="7" stopIfTrue="1" operator="containsText" text="Missing Data ADA Tab, cell G10">
      <formula>NOT(ISERROR(SEARCH("Missing Data ADA Tab, cell G10",H21)))</formula>
    </cfRule>
    <cfRule type="containsText" dxfId="42" priority="8" stopIfTrue="1" operator="containsText" text="Missing Data ADA Tab cell G10">
      <formula>NOT(ISERROR(SEARCH("Missing Data ADA Tab cell G10",H21)))</formula>
    </cfRule>
  </conditionalFormatting>
  <conditionalFormatting sqref="J21">
    <cfRule type="containsText" dxfId="41" priority="4" stopIfTrue="1" operator="containsText" text="Missing Data ADA Tab, cell G10">
      <formula>NOT(ISERROR(SEARCH("Missing Data ADA Tab, cell G10",J21)))</formula>
    </cfRule>
    <cfRule type="containsText" dxfId="40" priority="5" stopIfTrue="1" operator="containsText" text="Missing Data ADA Tab cell G10">
      <formula>NOT(ISERROR(SEARCH("Missing Data ADA Tab cell G10",J21)))</formula>
    </cfRule>
  </conditionalFormatting>
  <printOptions horizontalCentered="1"/>
  <pageMargins left="0.25" right="0.25" top="0.75" bottom="0.75" header="0.3" footer="0.3"/>
  <pageSetup scale="49" orientation="portrait" r:id="rId1"/>
  <headerFooter alignWithMargins="0"/>
  <customProperties>
    <customPr name="DrillPoint.FROID" r:id="rId2"/>
    <customPr name="DrillPoint.Mode" r:id="rId3"/>
    <customPr name="DrillPoint.Subsheet" r:id="rId4"/>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tabColor theme="5"/>
    <pageSetUpPr fitToPage="1"/>
  </sheetPr>
  <dimension ref="A1:N239"/>
  <sheetViews>
    <sheetView showGridLines="0" zoomScaleNormal="100" workbookViewId="0">
      <pane xSplit="4" ySplit="10" topLeftCell="E47" activePane="bottomRight" state="frozen"/>
      <selection pane="topRight" activeCell="J13" sqref="J13"/>
      <selection pane="bottomLeft" activeCell="J13" sqref="J13"/>
      <selection pane="bottomRight" activeCell="G53" sqref="G53"/>
    </sheetView>
  </sheetViews>
  <sheetFormatPr defaultRowHeight="12.75"/>
  <cols>
    <col min="1" max="1" width="5.42578125" customWidth="1"/>
    <col min="2" max="2" width="3" customWidth="1"/>
    <col min="3" max="3" width="85.140625" customWidth="1"/>
    <col min="4" max="4" width="11" customWidth="1"/>
    <col min="5" max="8" width="14.5703125" customWidth="1"/>
    <col min="9" max="9" width="10.5703125" customWidth="1"/>
    <col min="10" max="10" width="14.5703125" customWidth="1"/>
    <col min="11" max="11" width="10.5703125" customWidth="1"/>
    <col min="12" max="12" width="14.5703125" customWidth="1"/>
    <col min="13" max="13" width="10.5703125" customWidth="1"/>
    <col min="14" max="14" width="60.140625" style="1212" customWidth="1"/>
    <col min="15" max="33" width="9.140625" customWidth="1"/>
  </cols>
  <sheetData>
    <row r="1" spans="1:13" ht="15.75">
      <c r="A1" s="1636" t="str">
        <f>IF('INTERIM-CERTIFICATION'!$M$1="","CHARTER NAME: Enter Charter Name on INTERIM-CERTIFICATION Worksheet",(CONCATENATE("CHARTER NAME: ",'INTERIM-CERTIFICATION'!$M$1)))</f>
        <v>CHARTER NAME: Encore High School -</v>
      </c>
      <c r="B1" s="1636"/>
      <c r="C1" s="1636"/>
      <c r="D1" s="208"/>
      <c r="E1" s="11"/>
      <c r="F1" s="11"/>
      <c r="G1" s="157"/>
      <c r="H1" s="156"/>
      <c r="I1" s="1"/>
      <c r="J1" s="158"/>
      <c r="K1" s="1"/>
      <c r="L1" s="158"/>
      <c r="M1" s="1"/>
    </row>
    <row r="2" spans="1:13" ht="15.75">
      <c r="A2" s="1636" t="str">
        <f>IF('INTERIM-CERTIFICATION'!$M$2="","CDS #: Enter Charter CDS # on INTERIM-CERTIFICATION Worksheet",(_xlfn.CONCAT("CDS #: ",'INTERIM-CERTIFICATION'!$M$2)))</f>
        <v>CDS #: 35-75044-01166707</v>
      </c>
      <c r="B2" s="1636"/>
      <c r="C2" s="1636"/>
      <c r="D2" s="208"/>
      <c r="E2" s="11"/>
      <c r="F2" s="81"/>
      <c r="G2" s="157"/>
      <c r="H2" s="157"/>
      <c r="I2" s="1"/>
      <c r="J2" s="158"/>
      <c r="K2" s="1"/>
      <c r="L2" s="158"/>
      <c r="M2" s="1"/>
    </row>
    <row r="3" spans="1:13" ht="15.75">
      <c r="A3" s="1636" t="str">
        <f>IF('INTERIM-CERTIFICATION'!$M$5="","CHARTER #: Enter Charter # on INTERIM-CERTIFICATION Worksheet",(_xlfn.CONCAT("CHARTER #: ",'INTERIM-CERTIFICATION'!$M$5)))</f>
        <v>CHARTER #: 971</v>
      </c>
      <c r="B3" s="1636"/>
      <c r="C3" s="1636"/>
      <c r="D3" s="208"/>
      <c r="E3" s="11"/>
      <c r="F3" s="11"/>
      <c r="G3" s="156"/>
      <c r="H3" s="156"/>
      <c r="I3" s="1"/>
      <c r="J3" s="158"/>
      <c r="K3" s="1"/>
      <c r="L3" s="158"/>
      <c r="M3" s="1"/>
    </row>
    <row r="4" spans="1:13" ht="15.75">
      <c r="A4" s="2"/>
      <c r="B4" s="52"/>
      <c r="C4" s="52"/>
      <c r="D4" s="159" t="str">
        <f>'2nd Interim-ADA'!J4</f>
        <v>Fiscal Year 2021-22 Second Interim Report</v>
      </c>
      <c r="E4" s="52"/>
      <c r="F4" s="52"/>
      <c r="G4" s="52"/>
      <c r="H4" s="52"/>
      <c r="I4" s="52"/>
      <c r="J4" s="52"/>
      <c r="K4" s="52"/>
      <c r="L4" s="52"/>
      <c r="M4" s="52"/>
    </row>
    <row r="5" spans="1:13" ht="15.75">
      <c r="A5" s="11"/>
      <c r="B5" s="11"/>
      <c r="C5" s="52"/>
      <c r="D5" s="159" t="s">
        <v>227</v>
      </c>
      <c r="E5" s="52"/>
      <c r="F5" s="52"/>
      <c r="G5" s="160"/>
      <c r="H5" s="160"/>
      <c r="I5" s="1"/>
      <c r="J5" s="161"/>
      <c r="K5" s="1"/>
      <c r="L5" s="161"/>
      <c r="M5" s="1"/>
    </row>
    <row r="6" spans="1:13" ht="16.5" thickBot="1">
      <c r="A6" s="1089" t="str">
        <f>Instructions!H1</f>
        <v>Rev. 5/28/2021</v>
      </c>
      <c r="B6" s="11"/>
      <c r="C6" s="11"/>
      <c r="D6" s="11"/>
      <c r="E6" s="11"/>
      <c r="F6" s="11"/>
      <c r="G6" s="156"/>
      <c r="H6" s="156"/>
      <c r="I6" s="1"/>
      <c r="J6" s="158"/>
      <c r="K6" s="1"/>
      <c r="L6" s="158"/>
      <c r="M6" s="1"/>
    </row>
    <row r="7" spans="1:13" ht="15.75">
      <c r="A7" s="241"/>
      <c r="B7" s="236"/>
      <c r="C7" s="236"/>
      <c r="D7" s="298"/>
      <c r="E7" s="299"/>
      <c r="F7" s="300" t="s">
        <v>549</v>
      </c>
      <c r="G7" s="300" t="s">
        <v>582</v>
      </c>
      <c r="H7" s="300" t="str">
        <f>$G$7</f>
        <v>Second Interim</v>
      </c>
      <c r="I7" s="299"/>
      <c r="J7" s="301" t="str">
        <f>$G$7</f>
        <v>Second Interim</v>
      </c>
      <c r="K7" s="299"/>
      <c r="L7" s="301" t="str">
        <f>$G$7</f>
        <v>Second Interim</v>
      </c>
      <c r="M7" s="460"/>
    </row>
    <row r="8" spans="1:13" ht="15.75">
      <c r="A8" s="1696" t="s">
        <v>228</v>
      </c>
      <c r="B8" s="1697"/>
      <c r="C8" s="1697"/>
      <c r="D8" s="53"/>
      <c r="E8" s="13" t="s">
        <v>230</v>
      </c>
      <c r="F8" s="162" t="s">
        <v>232</v>
      </c>
      <c r="G8" s="453" t="s">
        <v>550</v>
      </c>
      <c r="H8" s="162" t="s">
        <v>232</v>
      </c>
      <c r="I8" s="13" t="s">
        <v>231</v>
      </c>
      <c r="J8" s="302" t="s">
        <v>232</v>
      </c>
      <c r="K8" s="13" t="s">
        <v>231</v>
      </c>
      <c r="L8" s="302" t="s">
        <v>232</v>
      </c>
      <c r="M8" s="461" t="s">
        <v>231</v>
      </c>
    </row>
    <row r="9" spans="1:13" ht="15.75">
      <c r="A9" s="67"/>
      <c r="B9" s="1"/>
      <c r="C9" s="1"/>
      <c r="D9" s="53"/>
      <c r="E9" s="13" t="s">
        <v>234</v>
      </c>
      <c r="F9" s="162" t="s">
        <v>234</v>
      </c>
      <c r="G9" s="162" t="s">
        <v>583</v>
      </c>
      <c r="H9" s="162" t="s">
        <v>234</v>
      </c>
      <c r="I9" s="13" t="s">
        <v>161</v>
      </c>
      <c r="J9" s="302" t="s">
        <v>234</v>
      </c>
      <c r="K9" s="13" t="s">
        <v>161</v>
      </c>
      <c r="L9" s="302" t="s">
        <v>234</v>
      </c>
      <c r="M9" s="461" t="s">
        <v>161</v>
      </c>
    </row>
    <row r="10" spans="1:13" ht="16.5" thickBot="1">
      <c r="A10" s="303"/>
      <c r="B10" s="163"/>
      <c r="C10" s="163"/>
      <c r="D10" s="54"/>
      <c r="E10" s="14" t="str">
        <f>'Budget-Unrestricted MYP'!F10</f>
        <v>2021-22</v>
      </c>
      <c r="F10" s="164" t="str">
        <f>E10</f>
        <v>2021-22</v>
      </c>
      <c r="G10" s="654">
        <f>'Budget-DEBT'!D13+1</f>
        <v>2022</v>
      </c>
      <c r="H10" s="164" t="str">
        <f>F10</f>
        <v>2021-22</v>
      </c>
      <c r="I10" s="14"/>
      <c r="J10" s="304" t="str">
        <f>'Budget-Unrestricted MYP'!H10</f>
        <v>2022-23</v>
      </c>
      <c r="K10" s="14"/>
      <c r="L10" s="304" t="str">
        <f>'Budget-Unrestricted MYP'!J10</f>
        <v>2023-24</v>
      </c>
      <c r="M10" s="462"/>
    </row>
    <row r="11" spans="1:13" ht="16.5" thickTop="1">
      <c r="A11" s="305" t="s">
        <v>235</v>
      </c>
      <c r="B11" s="1"/>
      <c r="C11" s="1"/>
      <c r="D11" s="336"/>
      <c r="E11" s="12"/>
      <c r="F11" s="813"/>
      <c r="G11" s="813"/>
      <c r="H11" s="813"/>
      <c r="I11" s="846"/>
      <c r="J11" s="813"/>
      <c r="K11" s="851"/>
      <c r="L11" s="454"/>
      <c r="M11" s="856"/>
    </row>
    <row r="12" spans="1:13" ht="15.75">
      <c r="A12" s="305"/>
      <c r="B12" s="277" t="s">
        <v>236</v>
      </c>
      <c r="C12" s="146"/>
      <c r="D12" s="140"/>
      <c r="E12" s="337"/>
      <c r="F12" s="455"/>
      <c r="G12" s="455"/>
      <c r="H12" s="455"/>
      <c r="I12" s="847"/>
      <c r="J12" s="455"/>
      <c r="K12" s="852"/>
      <c r="L12" s="151"/>
      <c r="M12" s="857"/>
    </row>
    <row r="13" spans="1:13" ht="15.75">
      <c r="A13" s="305"/>
      <c r="B13" s="146"/>
      <c r="C13" s="279" t="s">
        <v>237</v>
      </c>
      <c r="D13" s="345">
        <v>8011</v>
      </c>
      <c r="E13" s="693">
        <f>'Budget-Unrestricted MYP'!F13</f>
        <v>6570869</v>
      </c>
      <c r="F13" s="1103">
        <f>'1st Interim-Unrestricted MYP'!G13</f>
        <v>7115528</v>
      </c>
      <c r="G13" s="691">
        <v>3159014</v>
      </c>
      <c r="H13" s="693">
        <f>'2nd Interim-Assumptions'!G11-H14-H16</f>
        <v>4141940</v>
      </c>
      <c r="I13" s="269">
        <f>IF(E13&lt;1," ",IF(H13&lt;1," ",(H13-E13)/E13))</f>
        <v>-0.3696511070301356</v>
      </c>
      <c r="J13" s="787">
        <f>'2nd Interim-Assumptions'!H11-J14-J16</f>
        <v>5150394</v>
      </c>
      <c r="K13" s="269">
        <f>IF(H13&lt;1," ",IF(J13&lt;1," ",(J13-H13)/H13))</f>
        <v>0.24347383110329943</v>
      </c>
      <c r="L13" s="693">
        <f>'2nd Interim-Assumptions'!J11-L14-L16</f>
        <v>5379333</v>
      </c>
      <c r="M13" s="306">
        <f>IF(J13&lt;1," ",IF(L13&lt;1," ",(L13-J13)/J13))</f>
        <v>4.4450774057285716E-2</v>
      </c>
    </row>
    <row r="14" spans="1:13" ht="15.75">
      <c r="A14" s="305"/>
      <c r="B14" s="146"/>
      <c r="C14" s="279" t="s">
        <v>239</v>
      </c>
      <c r="D14" s="345">
        <v>8012</v>
      </c>
      <c r="E14" s="693">
        <f>'Budget-Unrestricted MYP'!F14</f>
        <v>1743325</v>
      </c>
      <c r="F14" s="1186">
        <f>'1st Interim-Unrestricted MYP'!G14</f>
        <v>0</v>
      </c>
      <c r="G14" s="691">
        <v>1218979</v>
      </c>
      <c r="H14" s="863">
        <v>2446898</v>
      </c>
      <c r="I14" s="581">
        <f>IF(E14&lt;1," ",IF(H14&lt;1," ",(H14-E14)/E14))</f>
        <v>0.40358108786370872</v>
      </c>
      <c r="J14" s="754">
        <v>1860185</v>
      </c>
      <c r="K14" s="269">
        <f>IF(H14&lt;1," ",IF(J14&lt;1," ",(J14-H14)/H14))</f>
        <v>-0.23977828254385758</v>
      </c>
      <c r="L14" s="702">
        <v>1860185</v>
      </c>
      <c r="M14" s="306">
        <f>IF(J14&lt;1," ",IF(L14&lt;1," ",(L14-J14)/J14))</f>
        <v>0</v>
      </c>
    </row>
    <row r="15" spans="1:13" ht="15.75">
      <c r="A15" s="67"/>
      <c r="B15" s="146"/>
      <c r="C15" s="279" t="s">
        <v>240</v>
      </c>
      <c r="D15" s="345">
        <v>8019</v>
      </c>
      <c r="E15" s="1187">
        <f>'Budget-Unrestricted MYP'!F15</f>
        <v>0</v>
      </c>
      <c r="F15" s="1186">
        <f>'1st Interim-Unrestricted MYP'!G15</f>
        <v>0</v>
      </c>
      <c r="G15" s="691"/>
      <c r="H15" s="864">
        <v>0</v>
      </c>
      <c r="I15" s="581" t="str">
        <f>IF(E15&lt;1," ",IF(H15&lt;1," ",(H15-E15)/E15))</f>
        <v xml:space="preserve"> </v>
      </c>
      <c r="J15" s="814"/>
      <c r="K15" s="269" t="str">
        <f>IF(H15&lt;1," ",IF(J15&lt;1," ",(J15-H15)/H15))</f>
        <v xml:space="preserve"> </v>
      </c>
      <c r="L15" s="814"/>
      <c r="M15" s="306" t="str">
        <f>IF(J15&lt;1," ",IF(L15&lt;1," ",(L15-J15)/J15))</f>
        <v xml:space="preserve"> </v>
      </c>
    </row>
    <row r="16" spans="1:13" ht="15.75">
      <c r="A16" s="67"/>
      <c r="B16" s="146"/>
      <c r="C16" s="279" t="s">
        <v>241</v>
      </c>
      <c r="D16" s="345">
        <v>8096</v>
      </c>
      <c r="E16" s="1187">
        <f>'Budget-Unrestricted MYP'!F16</f>
        <v>295369</v>
      </c>
      <c r="F16" s="1186">
        <f>'1st Interim-Unrestricted MYP'!G16</f>
        <v>0</v>
      </c>
      <c r="G16" s="691">
        <v>186402</v>
      </c>
      <c r="H16" s="865">
        <v>238148</v>
      </c>
      <c r="I16" s="640">
        <f>IF(E16&lt;1," ",IF(H16&lt;1," ",(H16-E16)/E16))</f>
        <v>-0.1937271683893706</v>
      </c>
      <c r="J16" s="702">
        <v>239861</v>
      </c>
      <c r="K16" s="269">
        <f>IF(H16&lt;1," ",IF(J16&lt;1," ",(J16-H16)/H16))</f>
        <v>7.1930060298637825E-3</v>
      </c>
      <c r="L16" s="702">
        <v>239861</v>
      </c>
      <c r="M16" s="306">
        <f>IF(J16&lt;1," ",IF(L16&lt;1," ",(L16-J16)/J16))</f>
        <v>0</v>
      </c>
    </row>
    <row r="17" spans="1:13" ht="15.75">
      <c r="A17" s="67"/>
      <c r="B17" s="277" t="s">
        <v>242</v>
      </c>
      <c r="C17" s="277"/>
      <c r="D17" s="345" t="s">
        <v>243</v>
      </c>
      <c r="E17" s="1187">
        <f>'Budget-Unrestricted MYP'!F17</f>
        <v>0</v>
      </c>
      <c r="F17" s="1186">
        <f>'1st Interim-Unrestricted MYP'!G17</f>
        <v>0</v>
      </c>
      <c r="G17" s="753">
        <f>G84</f>
        <v>0</v>
      </c>
      <c r="H17" s="753">
        <f>H84</f>
        <v>0</v>
      </c>
      <c r="I17" s="269" t="str">
        <f>IF(E17&lt;1," ",IF(H17&lt;1," ",(H17-E17)/E17))</f>
        <v xml:space="preserve"> </v>
      </c>
      <c r="J17" s="290">
        <f>J84</f>
        <v>0</v>
      </c>
      <c r="K17" s="269" t="str">
        <f>IF(H17&lt;1," ",IF(J17&lt;1," ",(J17-H17)/H17))</f>
        <v xml:space="preserve"> </v>
      </c>
      <c r="L17" s="753">
        <f>L84</f>
        <v>0</v>
      </c>
      <c r="M17" s="306" t="str">
        <f>IF(J17&lt;1," ",IF(L17&lt;1," ",(L17-J17)/J17))</f>
        <v xml:space="preserve"> </v>
      </c>
    </row>
    <row r="18" spans="1:13" ht="15.75">
      <c r="A18" s="67"/>
      <c r="B18" s="146" t="s">
        <v>244</v>
      </c>
      <c r="C18" s="140"/>
      <c r="D18" s="140"/>
      <c r="E18" s="576"/>
      <c r="F18" s="577"/>
      <c r="G18" s="578"/>
      <c r="H18" s="578"/>
      <c r="I18" s="582"/>
      <c r="J18" s="578"/>
      <c r="K18" s="582"/>
      <c r="L18" s="578"/>
      <c r="M18" s="586"/>
    </row>
    <row r="19" spans="1:13" ht="15.75">
      <c r="A19" s="67"/>
      <c r="B19" s="146"/>
      <c r="C19" s="279" t="s">
        <v>245</v>
      </c>
      <c r="D19" s="345">
        <v>8560</v>
      </c>
      <c r="E19" s="1187">
        <f>'Budget-Unrestricted MYP'!F19</f>
        <v>124721.05751999999</v>
      </c>
      <c r="F19" s="1186">
        <f>'1st Interim-Unrestricted MYP'!G19</f>
        <v>114262.96309679998</v>
      </c>
      <c r="G19" s="691">
        <v>66423.75</v>
      </c>
      <c r="H19" s="753">
        <f>H87</f>
        <v>110039.13552299999</v>
      </c>
      <c r="I19" s="269">
        <f>IF(E19&lt;1," ",IF(H19&lt;1," ",(H19-E19)/E19))</f>
        <v>-0.11771806853582553</v>
      </c>
      <c r="J19" s="290">
        <f>J87</f>
        <v>110830.78397999999</v>
      </c>
      <c r="K19" s="269">
        <f>IF(H19&lt;1," ",IF(J19&lt;1," ",(J19-H19)/H19))</f>
        <v>7.194244604316574E-3</v>
      </c>
      <c r="L19" s="753">
        <f>L87</f>
        <v>110830.78397999999</v>
      </c>
      <c r="M19" s="306">
        <f>IF(J19&lt;1," ",IF(L19&lt;1," ",(L19-J19)/J19))</f>
        <v>0</v>
      </c>
    </row>
    <row r="20" spans="1:13" ht="15.75">
      <c r="A20" s="67"/>
      <c r="B20" s="465"/>
      <c r="C20" s="466" t="s">
        <v>246</v>
      </c>
      <c r="D20" s="467">
        <v>8560</v>
      </c>
      <c r="E20" s="815"/>
      <c r="F20" s="816"/>
      <c r="G20" s="816"/>
      <c r="H20" s="815"/>
      <c r="I20" s="484"/>
      <c r="J20" s="820"/>
      <c r="K20" s="484"/>
      <c r="L20" s="815"/>
      <c r="M20" s="351"/>
    </row>
    <row r="21" spans="1:13" ht="15.75">
      <c r="A21" s="67"/>
      <c r="B21" s="146"/>
      <c r="C21" s="279" t="s">
        <v>247</v>
      </c>
      <c r="D21" s="345" t="s">
        <v>248</v>
      </c>
      <c r="E21" s="1187">
        <f>'Budget-Unrestricted MYP'!F21</f>
        <v>32543</v>
      </c>
      <c r="F21" s="1186">
        <f>'1st Interim-Unrestricted MYP'!G21</f>
        <v>32543</v>
      </c>
      <c r="G21" s="753">
        <f>G108</f>
        <v>104332.25</v>
      </c>
      <c r="H21" s="753">
        <f>H108</f>
        <v>0</v>
      </c>
      <c r="I21" s="269" t="str">
        <f>IF(E21&lt;1," ",IF(H21&lt;1," ",(H21-E21)/E21))</f>
        <v xml:space="preserve"> </v>
      </c>
      <c r="J21" s="290">
        <f>J108</f>
        <v>33350.066399999996</v>
      </c>
      <c r="K21" s="269" t="str">
        <f>IF(H21&lt;1," ",IF(J21&lt;1," ",(J21-H21)/H21))</f>
        <v xml:space="preserve"> </v>
      </c>
      <c r="L21" s="753">
        <f>L108</f>
        <v>34387.25346503999</v>
      </c>
      <c r="M21" s="306">
        <f>IF(J21&lt;1," ",IF(L21&lt;1," ",(L21-J21)/J21))</f>
        <v>3.1099999999999829E-2</v>
      </c>
    </row>
    <row r="22" spans="1:13" ht="15.75">
      <c r="A22" s="67"/>
      <c r="B22" s="146" t="s">
        <v>249</v>
      </c>
      <c r="C22" s="140"/>
      <c r="D22" s="140"/>
      <c r="E22" s="817"/>
      <c r="F22" s="818"/>
      <c r="G22" s="819"/>
      <c r="H22" s="819"/>
      <c r="I22" s="582"/>
      <c r="J22" s="819"/>
      <c r="K22" s="269"/>
      <c r="L22" s="753"/>
      <c r="M22" s="306"/>
    </row>
    <row r="23" spans="1:13" ht="15.75">
      <c r="A23" s="67"/>
      <c r="B23" s="146"/>
      <c r="C23" s="279" t="s">
        <v>250</v>
      </c>
      <c r="D23" s="345">
        <v>8660</v>
      </c>
      <c r="E23" s="1187">
        <f>'Budget-Unrestricted MYP'!F23</f>
        <v>0</v>
      </c>
      <c r="F23" s="1167">
        <f>'1st Interim-Unrestricted MYP'!G23</f>
        <v>0</v>
      </c>
      <c r="G23" s="785"/>
      <c r="H23" s="785">
        <v>0</v>
      </c>
      <c r="I23" s="269" t="str">
        <f>IF(E23&lt;1," ",IF(H23&lt;1," ",(H23-E23)/E23))</f>
        <v xml:space="preserve"> </v>
      </c>
      <c r="J23" s="788">
        <v>0</v>
      </c>
      <c r="K23" s="269" t="str">
        <f>IF(H23&lt;1," ",IF(J23&lt;1," ",(J23-H23)/H23))</f>
        <v xml:space="preserve"> </v>
      </c>
      <c r="L23" s="785">
        <v>0</v>
      </c>
      <c r="M23" s="306" t="str">
        <f>IF(J23&lt;1," ",IF(L23&lt;1," ",(L23-J23)/J23))</f>
        <v xml:space="preserve"> </v>
      </c>
    </row>
    <row r="24" spans="1:13" ht="15.75">
      <c r="A24" s="67"/>
      <c r="B24" s="465"/>
      <c r="C24" s="466" t="s">
        <v>251</v>
      </c>
      <c r="D24" s="467">
        <v>8792</v>
      </c>
      <c r="E24" s="791"/>
      <c r="F24" s="791"/>
      <c r="G24" s="815"/>
      <c r="H24" s="815"/>
      <c r="I24" s="484"/>
      <c r="J24" s="820"/>
      <c r="K24" s="484"/>
      <c r="L24" s="815"/>
      <c r="M24" s="351"/>
    </row>
    <row r="25" spans="1:13" ht="16.5" thickBot="1">
      <c r="A25" s="67"/>
      <c r="B25" s="896"/>
      <c r="C25" s="929" t="s">
        <v>252</v>
      </c>
      <c r="D25" s="930" t="s">
        <v>253</v>
      </c>
      <c r="E25" s="1188">
        <f>'Budget-Unrestricted MYP'!F25</f>
        <v>2000000</v>
      </c>
      <c r="F25" s="1189">
        <f>'1st Interim-Unrestricted MYP'!G25</f>
        <v>2012869</v>
      </c>
      <c r="G25" s="799">
        <f>G117</f>
        <v>2137693.84</v>
      </c>
      <c r="H25" s="799">
        <f>H117</f>
        <v>2148658</v>
      </c>
      <c r="I25" s="296">
        <f>IF(E25&lt;1," ",IF(H25&lt;1," ",(H25-E25)/E25))</f>
        <v>7.4329000000000006E-2</v>
      </c>
      <c r="J25" s="948">
        <f>J117</f>
        <v>51944.718399999663</v>
      </c>
      <c r="K25" s="296">
        <f>IF(H25&lt;1," ",IF(J25&lt;1," ",(J25-H25)/H25))</f>
        <v>-0.97582457589807237</v>
      </c>
      <c r="L25" s="799">
        <f>L117</f>
        <v>53560.199142239646</v>
      </c>
      <c r="M25" s="587">
        <f>IF(J25&lt;1," ",IF(L25&lt;1," ",(L25-J25)/J25))</f>
        <v>3.1099999999999867E-2</v>
      </c>
    </row>
    <row r="26" spans="1:13" ht="17.25" thickTop="1" thickBot="1">
      <c r="A26" s="67"/>
      <c r="B26" s="909" t="s">
        <v>254</v>
      </c>
      <c r="C26" s="954"/>
      <c r="D26" s="928"/>
      <c r="E26" s="897">
        <f>'Budget-Unrestricted MYP'!F26</f>
        <v>10766827.05752</v>
      </c>
      <c r="F26" s="897">
        <f>SUM(F13:F25)</f>
        <v>9275202.9630968012</v>
      </c>
      <c r="G26" s="807">
        <f>SUM(G13:G25)</f>
        <v>6872844.8399999999</v>
      </c>
      <c r="H26" s="807">
        <f>SUM(H13:H25)</f>
        <v>9085683.1355229989</v>
      </c>
      <c r="I26" s="585">
        <f>IF(E26&lt;1," ",IF(H26&lt;1," ",(H26-E26)/E26))</f>
        <v>-0.15614107229695126</v>
      </c>
      <c r="J26" s="897">
        <f>SUM(J13:J25)</f>
        <v>7446565.5687799994</v>
      </c>
      <c r="K26" s="585">
        <f>IF(H26&lt;1," ",IF(J26&lt;1," ",(J26-H26)/H26))</f>
        <v>-0.1804066400174594</v>
      </c>
      <c r="L26" s="897">
        <f>SUM(L13:L25)</f>
        <v>7678157.2365872795</v>
      </c>
      <c r="M26" s="588">
        <f>IF(J26&lt;1," ",IF(L26&lt;1," ",(L26-J26)/J26))</f>
        <v>3.1100467143972611E-2</v>
      </c>
    </row>
    <row r="27" spans="1:13" ht="16.5" thickTop="1">
      <c r="A27" s="67"/>
      <c r="B27" s="1"/>
      <c r="C27" s="1"/>
      <c r="D27" s="1"/>
      <c r="E27" s="268"/>
      <c r="F27" s="268"/>
      <c r="G27" s="268"/>
      <c r="H27" s="268"/>
      <c r="I27" s="869"/>
      <c r="J27" s="268"/>
      <c r="K27" s="979"/>
      <c r="M27" s="862"/>
    </row>
    <row r="28" spans="1:13" ht="15.75">
      <c r="A28" s="1739" t="s">
        <v>255</v>
      </c>
      <c r="B28" s="1740"/>
      <c r="C28" s="1740"/>
      <c r="D28" s="154"/>
      <c r="E28" s="268"/>
      <c r="F28" s="455"/>
      <c r="G28" s="455"/>
      <c r="H28" s="455"/>
      <c r="I28" s="847"/>
      <c r="J28" s="455"/>
      <c r="K28" s="852"/>
      <c r="L28" s="151"/>
      <c r="M28" s="857"/>
    </row>
    <row r="29" spans="1:13" ht="15.75">
      <c r="A29" s="67"/>
      <c r="B29" s="277" t="s">
        <v>256</v>
      </c>
      <c r="C29" s="277"/>
      <c r="D29" s="278" t="s">
        <v>257</v>
      </c>
      <c r="E29" s="1187">
        <f>'Budget-Unrestricted MYP'!F29</f>
        <v>2141205.7039999999</v>
      </c>
      <c r="F29" s="1186">
        <f>'1st Interim-Unrestricted MYP'!G29</f>
        <v>1808534</v>
      </c>
      <c r="G29" s="691">
        <v>887543.71000000008</v>
      </c>
      <c r="H29" s="691">
        <f>2980706-'2nd Interim-Restricted MYP'!H29</f>
        <v>1848754</v>
      </c>
      <c r="I29" s="269">
        <f t="shared" ref="I29:I37" si="0">IF(E29&lt;1," ",IF(H29&lt;1," ",(H29-E29)/E29))</f>
        <v>-0.13658272227356252</v>
      </c>
      <c r="J29" s="691">
        <v>1580743.8912210276</v>
      </c>
      <c r="K29" s="269">
        <f t="shared" ref="K29:K37" si="1">IF(H29&lt;1," ",IF(J29&lt;1," ",(J29-H29)/H29))</f>
        <v>-0.14496796695448524</v>
      </c>
      <c r="L29" s="786">
        <v>1618049.4470538439</v>
      </c>
      <c r="M29" s="306">
        <f t="shared" ref="M29:M37" si="2">IF(J29&lt;1," ",IF(L29&lt;1," ",(L29-J29)/J29))</f>
        <v>2.3600000000000024E-2</v>
      </c>
    </row>
    <row r="30" spans="1:13" ht="15.75">
      <c r="A30" s="67"/>
      <c r="B30" s="277" t="s">
        <v>258</v>
      </c>
      <c r="C30" s="277"/>
      <c r="D30" s="278" t="s">
        <v>259</v>
      </c>
      <c r="E30" s="1187">
        <f>'Budget-Unrestricted MYP'!F30</f>
        <v>1361635.92</v>
      </c>
      <c r="F30" s="1186">
        <f>'1st Interim-Unrestricted MYP'!G30</f>
        <v>1511083.1570000001</v>
      </c>
      <c r="G30" s="691">
        <v>718177.61</v>
      </c>
      <c r="H30" s="691">
        <f>2208254-'2nd Interim-Restricted MYP'!H30</f>
        <v>1434993</v>
      </c>
      <c r="I30" s="269">
        <f t="shared" si="0"/>
        <v>5.3874225057165118E-2</v>
      </c>
      <c r="J30" s="691">
        <v>825425.55981073168</v>
      </c>
      <c r="K30" s="269">
        <f t="shared" si="1"/>
        <v>-0.42478774474110209</v>
      </c>
      <c r="L30" s="786">
        <v>844905.60302226478</v>
      </c>
      <c r="M30" s="306">
        <f t="shared" si="2"/>
        <v>2.3599999999999805E-2</v>
      </c>
    </row>
    <row r="31" spans="1:13" ht="15.75">
      <c r="A31" s="67"/>
      <c r="B31" s="277" t="s">
        <v>260</v>
      </c>
      <c r="C31" s="277"/>
      <c r="D31" s="278" t="s">
        <v>261</v>
      </c>
      <c r="E31" s="1187">
        <f>'Budget-Unrestricted MYP'!F31</f>
        <v>1389040.6</v>
      </c>
      <c r="F31" s="1186">
        <f>'1st Interim-Unrestricted MYP'!G31</f>
        <v>1370571.6332536</v>
      </c>
      <c r="G31" s="691">
        <v>634722.2899999998</v>
      </c>
      <c r="H31" s="691">
        <f>2012132-'2nd Interim-Restricted MYP'!H31</f>
        <v>1266000.51</v>
      </c>
      <c r="I31" s="269">
        <f t="shared" si="0"/>
        <v>-8.8579189118014309E-2</v>
      </c>
      <c r="J31" s="691">
        <v>932059.66854644706</v>
      </c>
      <c r="K31" s="269">
        <f t="shared" si="1"/>
        <v>-0.26377622980069176</v>
      </c>
      <c r="L31" s="786">
        <v>954056.34643934353</v>
      </c>
      <c r="M31" s="306">
        <f t="shared" si="2"/>
        <v>2.3600074796928421E-2</v>
      </c>
    </row>
    <row r="32" spans="1:13" ht="15.75">
      <c r="A32" s="67"/>
      <c r="B32" s="277" t="s">
        <v>262</v>
      </c>
      <c r="C32" s="277"/>
      <c r="D32" s="278" t="s">
        <v>263</v>
      </c>
      <c r="E32" s="1187">
        <f>'Budget-Unrestricted MYP'!F32</f>
        <v>545283.35</v>
      </c>
      <c r="F32" s="1186">
        <f>'1st Interim-Unrestricted MYP'!G32</f>
        <v>741149.85</v>
      </c>
      <c r="G32" s="691">
        <v>171218.52</v>
      </c>
      <c r="H32" s="691">
        <f>772825-'2nd Interim-Restricted MYP'!H32</f>
        <v>344868</v>
      </c>
      <c r="I32" s="269">
        <f t="shared" si="0"/>
        <v>-0.36754349825645694</v>
      </c>
      <c r="J32" s="691">
        <v>400281.1532</v>
      </c>
      <c r="K32" s="269">
        <f t="shared" si="1"/>
        <v>0.16067931266455571</v>
      </c>
      <c r="L32" s="786">
        <v>122385.95929716712</v>
      </c>
      <c r="M32" s="306">
        <f t="shared" si="2"/>
        <v>-0.69425000822854843</v>
      </c>
    </row>
    <row r="33" spans="1:13" ht="15.75">
      <c r="A33" s="67"/>
      <c r="B33" s="277" t="s">
        <v>264</v>
      </c>
      <c r="C33" s="277"/>
      <c r="D33" s="278" t="s">
        <v>265</v>
      </c>
      <c r="E33" s="1187">
        <f>'Budget-Unrestricted MYP'!F33</f>
        <v>3437167.79</v>
      </c>
      <c r="F33" s="1186">
        <f>'1st Interim-Unrestricted MYP'!G33</f>
        <v>4271314.0199999996</v>
      </c>
      <c r="G33" s="691">
        <v>2140586.3600000003</v>
      </c>
      <c r="H33" s="691">
        <f>4377403-'2nd Interim-Restricted MYP'!H33</f>
        <v>3286160.41</v>
      </c>
      <c r="I33" s="269">
        <f t="shared" si="0"/>
        <v>-4.3933665513605863E-2</v>
      </c>
      <c r="J33" s="691">
        <v>3385351.4781999998</v>
      </c>
      <c r="K33" s="269">
        <f t="shared" si="1"/>
        <v>3.0184487616050255E-2</v>
      </c>
      <c r="L33" s="786">
        <v>2857719.451945385</v>
      </c>
      <c r="M33" s="306">
        <f t="shared" si="2"/>
        <v>-0.15585738427820739</v>
      </c>
    </row>
    <row r="34" spans="1:13" ht="15.75">
      <c r="A34" s="67"/>
      <c r="B34" s="277" t="s">
        <v>266</v>
      </c>
      <c r="C34" s="277"/>
      <c r="D34" s="278" t="s">
        <v>267</v>
      </c>
      <c r="E34" s="1187">
        <f>'Budget-Unrestricted MYP'!F34</f>
        <v>204240.28571428571</v>
      </c>
      <c r="F34" s="1186">
        <f>'1st Interim-Unrestricted MYP'!G34</f>
        <v>204240.28571428571</v>
      </c>
      <c r="G34" s="691"/>
      <c r="H34" s="691">
        <v>204240</v>
      </c>
      <c r="I34" s="269">
        <f t="shared" si="0"/>
        <v>-1.398912485413467E-6</v>
      </c>
      <c r="J34" s="691">
        <v>208325.09142857144</v>
      </c>
      <c r="K34" s="269">
        <f t="shared" si="1"/>
        <v>2.0001426892731291E-2</v>
      </c>
      <c r="L34" s="786">
        <v>212491.59325714287</v>
      </c>
      <c r="M34" s="306">
        <f t="shared" si="2"/>
        <v>2.0000000000000018E-2</v>
      </c>
    </row>
    <row r="35" spans="1:13" ht="15.75">
      <c r="A35" s="67"/>
      <c r="B35" s="277" t="s">
        <v>268</v>
      </c>
      <c r="C35" s="277"/>
      <c r="D35" s="278" t="s">
        <v>269</v>
      </c>
      <c r="E35" s="1187">
        <f>'Budget-Unrestricted MYP'!F35</f>
        <v>0</v>
      </c>
      <c r="F35" s="1186">
        <f>'1st Interim-Unrestricted MYP'!G35</f>
        <v>0</v>
      </c>
      <c r="G35" s="691"/>
      <c r="H35" s="691">
        <v>0</v>
      </c>
      <c r="I35" s="269" t="str">
        <f t="shared" si="0"/>
        <v xml:space="preserve"> </v>
      </c>
      <c r="J35" s="691">
        <v>0</v>
      </c>
      <c r="K35" s="269" t="str">
        <f t="shared" si="1"/>
        <v xml:space="preserve"> </v>
      </c>
      <c r="L35" s="786">
        <v>0</v>
      </c>
      <c r="M35" s="306" t="str">
        <f t="shared" si="2"/>
        <v xml:space="preserve"> </v>
      </c>
    </row>
    <row r="36" spans="1:13" ht="16.5" thickBot="1">
      <c r="A36" s="67"/>
      <c r="B36" s="919" t="s">
        <v>270</v>
      </c>
      <c r="C36" s="919"/>
      <c r="D36" s="626" t="s">
        <v>271</v>
      </c>
      <c r="E36" s="1188">
        <f>'Budget-Unrestricted MYP'!F36</f>
        <v>52147</v>
      </c>
      <c r="F36" s="1190">
        <f>'1st Interim-Unrestricted MYP'!G36</f>
        <v>52147.24</v>
      </c>
      <c r="G36" s="920"/>
      <c r="H36" s="921">
        <v>0</v>
      </c>
      <c r="I36" s="296" t="str">
        <f t="shared" si="0"/>
        <v xml:space="preserve"> </v>
      </c>
      <c r="J36" s="922">
        <v>0</v>
      </c>
      <c r="K36" s="296" t="str">
        <f t="shared" si="1"/>
        <v xml:space="preserve"> </v>
      </c>
      <c r="L36" s="949">
        <v>0</v>
      </c>
      <c r="M36" s="587" t="str">
        <f t="shared" si="2"/>
        <v xml:space="preserve"> </v>
      </c>
    </row>
    <row r="37" spans="1:13" ht="17.25" thickTop="1" thickBot="1">
      <c r="A37" s="67"/>
      <c r="B37" s="909" t="s">
        <v>272</v>
      </c>
      <c r="C37" s="954"/>
      <c r="D37" s="955"/>
      <c r="E37" s="1170">
        <f>'Budget-Unrestricted MYP'!F37</f>
        <v>9130720.6497142855</v>
      </c>
      <c r="F37" s="1170">
        <f>SUM(F29:F36)</f>
        <v>9959040.185967885</v>
      </c>
      <c r="G37" s="897">
        <f>SUM(G29:G36)</f>
        <v>4552248.49</v>
      </c>
      <c r="H37" s="897">
        <f>SUM(H29:H36)</f>
        <v>8385015.9199999999</v>
      </c>
      <c r="I37" s="585">
        <f t="shared" si="0"/>
        <v>-8.1669865755625751E-2</v>
      </c>
      <c r="J37" s="897">
        <f>SUM(J29:J36)</f>
        <v>7332186.8424067777</v>
      </c>
      <c r="K37" s="585">
        <f t="shared" si="1"/>
        <v>-0.12556077264945995</v>
      </c>
      <c r="L37" s="897">
        <f>SUM(L29:L36)</f>
        <v>6609608.4010151466</v>
      </c>
      <c r="M37" s="588">
        <f t="shared" si="2"/>
        <v>-9.8548830918013794E-2</v>
      </c>
    </row>
    <row r="38" spans="1:13" ht="17.25" thickTop="1" thickBot="1">
      <c r="A38" s="67"/>
      <c r="B38" s="1"/>
      <c r="C38" s="1"/>
      <c r="D38" s="167"/>
      <c r="E38" s="19"/>
      <c r="F38" s="19"/>
      <c r="G38" s="19"/>
      <c r="H38" s="19"/>
      <c r="I38" s="869"/>
      <c r="J38" s="19"/>
      <c r="K38" s="979"/>
      <c r="M38" s="862"/>
    </row>
    <row r="39" spans="1:13" ht="17.25" thickTop="1" thickBot="1">
      <c r="A39" s="942" t="s">
        <v>273</v>
      </c>
      <c r="B39" s="956"/>
      <c r="C39" s="958"/>
      <c r="D39" s="959"/>
      <c r="E39" s="1191">
        <f>'Budget-Unrestricted MYP'!F39</f>
        <v>1636106.4078057148</v>
      </c>
      <c r="F39" s="1191">
        <f>SUM(F26-F37)</f>
        <v>-683837.22287108377</v>
      </c>
      <c r="G39" s="951">
        <f>SUM(G26-G37)</f>
        <v>2320596.3499999996</v>
      </c>
      <c r="H39" s="951">
        <f>SUM(H26-H37)</f>
        <v>700667.21552299894</v>
      </c>
      <c r="I39" s="943">
        <f>IF(E39&lt;1," ",IF(H39&lt;1," ",(H39-E39)/E39))</f>
        <v>-0.5717471600990135</v>
      </c>
      <c r="J39" s="951">
        <f>SUM(J26-J37)</f>
        <v>114378.72637322173</v>
      </c>
      <c r="K39" s="943">
        <f>IF(H39&lt;1," ",IF(J39&lt;1," ",(J39-H39)/H39))</f>
        <v>-0.83675741658920633</v>
      </c>
      <c r="L39" s="951">
        <f>SUM(L26-L37)</f>
        <v>1068548.8355721328</v>
      </c>
      <c r="M39" s="944">
        <f>IF(J39&lt;1," ",IF(L39&lt;1," ",(L39-J39)/J39))</f>
        <v>8.3421991086473657</v>
      </c>
    </row>
    <row r="40" spans="1:13" ht="16.5" thickTop="1">
      <c r="A40" s="67"/>
      <c r="B40" s="1"/>
      <c r="C40" s="342"/>
      <c r="D40" s="343"/>
      <c r="E40" s="1192"/>
      <c r="F40" s="1192"/>
      <c r="G40" s="83"/>
      <c r="H40" s="83"/>
      <c r="I40" s="848"/>
      <c r="J40" s="83"/>
      <c r="K40" s="853"/>
      <c r="L40" s="490"/>
      <c r="M40" s="858"/>
    </row>
    <row r="41" spans="1:13" ht="15.75">
      <c r="A41" s="305" t="s">
        <v>274</v>
      </c>
      <c r="B41" s="1"/>
      <c r="C41" s="154"/>
      <c r="D41" s="344"/>
      <c r="E41" s="82"/>
      <c r="F41" s="82"/>
      <c r="G41" s="82"/>
      <c r="H41" s="82"/>
      <c r="I41" s="849"/>
      <c r="J41" s="82"/>
      <c r="K41" s="854"/>
      <c r="L41" s="456"/>
      <c r="M41" s="859"/>
    </row>
    <row r="42" spans="1:13" ht="15.75">
      <c r="A42" s="67"/>
      <c r="B42" s="146" t="s">
        <v>275</v>
      </c>
      <c r="C42" s="140"/>
      <c r="D42" s="309">
        <v>8900</v>
      </c>
      <c r="E42" s="1193">
        <f>'Budget-Unrestricted MYP'!F42</f>
        <v>0</v>
      </c>
      <c r="F42" s="1171">
        <f>'1st Interim-Unrestricted MYP'!G42</f>
        <v>0</v>
      </c>
      <c r="G42" s="786"/>
      <c r="H42" s="786">
        <v>-196797.21</v>
      </c>
      <c r="I42" s="49" t="str">
        <f>IF(E42&lt;1," ",IF(H42&lt;1," ",(H42-E42)/E42))</f>
        <v xml:space="preserve"> </v>
      </c>
      <c r="J42" s="786"/>
      <c r="K42" s="631" t="str">
        <f>IF(H42&lt;1," ",IF(J42&lt;1," ",(J42-H42)/H42))</f>
        <v xml:space="preserve"> </v>
      </c>
      <c r="L42" s="786"/>
      <c r="M42" s="630" t="str">
        <f>IF(J42&lt;1," ",IF(L42&lt;1," ",(L42-J42)/J42))</f>
        <v xml:space="preserve"> </v>
      </c>
    </row>
    <row r="43" spans="1:13" ht="16.5" thickBot="1">
      <c r="A43" s="67"/>
      <c r="B43" s="896" t="s">
        <v>276</v>
      </c>
      <c r="C43" s="152"/>
      <c r="D43" s="925">
        <v>7600</v>
      </c>
      <c r="E43" s="1194">
        <f>'Budget-Unrestricted MYP'!F43</f>
        <v>0</v>
      </c>
      <c r="F43" s="1174">
        <f>'1st Interim-Unrestricted MYP'!G43</f>
        <v>0</v>
      </c>
      <c r="G43" s="802"/>
      <c r="H43" s="802">
        <v>0</v>
      </c>
      <c r="I43" s="593" t="str">
        <f>IF(E43&lt;1," ",IF(H43&lt;1," ",(H43-E43)/E43))</f>
        <v xml:space="preserve"> </v>
      </c>
      <c r="J43" s="802">
        <v>0</v>
      </c>
      <c r="K43" s="638" t="str">
        <f>IF(H43&lt;1," ",IF(J43&lt;1," ",(J43-H43)/H43))</f>
        <v xml:space="preserve"> </v>
      </c>
      <c r="L43" s="802">
        <v>0</v>
      </c>
      <c r="M43" s="639" t="str">
        <f>IF(J43&lt;1," ",IF(L43&lt;1," ",(L43-J43)/J43))</f>
        <v xml:space="preserve"> </v>
      </c>
    </row>
    <row r="44" spans="1:13" ht="17.25" thickTop="1" thickBot="1">
      <c r="A44" s="67"/>
      <c r="B44" s="909" t="s">
        <v>277</v>
      </c>
      <c r="C44" s="954"/>
      <c r="D44" s="955"/>
      <c r="E44" s="1170">
        <f>'Budget-Unrestricted MYP'!F44</f>
        <v>0</v>
      </c>
      <c r="F44" s="1170">
        <f>F42-F43</f>
        <v>0</v>
      </c>
      <c r="G44" s="897">
        <f>G42-G43</f>
        <v>0</v>
      </c>
      <c r="H44" s="897">
        <f>H42-H43</f>
        <v>-196797.21</v>
      </c>
      <c r="I44" s="585" t="str">
        <f>IF(E44&lt;1," ",IF(H44&lt;1," ",(H44-E44)/E44))</f>
        <v xml:space="preserve"> </v>
      </c>
      <c r="J44" s="897">
        <f>J42-J43</f>
        <v>0</v>
      </c>
      <c r="K44" s="585" t="str">
        <f>IF(H44&lt;1," ",IF(J44&lt;1," ",(J44-H44)/H44))</f>
        <v xml:space="preserve"> </v>
      </c>
      <c r="L44" s="897">
        <f>L42-L43</f>
        <v>0</v>
      </c>
      <c r="M44" s="588" t="str">
        <f>IF(J44&lt;1," ",IF(L44&lt;1," ",(L44-J44)/J44))</f>
        <v xml:space="preserve"> </v>
      </c>
    </row>
    <row r="45" spans="1:13" ht="17.25" thickTop="1" thickBot="1">
      <c r="A45" s="67"/>
      <c r="B45" s="1"/>
      <c r="C45" s="1"/>
      <c r="D45" s="553"/>
      <c r="E45" s="268"/>
      <c r="F45" s="960"/>
      <c r="G45" s="961"/>
      <c r="H45" s="961"/>
      <c r="I45" s="980"/>
      <c r="J45" s="961"/>
      <c r="K45" s="980"/>
      <c r="L45" s="961"/>
      <c r="M45" s="981"/>
    </row>
    <row r="46" spans="1:13" ht="17.25" thickTop="1" thickBot="1">
      <c r="A46" s="912" t="s">
        <v>278</v>
      </c>
      <c r="B46" s="913"/>
      <c r="C46" s="917"/>
      <c r="D46" s="918"/>
      <c r="E46" s="1170">
        <f>'Budget-Unrestricted MYP'!F46</f>
        <v>1636106.4078057148</v>
      </c>
      <c r="F46" s="1170">
        <f>F39+F44</f>
        <v>-683837.22287108377</v>
      </c>
      <c r="G46" s="897">
        <f>G39+G44</f>
        <v>2320596.3499999996</v>
      </c>
      <c r="H46" s="897">
        <f>H39+H44</f>
        <v>503870.00552299898</v>
      </c>
      <c r="I46" s="589">
        <f>IF(E46&lt;1," ",IF(H46&lt;1," ",(H46-E46)/E46))</f>
        <v>-0.69203102981622644</v>
      </c>
      <c r="J46" s="897">
        <f>J39+J44</f>
        <v>114378.72637322173</v>
      </c>
      <c r="K46" s="589">
        <f>IF(H46&lt;1," ",IF(J46&lt;1," ",(J46-H46)/H46))</f>
        <v>-0.77299953337269856</v>
      </c>
      <c r="L46" s="897">
        <f>L39+L44</f>
        <v>1068548.8355721328</v>
      </c>
      <c r="M46" s="590">
        <f>IF(J46&lt;1," ",IF(L46&lt;1," ",(L46-J46)/J46))</f>
        <v>8.3421991086473657</v>
      </c>
    </row>
    <row r="47" spans="1:13" ht="16.5" thickTop="1">
      <c r="A47" s="305"/>
      <c r="B47" s="1"/>
      <c r="C47" s="342"/>
      <c r="D47" s="343"/>
      <c r="E47" s="268"/>
      <c r="F47" s="83"/>
      <c r="G47" s="83"/>
      <c r="H47" s="83"/>
      <c r="I47" s="848"/>
      <c r="J47" s="83"/>
      <c r="K47" s="853"/>
      <c r="L47" s="490"/>
      <c r="M47" s="858"/>
    </row>
    <row r="48" spans="1:13" ht="15.75">
      <c r="A48" s="305" t="s">
        <v>279</v>
      </c>
      <c r="B48" s="1"/>
      <c r="C48" s="154"/>
      <c r="D48" s="344"/>
      <c r="E48" s="268"/>
      <c r="F48" s="455"/>
      <c r="G48" s="455"/>
      <c r="H48" s="455"/>
      <c r="I48" s="847"/>
      <c r="J48" s="455"/>
      <c r="K48" s="852"/>
      <c r="L48" s="151"/>
      <c r="M48" s="857"/>
    </row>
    <row r="49" spans="1:13" ht="15.75">
      <c r="A49" s="67"/>
      <c r="B49" s="292" t="s">
        <v>280</v>
      </c>
      <c r="C49" s="293"/>
      <c r="D49" s="294">
        <v>9791</v>
      </c>
      <c r="E49" s="1195">
        <f>'Budget-Unrestricted MYP'!F49</f>
        <v>2328491.2500000005</v>
      </c>
      <c r="F49" s="1182">
        <f>'1st Interim-Unrestricted MYP'!G49</f>
        <v>2328491.2500000005</v>
      </c>
      <c r="G49" s="1181">
        <f>E49</f>
        <v>2328491.2500000005</v>
      </c>
      <c r="H49" s="1182">
        <f>E49</f>
        <v>2328491.2500000005</v>
      </c>
      <c r="I49" s="1096"/>
      <c r="J49" s="1094"/>
      <c r="K49" s="1097"/>
      <c r="L49" s="1095"/>
      <c r="M49" s="1098"/>
    </row>
    <row r="50" spans="1:13" ht="15.75">
      <c r="A50" s="67"/>
      <c r="B50" s="314" t="s">
        <v>281</v>
      </c>
      <c r="C50" s="315"/>
      <c r="D50" s="316">
        <v>9792</v>
      </c>
      <c r="E50" s="1196"/>
      <c r="F50" s="1185">
        <f>'1st Interim-Unrestricted MYP'!G50</f>
        <v>-331642.78000000003</v>
      </c>
      <c r="G50" s="1183">
        <f>F50</f>
        <v>-331642.78000000003</v>
      </c>
      <c r="H50" s="1184">
        <f>F50</f>
        <v>-331642.78000000003</v>
      </c>
      <c r="I50" s="621"/>
      <c r="J50" s="797"/>
      <c r="K50" s="594"/>
      <c r="L50" s="795"/>
      <c r="M50" s="596"/>
    </row>
    <row r="51" spans="1:13" ht="15.75">
      <c r="A51" s="67"/>
      <c r="B51" s="314" t="s">
        <v>282</v>
      </c>
      <c r="C51" s="315"/>
      <c r="D51" s="982"/>
      <c r="E51" s="1196"/>
      <c r="F51" s="1185">
        <f>'1st Interim-Unrestricted MYP'!G51</f>
        <v>1996848.4700000004</v>
      </c>
      <c r="G51" s="1183">
        <f>G49+G50</f>
        <v>1996848.4700000004</v>
      </c>
      <c r="H51" s="1185">
        <f>H49+H50</f>
        <v>1996848.4700000004</v>
      </c>
      <c r="I51" s="621"/>
      <c r="J51" s="797"/>
      <c r="K51" s="594"/>
      <c r="L51" s="795"/>
      <c r="M51" s="596"/>
    </row>
    <row r="52" spans="1:13" ht="15.75">
      <c r="A52" s="67"/>
      <c r="B52" s="314" t="s">
        <v>283</v>
      </c>
      <c r="C52" s="315"/>
      <c r="D52" s="316">
        <v>9793</v>
      </c>
      <c r="E52" s="1196"/>
      <c r="F52" s="1184">
        <f>'1st Interim-Unrestricted MYP'!G52</f>
        <v>0</v>
      </c>
      <c r="G52" s="823">
        <v>-243377</v>
      </c>
      <c r="H52" s="823">
        <v>-243377</v>
      </c>
      <c r="I52" s="621"/>
      <c r="J52" s="1007"/>
      <c r="K52" s="594"/>
      <c r="L52" s="795"/>
      <c r="M52" s="596"/>
    </row>
    <row r="53" spans="1:13" ht="15.75">
      <c r="A53" s="67"/>
      <c r="B53" s="314" t="s">
        <v>284</v>
      </c>
      <c r="C53" s="315"/>
      <c r="D53" s="316">
        <v>9795</v>
      </c>
      <c r="E53" s="1197"/>
      <c r="F53" s="1184">
        <f>'1st Interim-Unrestricted MYP'!G53</f>
        <v>0</v>
      </c>
      <c r="G53" s="823">
        <f>1561615-1753471</f>
        <v>-191856</v>
      </c>
      <c r="H53" s="823">
        <v>-191856</v>
      </c>
      <c r="I53" s="621"/>
      <c r="J53" s="798"/>
      <c r="K53" s="595"/>
      <c r="L53" s="796"/>
      <c r="M53" s="597"/>
    </row>
    <row r="54" spans="1:13" ht="16.5" thickBot="1">
      <c r="A54" s="67"/>
      <c r="B54" s="907" t="s">
        <v>285</v>
      </c>
      <c r="C54" s="501"/>
      <c r="D54" s="908"/>
      <c r="E54" s="1197"/>
      <c r="F54" s="1180">
        <f>'1st Interim-Unrestricted MYP'!G54</f>
        <v>1996848.4700000004</v>
      </c>
      <c r="G54" s="1204">
        <f>G51+G52+G53</f>
        <v>1561615.4700000004</v>
      </c>
      <c r="H54" s="1180">
        <f>H51+H52+H53</f>
        <v>1561615.4700000004</v>
      </c>
      <c r="I54" s="612"/>
      <c r="J54" s="1117">
        <f>H55</f>
        <v>2065485</v>
      </c>
      <c r="K54" s="595"/>
      <c r="L54" s="1118">
        <f>J55</f>
        <v>2179864</v>
      </c>
      <c r="M54" s="597"/>
    </row>
    <row r="55" spans="1:13" ht="17.25" thickTop="1" thickBot="1">
      <c r="A55" s="67"/>
      <c r="B55" s="909" t="s">
        <v>286</v>
      </c>
      <c r="C55" s="910"/>
      <c r="D55" s="911">
        <v>9790</v>
      </c>
      <c r="E55" s="897">
        <f>'Budget-Unrestricted MYP'!F55</f>
        <v>3964597.6578057152</v>
      </c>
      <c r="F55" s="897">
        <f>ROUND(F54+F46,0)</f>
        <v>1313011</v>
      </c>
      <c r="G55" s="897">
        <f>ROUND(G54+G46,0)</f>
        <v>3882212</v>
      </c>
      <c r="H55" s="897">
        <f>ROUND(H54+H46,0)</f>
        <v>2065485</v>
      </c>
      <c r="I55" s="585">
        <f>IF(E55&lt;1," ",IF(H55&lt;1," ",(H55-E55)/E55))</f>
        <v>-0.47901775204518904</v>
      </c>
      <c r="J55" s="897">
        <f>ROUND(J54+J46,0)</f>
        <v>2179864</v>
      </c>
      <c r="K55" s="585">
        <f>IF(H55&lt;1," ",IF(J55&lt;1," ",(J55-H55)/H55))</f>
        <v>5.5376340181603839E-2</v>
      </c>
      <c r="L55" s="897">
        <f>ROUND(L54+L46,0)</f>
        <v>3248413</v>
      </c>
      <c r="M55" s="588">
        <f>IF(J55&lt;1," ",IF(L55&lt;1," ",(L55-J55)/J55))</f>
        <v>0.49019067244562048</v>
      </c>
    </row>
    <row r="56" spans="1:13" ht="16.5" thickTop="1">
      <c r="A56" s="67"/>
      <c r="B56" s="1"/>
      <c r="C56" s="1"/>
      <c r="D56" s="167"/>
      <c r="E56" s="168"/>
      <c r="F56" s="295"/>
      <c r="G56" s="51"/>
      <c r="H56" s="51"/>
      <c r="I56" s="869"/>
      <c r="J56" s="51"/>
      <c r="K56" s="869"/>
      <c r="L56" s="51"/>
      <c r="M56" s="871"/>
    </row>
    <row r="57" spans="1:13" ht="15.75">
      <c r="A57" s="323" t="s">
        <v>287</v>
      </c>
      <c r="B57" s="151"/>
      <c r="C57" s="478"/>
      <c r="D57" s="479" t="s">
        <v>103</v>
      </c>
      <c r="E57" s="480"/>
      <c r="F57" s="481"/>
      <c r="G57" s="482"/>
      <c r="H57" s="482"/>
      <c r="I57" s="847"/>
      <c r="J57" s="482"/>
      <c r="K57" s="847"/>
      <c r="L57" s="482"/>
      <c r="M57" s="860"/>
    </row>
    <row r="58" spans="1:13" ht="15.75">
      <c r="A58" s="67"/>
      <c r="B58" s="347" t="s">
        <v>288</v>
      </c>
      <c r="C58" s="352" t="s">
        <v>289</v>
      </c>
      <c r="D58" s="353"/>
      <c r="E58" s="598"/>
      <c r="F58" s="598"/>
      <c r="G58" s="598"/>
      <c r="H58" s="598"/>
      <c r="I58" s="582"/>
      <c r="J58" s="598"/>
      <c r="K58" s="855"/>
      <c r="L58" s="145"/>
      <c r="M58" s="861"/>
    </row>
    <row r="59" spans="1:13" ht="15.75">
      <c r="A59" s="67"/>
      <c r="B59" s="1620"/>
      <c r="C59" s="348" t="s">
        <v>290</v>
      </c>
      <c r="D59" s="288">
        <v>9711</v>
      </c>
      <c r="E59" s="1187">
        <f>'Budget-Unrestricted MYP'!F59</f>
        <v>0</v>
      </c>
      <c r="F59" s="1198">
        <f>'1st Interim-Unrestricted MYP'!G59</f>
        <v>0</v>
      </c>
      <c r="G59" s="825"/>
      <c r="H59" s="825"/>
      <c r="I59" s="269" t="str">
        <f>IF(E59&lt;1," ",IF(H59&lt;1," ",(H59-E59)/E59))</f>
        <v xml:space="preserve"> </v>
      </c>
      <c r="J59" s="825"/>
      <c r="K59" s="634" t="str">
        <f>IF(H59&lt;1," ",IF(J59&lt;1," ",(J59-H59)/H59))</f>
        <v xml:space="preserve"> </v>
      </c>
      <c r="L59" s="825"/>
      <c r="M59" s="867" t="str">
        <f>IF(J59&lt;1," ",IF(L59&lt;1," ",(L59-J59)/J59))</f>
        <v xml:space="preserve"> </v>
      </c>
    </row>
    <row r="60" spans="1:13" ht="15.75">
      <c r="A60" s="67"/>
      <c r="B60" s="347"/>
      <c r="C60" s="348" t="s">
        <v>291</v>
      </c>
      <c r="D60" s="288">
        <v>9712</v>
      </c>
      <c r="E60" s="1199">
        <f>'Budget-Unrestricted MYP'!F60</f>
        <v>0</v>
      </c>
      <c r="F60" s="1198">
        <f>'1st Interim-Unrestricted MYP'!G60</f>
        <v>0</v>
      </c>
      <c r="G60" s="825"/>
      <c r="H60" s="825"/>
      <c r="I60" s="632" t="str">
        <f>IF(E60&lt;1," ",IF(H60&lt;1," ",(H60-E60)/E60))</f>
        <v xml:space="preserve"> </v>
      </c>
      <c r="J60" s="825"/>
      <c r="K60" s="635" t="str">
        <f>IF(H60&lt;1," ",IF(J60&lt;1," ",(J60-H60)/H60))</f>
        <v xml:space="preserve"> </v>
      </c>
      <c r="L60" s="825"/>
      <c r="M60" s="636" t="str">
        <f>IF(J60&lt;1," ",IF(L60&lt;1," ",(L60-J60)/J60))</f>
        <v xml:space="preserve"> </v>
      </c>
    </row>
    <row r="61" spans="1:13" ht="15.75">
      <c r="A61" s="67"/>
      <c r="B61" s="347"/>
      <c r="C61" s="348" t="s">
        <v>292</v>
      </c>
      <c r="D61" s="288">
        <v>9713</v>
      </c>
      <c r="E61" s="1185">
        <f>'Budget-Unrestricted MYP'!F61</f>
        <v>0</v>
      </c>
      <c r="F61" s="1173">
        <f>'1st Interim-Unrestricted MYP'!G61</f>
        <v>0</v>
      </c>
      <c r="G61" s="801"/>
      <c r="H61" s="801"/>
      <c r="I61" s="49" t="str">
        <f>IF(E61&lt;1," ",IF(H61&lt;1," ",(H61-E61)/E61))</f>
        <v xml:space="preserve"> </v>
      </c>
      <c r="J61" s="801"/>
      <c r="K61" s="631" t="str">
        <f>IF(H61&lt;1," ",IF(J61&lt;1," ",(J61-H61)/H61))</f>
        <v xml:space="preserve"> </v>
      </c>
      <c r="L61" s="801"/>
      <c r="M61" s="630" t="str">
        <f>IF(J61&lt;1," ",IF(L61&lt;1," ",(L61-J61)/J61))</f>
        <v xml:space="preserve"> </v>
      </c>
    </row>
    <row r="62" spans="1:13" ht="15.75">
      <c r="A62" s="67"/>
      <c r="B62" s="347"/>
      <c r="C62" s="348" t="s">
        <v>293</v>
      </c>
      <c r="D62" s="288">
        <v>9719</v>
      </c>
      <c r="E62" s="1185">
        <f>'Budget-Unrestricted MYP'!F62</f>
        <v>0</v>
      </c>
      <c r="F62" s="1173">
        <f>'1st Interim-Unrestricted MYP'!G62</f>
        <v>0</v>
      </c>
      <c r="G62" s="801"/>
      <c r="H62" s="801"/>
      <c r="I62" s="49" t="str">
        <f>IF(E62&lt;1," ",IF(H62&lt;1," ",(H62-E62)/E62))</f>
        <v xml:space="preserve"> </v>
      </c>
      <c r="J62" s="801"/>
      <c r="K62" s="631" t="str">
        <f>IF(H62&lt;1," ",IF(J62&lt;1," ",(J62-H62)/H62))</f>
        <v xml:space="preserve"> </v>
      </c>
      <c r="L62" s="801"/>
      <c r="M62" s="630" t="str">
        <f>IF(J62&lt;1," ",IF(L62&lt;1," ",(L62-J62)/J62))</f>
        <v xml:space="preserve"> </v>
      </c>
    </row>
    <row r="63" spans="1:13" ht="15.75">
      <c r="A63" s="325"/>
      <c r="B63" s="475" t="s">
        <v>294</v>
      </c>
      <c r="C63" s="476" t="s">
        <v>295</v>
      </c>
      <c r="D63" s="477">
        <v>9740</v>
      </c>
      <c r="E63" s="1200"/>
      <c r="F63" s="1201"/>
      <c r="G63" s="826"/>
      <c r="H63" s="826"/>
      <c r="I63" s="621"/>
      <c r="J63" s="826"/>
      <c r="K63" s="594"/>
      <c r="L63" s="826"/>
      <c r="M63" s="596"/>
    </row>
    <row r="64" spans="1:13" ht="15.75">
      <c r="A64" s="67"/>
      <c r="B64" s="347" t="s">
        <v>296</v>
      </c>
      <c r="C64" s="352" t="s">
        <v>297</v>
      </c>
      <c r="D64" s="985"/>
      <c r="E64" s="1202"/>
      <c r="F64" s="1202"/>
      <c r="G64" s="830"/>
      <c r="H64" s="830"/>
      <c r="I64" s="633"/>
      <c r="J64" s="830"/>
      <c r="K64" s="633"/>
      <c r="L64" s="830"/>
      <c r="M64" s="637"/>
    </row>
    <row r="65" spans="1:13" ht="15.75">
      <c r="A65" s="67"/>
      <c r="B65" s="347"/>
      <c r="C65" s="348" t="s">
        <v>298</v>
      </c>
      <c r="D65" s="289">
        <v>9750</v>
      </c>
      <c r="E65" s="1185">
        <f>'Budget-Unrestricted MYP'!F65</f>
        <v>0</v>
      </c>
      <c r="F65" s="1173">
        <f>'1st Interim-Unrestricted MYP'!G65</f>
        <v>0</v>
      </c>
      <c r="G65" s="801"/>
      <c r="H65" s="801"/>
      <c r="I65" s="49" t="str">
        <f>IF(E65&lt;1," ",IF(H65&lt;1," ",(H65-E65)/E65))</f>
        <v xml:space="preserve"> </v>
      </c>
      <c r="J65" s="801"/>
      <c r="K65" s="631" t="str">
        <f>IF(H65&lt;1," ",IF(J65&lt;1," ",(J65-H65)/H65))</f>
        <v xml:space="preserve"> </v>
      </c>
      <c r="L65" s="801"/>
      <c r="M65" s="630" t="str">
        <f>IF(J65&lt;1," ",IF(L65&lt;1," ",(L65-J65)/J65))</f>
        <v xml:space="preserve"> </v>
      </c>
    </row>
    <row r="66" spans="1:13" ht="15.75">
      <c r="A66" s="67"/>
      <c r="B66" s="347"/>
      <c r="C66" s="348" t="s">
        <v>299</v>
      </c>
      <c r="D66" s="289">
        <v>9760</v>
      </c>
      <c r="E66" s="1185">
        <f>'Budget-Unrestricted MYP'!F66</f>
        <v>0</v>
      </c>
      <c r="F66" s="1173">
        <f>'1st Interim-Unrestricted MYP'!G66</f>
        <v>0</v>
      </c>
      <c r="G66" s="801"/>
      <c r="H66" s="801"/>
      <c r="I66" s="49" t="str">
        <f>IF(E66&lt;1," ",IF(H66&lt;1," ",(H66-E66)/E66))</f>
        <v xml:space="preserve"> </v>
      </c>
      <c r="J66" s="801"/>
      <c r="K66" s="631" t="str">
        <f>IF(H66&lt;1," ",IF(J66&lt;1," ",(J66-H66)/H66))</f>
        <v xml:space="preserve"> </v>
      </c>
      <c r="L66" s="801"/>
      <c r="M66" s="630" t="str">
        <f>IF(J66&lt;1," ",IF(L66&lt;1," ",(L66-J66)/J66))</f>
        <v xml:space="preserve"> </v>
      </c>
    </row>
    <row r="67" spans="1:13" ht="15.75">
      <c r="A67" s="67"/>
      <c r="B67" s="347" t="s">
        <v>300</v>
      </c>
      <c r="C67" s="349" t="s">
        <v>301</v>
      </c>
      <c r="D67" s="288">
        <v>9780</v>
      </c>
      <c r="E67" s="1185">
        <f>'Budget-Unrestricted MYP'!F67</f>
        <v>0</v>
      </c>
      <c r="F67" s="1173">
        <f>'1st Interim-Unrestricted MYP'!G67</f>
        <v>0</v>
      </c>
      <c r="G67" s="801"/>
      <c r="H67" s="801"/>
      <c r="I67" s="49" t="str">
        <f>IF(E67&lt;1," ",IF(H67&lt;1," ",(H67-E67)/E67))</f>
        <v xml:space="preserve"> </v>
      </c>
      <c r="J67" s="801"/>
      <c r="K67" s="631" t="str">
        <f>IF(H67&lt;1," ",IF(J67&lt;1," ",(J67-H67)/H67))</f>
        <v xml:space="preserve"> </v>
      </c>
      <c r="L67" s="801"/>
      <c r="M67" s="630" t="str">
        <f>IF(J67&lt;1," ",IF(L67&lt;1," ",(L67-J67)/J67))</f>
        <v xml:space="preserve"> </v>
      </c>
    </row>
    <row r="68" spans="1:13" ht="15.75">
      <c r="A68" s="67"/>
      <c r="B68" s="347" t="s">
        <v>302</v>
      </c>
      <c r="C68" s="352" t="s">
        <v>303</v>
      </c>
      <c r="D68" s="601"/>
      <c r="E68" s="1202"/>
      <c r="F68" s="1202"/>
      <c r="G68" s="830"/>
      <c r="H68" s="830"/>
      <c r="I68" s="633"/>
      <c r="J68" s="830"/>
      <c r="K68" s="633"/>
      <c r="L68" s="830"/>
      <c r="M68" s="637"/>
    </row>
    <row r="69" spans="1:13" ht="15.75">
      <c r="A69" s="67"/>
      <c r="B69" s="347"/>
      <c r="C69" s="348" t="s">
        <v>304</v>
      </c>
      <c r="D69" s="289">
        <v>9789</v>
      </c>
      <c r="E69" s="1185">
        <f>'Budget-Unrestricted MYP'!F69</f>
        <v>0</v>
      </c>
      <c r="F69" s="1173">
        <f>'1st Interim-Unrestricted MYP'!G69</f>
        <v>1313011</v>
      </c>
      <c r="G69" s="800"/>
      <c r="H69" s="800"/>
      <c r="I69" s="49" t="str">
        <f>IF(E69&lt;1," ",IF(H69&lt;1," ",(H69-E69)/E69))</f>
        <v xml:space="preserve"> </v>
      </c>
      <c r="J69" s="800"/>
      <c r="K69" s="631" t="str">
        <f>IF(H69&lt;1," ",IF(J69&lt;1," ",(J69-H69)/H69))</f>
        <v xml:space="preserve"> </v>
      </c>
      <c r="L69" s="800"/>
      <c r="M69" s="630" t="str">
        <f>IF(J69&lt;1," ",IF(L69&lt;1," ",(L69-J69)/J69))</f>
        <v xml:space="preserve"> </v>
      </c>
    </row>
    <row r="70" spans="1:13" ht="16.5" thickBot="1">
      <c r="A70" s="67"/>
      <c r="B70" s="896"/>
      <c r="C70" s="902" t="s">
        <v>305</v>
      </c>
      <c r="D70" s="626">
        <v>9790</v>
      </c>
      <c r="E70" s="1194">
        <f>E55-E65-E66-E67-E69-E59-E60-E61-E62-E63</f>
        <v>3964597.6578057152</v>
      </c>
      <c r="F70" s="1194">
        <f>'1st Interim-Unrestricted MYP'!G70</f>
        <v>0.24712891667149961</v>
      </c>
      <c r="G70" s="1194">
        <f>G55-G65-G66-G67-G69-G59-G60-G61-G62-G63</f>
        <v>3882212</v>
      </c>
      <c r="H70" s="1194">
        <f>H55-H65-H66-H67-H69-H59-H60-H61-H62-H63</f>
        <v>2065485</v>
      </c>
      <c r="I70" s="593">
        <f>IF(E70&lt;1," ",IF(H70&lt;1," ",(H70-E70)/E70))</f>
        <v>-0.47901775204518904</v>
      </c>
      <c r="J70" s="812">
        <f>J55-J65-J66-J67-J69-J59-J60-J61-J62-J63</f>
        <v>2179864</v>
      </c>
      <c r="K70" s="638">
        <f>IF(H70&lt;1," ",IF(J70&lt;1," ",(J70-H70)/H70))</f>
        <v>5.5376340181603839E-2</v>
      </c>
      <c r="L70" s="812">
        <f>L55-L65-L66-L67-L69-L59-L60-L61-L62-L63</f>
        <v>3248413</v>
      </c>
      <c r="M70" s="639">
        <f>IF(J70&lt;1," ",IF(L70&lt;1," ",(L70-J70)/J70))</f>
        <v>0.49019067244562048</v>
      </c>
    </row>
    <row r="71" spans="1:13" ht="17.25" thickTop="1" thickBot="1">
      <c r="A71" s="67"/>
      <c r="B71" s="1702"/>
      <c r="C71" s="1703"/>
      <c r="D71" s="1703"/>
      <c r="E71" s="1203"/>
      <c r="F71" s="1203"/>
      <c r="G71" s="999"/>
      <c r="H71" s="999"/>
      <c r="I71" s="999"/>
      <c r="J71" s="999"/>
      <c r="K71" s="999"/>
      <c r="L71" s="999"/>
      <c r="M71" s="1000"/>
    </row>
    <row r="72" spans="1:13" ht="16.5" thickTop="1">
      <c r="A72" s="331"/>
      <c r="B72" s="224"/>
      <c r="C72" s="224"/>
      <c r="D72" s="224"/>
      <c r="E72" s="224"/>
      <c r="F72" s="225"/>
      <c r="G72" s="225"/>
      <c r="H72" s="225"/>
      <c r="I72" s="225"/>
      <c r="J72" s="225"/>
      <c r="K72" s="225"/>
      <c r="M72" s="862"/>
    </row>
    <row r="73" spans="1:13" ht="15.75">
      <c r="A73" s="331" t="s">
        <v>306</v>
      </c>
      <c r="B73" s="224"/>
      <c r="C73" s="224"/>
      <c r="D73" s="224"/>
      <c r="E73" s="224"/>
      <c r="F73" s="225"/>
      <c r="G73" s="225"/>
      <c r="H73" s="225"/>
      <c r="I73" s="225"/>
      <c r="J73" s="225"/>
      <c r="K73" s="225"/>
      <c r="M73" s="862"/>
    </row>
    <row r="74" spans="1:13" ht="16.5">
      <c r="A74" s="283"/>
      <c r="B74" s="165"/>
      <c r="C74" s="1742" t="s">
        <v>307</v>
      </c>
      <c r="D74" s="1742"/>
      <c r="E74" s="1742"/>
      <c r="F74" s="1742"/>
      <c r="G74" s="1742"/>
      <c r="H74" s="363"/>
      <c r="I74" s="850"/>
      <c r="J74" s="363"/>
      <c r="K74" s="850"/>
      <c r="L74" s="456"/>
      <c r="M74" s="862"/>
    </row>
    <row r="75" spans="1:13" ht="15.75">
      <c r="A75" s="331"/>
      <c r="B75" s="290">
        <v>1</v>
      </c>
      <c r="C75" s="1712" t="s">
        <v>308</v>
      </c>
      <c r="D75" s="1712"/>
      <c r="E75" s="1195">
        <f>'Budget-Unrestricted MYP'!F75</f>
        <v>0</v>
      </c>
      <c r="F75" s="1182">
        <f>'1st Interim-Unrestricted MYP'!G75</f>
        <v>0</v>
      </c>
      <c r="G75" s="717"/>
      <c r="H75" s="717"/>
      <c r="I75" s="49" t="str">
        <f t="shared" ref="I75:I83" si="3">IF(E75&lt;1," ",IF(H75&lt;1," ",(H75-E75)/E75))</f>
        <v xml:space="preserve"> </v>
      </c>
      <c r="J75" s="723"/>
      <c r="K75" s="487" t="str">
        <f t="shared" ref="K75:K84" si="4">IF(H75&lt;1," ",IF(J75&lt;1," ",(J75-H75)/H75))</f>
        <v xml:space="preserve"> </v>
      </c>
      <c r="L75" s="707"/>
      <c r="M75" s="486" t="str">
        <f t="shared" ref="M75:M84" si="5">IF(J75&lt;1," ",IF(L75&lt;1," ",(L75-J75)/J75))</f>
        <v xml:space="preserve"> </v>
      </c>
    </row>
    <row r="76" spans="1:13" ht="15.75">
      <c r="A76" s="283"/>
      <c r="B76" s="290">
        <v>2</v>
      </c>
      <c r="C76" s="1710"/>
      <c r="D76" s="1710"/>
      <c r="E76" s="1195">
        <f>'Budget-Unrestricted MYP'!F76</f>
        <v>0</v>
      </c>
      <c r="F76" s="1182">
        <f>'1st Interim-Unrestricted MYP'!G76</f>
        <v>0</v>
      </c>
      <c r="G76" s="717"/>
      <c r="H76" s="717"/>
      <c r="I76" s="49" t="str">
        <f t="shared" si="3"/>
        <v xml:space="preserve"> </v>
      </c>
      <c r="J76" s="723"/>
      <c r="K76" s="487" t="str">
        <f t="shared" si="4"/>
        <v xml:space="preserve"> </v>
      </c>
      <c r="L76" s="707"/>
      <c r="M76" s="486" t="str">
        <f t="shared" si="5"/>
        <v xml:space="preserve"> </v>
      </c>
    </row>
    <row r="77" spans="1:13" ht="15.75">
      <c r="A77" s="283"/>
      <c r="B77" s="290">
        <v>3</v>
      </c>
      <c r="C77" s="1710"/>
      <c r="D77" s="1710"/>
      <c r="E77" s="1195">
        <f>'Budget-Unrestricted MYP'!F77</f>
        <v>0</v>
      </c>
      <c r="F77" s="1182">
        <f>'1st Interim-Unrestricted MYP'!G77</f>
        <v>0</v>
      </c>
      <c r="G77" s="717"/>
      <c r="H77" s="717"/>
      <c r="I77" s="49" t="str">
        <f t="shared" si="3"/>
        <v xml:space="preserve"> </v>
      </c>
      <c r="J77" s="723"/>
      <c r="K77" s="487" t="str">
        <f t="shared" si="4"/>
        <v xml:space="preserve"> </v>
      </c>
      <c r="L77" s="707"/>
      <c r="M77" s="486" t="str">
        <f t="shared" si="5"/>
        <v xml:space="preserve"> </v>
      </c>
    </row>
    <row r="78" spans="1:13" ht="15.75">
      <c r="A78" s="283"/>
      <c r="B78" s="290">
        <v>4</v>
      </c>
      <c r="C78" s="1710"/>
      <c r="D78" s="1710"/>
      <c r="E78" s="1195">
        <f>'Budget-Unrestricted MYP'!F78</f>
        <v>0</v>
      </c>
      <c r="F78" s="1182">
        <f>'1st Interim-Unrestricted MYP'!G78</f>
        <v>0</v>
      </c>
      <c r="G78" s="717"/>
      <c r="H78" s="717"/>
      <c r="I78" s="49" t="str">
        <f t="shared" si="3"/>
        <v xml:space="preserve"> </v>
      </c>
      <c r="J78" s="723"/>
      <c r="K78" s="487" t="str">
        <f t="shared" si="4"/>
        <v xml:space="preserve"> </v>
      </c>
      <c r="L78" s="707"/>
      <c r="M78" s="486" t="str">
        <f t="shared" si="5"/>
        <v xml:space="preserve"> </v>
      </c>
    </row>
    <row r="79" spans="1:13" ht="15.75">
      <c r="A79" s="283"/>
      <c r="B79" s="290">
        <v>5</v>
      </c>
      <c r="C79" s="1710"/>
      <c r="D79" s="1710"/>
      <c r="E79" s="1195">
        <f>'Budget-Unrestricted MYP'!F79</f>
        <v>0</v>
      </c>
      <c r="F79" s="1182">
        <f>'1st Interim-Unrestricted MYP'!G79</f>
        <v>0</v>
      </c>
      <c r="G79" s="717"/>
      <c r="H79" s="717"/>
      <c r="I79" s="49" t="str">
        <f t="shared" si="3"/>
        <v xml:space="preserve"> </v>
      </c>
      <c r="J79" s="723"/>
      <c r="K79" s="487" t="str">
        <f t="shared" si="4"/>
        <v xml:space="preserve"> </v>
      </c>
      <c r="L79" s="707"/>
      <c r="M79" s="486" t="str">
        <f t="shared" si="5"/>
        <v xml:space="preserve"> </v>
      </c>
    </row>
    <row r="80" spans="1:13" ht="15.75">
      <c r="A80" s="283"/>
      <c r="B80" s="291">
        <v>6</v>
      </c>
      <c r="C80" s="1713"/>
      <c r="D80" s="1713"/>
      <c r="E80" s="1195">
        <f>'Budget-Unrestricted MYP'!F80</f>
        <v>0</v>
      </c>
      <c r="F80" s="1182">
        <f>'1st Interim-Unrestricted MYP'!G80</f>
        <v>0</v>
      </c>
      <c r="G80" s="717"/>
      <c r="H80" s="717"/>
      <c r="I80" s="49" t="str">
        <f t="shared" si="3"/>
        <v xml:space="preserve"> </v>
      </c>
      <c r="J80" s="723"/>
      <c r="K80" s="487" t="str">
        <f t="shared" si="4"/>
        <v xml:space="preserve"> </v>
      </c>
      <c r="L80" s="707"/>
      <c r="M80" s="486" t="str">
        <f t="shared" si="5"/>
        <v xml:space="preserve"> </v>
      </c>
    </row>
    <row r="81" spans="1:13" ht="15.75">
      <c r="A81" s="283"/>
      <c r="B81" s="291">
        <v>7</v>
      </c>
      <c r="C81" s="1713"/>
      <c r="D81" s="1713"/>
      <c r="E81" s="1195">
        <f>'Budget-Unrestricted MYP'!F81</f>
        <v>0</v>
      </c>
      <c r="F81" s="1182">
        <f>'1st Interim-Unrestricted MYP'!G81</f>
        <v>0</v>
      </c>
      <c r="G81" s="717"/>
      <c r="H81" s="717"/>
      <c r="I81" s="49" t="str">
        <f t="shared" si="3"/>
        <v xml:space="preserve"> </v>
      </c>
      <c r="J81" s="723"/>
      <c r="K81" s="487" t="str">
        <f t="shared" si="4"/>
        <v xml:space="preserve"> </v>
      </c>
      <c r="L81" s="707"/>
      <c r="M81" s="486" t="str">
        <f t="shared" si="5"/>
        <v xml:space="preserve"> </v>
      </c>
    </row>
    <row r="82" spans="1:13" ht="15.75">
      <c r="A82" s="67"/>
      <c r="B82" s="291">
        <v>8</v>
      </c>
      <c r="C82" s="1713"/>
      <c r="D82" s="1713"/>
      <c r="E82" s="1195">
        <f>'Budget-Unrestricted MYP'!F82</f>
        <v>0</v>
      </c>
      <c r="F82" s="1182">
        <f>'1st Interim-Unrestricted MYP'!G82</f>
        <v>0</v>
      </c>
      <c r="G82" s="718"/>
      <c r="H82" s="718"/>
      <c r="I82" s="49" t="str">
        <f t="shared" si="3"/>
        <v xml:space="preserve"> </v>
      </c>
      <c r="J82" s="725"/>
      <c r="K82" s="487" t="str">
        <f t="shared" si="4"/>
        <v xml:space="preserve"> </v>
      </c>
      <c r="L82" s="714"/>
      <c r="M82" s="486" t="str">
        <f t="shared" si="5"/>
        <v xml:space="preserve"> </v>
      </c>
    </row>
    <row r="83" spans="1:13" ht="16.5" thickBot="1">
      <c r="A83" s="67"/>
      <c r="B83" s="935">
        <v>9</v>
      </c>
      <c r="C83" s="1764"/>
      <c r="D83" s="1764"/>
      <c r="E83" s="1195">
        <f>'Budget-Unrestricted MYP'!F83</f>
        <v>0</v>
      </c>
      <c r="F83" s="1182">
        <f>'1st Interim-Unrestricted MYP'!G83</f>
        <v>0</v>
      </c>
      <c r="G83" s="719"/>
      <c r="H83" s="719"/>
      <c r="I83" s="49" t="str">
        <f t="shared" si="3"/>
        <v xml:space="preserve"> </v>
      </c>
      <c r="J83" s="831"/>
      <c r="K83" s="488" t="str">
        <f t="shared" si="4"/>
        <v xml:space="preserve"> </v>
      </c>
      <c r="L83" s="708"/>
      <c r="M83" s="489" t="str">
        <f t="shared" si="5"/>
        <v xml:space="preserve"> </v>
      </c>
    </row>
    <row r="84" spans="1:13" ht="17.25" thickTop="1" thickBot="1">
      <c r="A84" s="67"/>
      <c r="B84" s="936" t="s">
        <v>103</v>
      </c>
      <c r="C84" s="1700" t="s">
        <v>309</v>
      </c>
      <c r="D84" s="1701"/>
      <c r="E84" s="1170">
        <f>SUM(E75:E83)</f>
        <v>0</v>
      </c>
      <c r="F84" s="1170">
        <f>SUM(F75:F83)</f>
        <v>0</v>
      </c>
      <c r="G84" s="1170">
        <f>SUM(G75:G83)</f>
        <v>0</v>
      </c>
      <c r="H84" s="1170">
        <f>SUM(H75:H83)</f>
        <v>0</v>
      </c>
      <c r="I84" s="1122" t="str">
        <f>IF(E84&lt;1," ",IF(H84&lt;1," ",(H84-E84)/E84))</f>
        <v xml:space="preserve"> </v>
      </c>
      <c r="J84" s="897">
        <f>SUM(J75:J83)</f>
        <v>0</v>
      </c>
      <c r="K84" s="898" t="str">
        <f t="shared" si="4"/>
        <v xml:space="preserve"> </v>
      </c>
      <c r="L84" s="897">
        <f>SUM(L75:L83)</f>
        <v>0</v>
      </c>
      <c r="M84" s="899" t="str">
        <f t="shared" si="5"/>
        <v xml:space="preserve"> </v>
      </c>
    </row>
    <row r="85" spans="1:13" ht="16.5" thickTop="1">
      <c r="A85" s="67"/>
      <c r="B85" s="983"/>
      <c r="C85" s="965"/>
      <c r="D85" s="965"/>
      <c r="E85" s="168"/>
      <c r="F85" s="168"/>
      <c r="G85" s="51"/>
      <c r="H85" s="168"/>
      <c r="I85" s="51"/>
      <c r="J85" s="168"/>
      <c r="K85" s="51"/>
      <c r="L85" s="51"/>
      <c r="M85" s="312"/>
    </row>
    <row r="86" spans="1:13" ht="15.75">
      <c r="A86" s="67"/>
      <c r="B86" s="969" t="s">
        <v>310</v>
      </c>
      <c r="C86" s="350"/>
      <c r="D86" s="973"/>
      <c r="E86" s="1123">
        <f>'Budget-Unrestricted MYP'!F86</f>
        <v>150</v>
      </c>
      <c r="F86" s="1099">
        <f>'1st Interim-Unrestricted MYP'!G86</f>
        <v>163</v>
      </c>
      <c r="G86" s="579"/>
      <c r="H86" s="972">
        <f>'2nd Interim-Assumptions'!G16</f>
        <v>163</v>
      </c>
      <c r="I86" s="468"/>
      <c r="J86" s="972">
        <f>'2nd Interim-Assumptions'!H16</f>
        <v>163</v>
      </c>
      <c r="K86" s="468"/>
      <c r="L86" s="972">
        <f>'2nd Interim-Assumptions'!J16</f>
        <v>163</v>
      </c>
      <c r="M86" s="687"/>
    </row>
    <row r="87" spans="1:13" ht="15.75">
      <c r="A87" s="283"/>
      <c r="B87" s="969" t="s">
        <v>311</v>
      </c>
      <c r="C87" s="350"/>
      <c r="D87" s="973"/>
      <c r="E87" s="1124">
        <f>'Budget-Unrestricted MYP'!F87</f>
        <v>124721.05751999999</v>
      </c>
      <c r="F87" s="1100">
        <f>'1st Interim-Unrestricted MYP'!G87</f>
        <v>114262.96309679998</v>
      </c>
      <c r="G87" s="580"/>
      <c r="H87" s="975">
        <f>(1.04446*'2nd Interim-ADA'!O76)*H86</f>
        <v>110039.13552299999</v>
      </c>
      <c r="I87" s="49">
        <f>IF(E87&lt;1," ",IF(H87&lt;1," ",(H87-E87)/E87))</f>
        <v>-0.11771806853582553</v>
      </c>
      <c r="J87" s="975">
        <f>(1.04446*'2nd Interim-ADA'!R76)*J86</f>
        <v>110830.78397999999</v>
      </c>
      <c r="K87" s="271">
        <f>IF(H87&lt;1," ",IF(J87&lt;1," ",(J87-H87)/H87))</f>
        <v>7.194244604316574E-3</v>
      </c>
      <c r="L87" s="975">
        <f>(1.04446*'2nd Interim-ADA'!U76)*L86</f>
        <v>110830.78397999999</v>
      </c>
      <c r="M87" s="307">
        <f>IF(J87&lt;1," ",IF(L87&lt;1," ",(L87-J87)/J87))</f>
        <v>0</v>
      </c>
    </row>
    <row r="88" spans="1:13" ht="15.75">
      <c r="A88" s="67"/>
      <c r="B88" s="966"/>
      <c r="C88" s="966"/>
      <c r="D88" s="966"/>
      <c r="E88" s="967"/>
      <c r="F88" s="968"/>
      <c r="G88" s="51"/>
      <c r="H88" s="51"/>
      <c r="I88" s="51"/>
      <c r="J88" s="51"/>
      <c r="K88" s="51"/>
      <c r="L88" s="51"/>
      <c r="M88" s="312"/>
    </row>
    <row r="89" spans="1:13" ht="15.75">
      <c r="A89" s="283"/>
      <c r="B89" s="165"/>
      <c r="C89" s="165" t="s">
        <v>552</v>
      </c>
      <c r="D89" s="165"/>
      <c r="E89" s="165"/>
      <c r="F89" s="550"/>
      <c r="G89" s="550"/>
      <c r="H89" s="550"/>
      <c r="I89" s="550"/>
      <c r="J89" s="550"/>
      <c r="K89" s="550"/>
      <c r="L89" s="51"/>
      <c r="M89" s="312"/>
    </row>
    <row r="90" spans="1:13" ht="15.75">
      <c r="A90" s="283"/>
      <c r="B90" s="290">
        <v>1</v>
      </c>
      <c r="C90" s="1710" t="s">
        <v>553</v>
      </c>
      <c r="D90" s="1711"/>
      <c r="E90" s="1129">
        <f>'Budget-Unrestricted MYP'!F90</f>
        <v>32543</v>
      </c>
      <c r="F90" s="1160">
        <f>'1st Interim-Unrestricted MYP'!G90</f>
        <v>32543</v>
      </c>
      <c r="G90" s="1163">
        <v>32543</v>
      </c>
      <c r="H90" s="717"/>
      <c r="I90" s="49" t="str">
        <f t="shared" ref="I90:I108" si="6">IF(E90&lt;1," ",IF(H90&lt;1," ",(H90-E90)/E90))</f>
        <v xml:space="preserve"> </v>
      </c>
      <c r="J90" s="723">
        <v>33350.066399999996</v>
      </c>
      <c r="K90" s="488" t="str">
        <f t="shared" ref="K90:K108" si="7">IF(H90&lt;1," ",IF(J90&lt;1," ",(J90-H90)/H90))</f>
        <v xml:space="preserve"> </v>
      </c>
      <c r="L90" s="712">
        <v>34387.25346503999</v>
      </c>
      <c r="M90" s="605">
        <f t="shared" ref="M90:M108" si="8">IF(J90&lt;1," ",IF(L90&lt;1," ",(L90-J90)/J90))</f>
        <v>3.1099999999999829E-2</v>
      </c>
    </row>
    <row r="91" spans="1:13" ht="15.75">
      <c r="A91" s="283"/>
      <c r="B91" s="290">
        <v>2</v>
      </c>
      <c r="C91" s="1710" t="s">
        <v>584</v>
      </c>
      <c r="D91" s="1711"/>
      <c r="E91" s="1125">
        <f>'Budget-Unrestricted MYP'!F91</f>
        <v>0</v>
      </c>
      <c r="F91" s="1161">
        <f>'1st Interim-Unrestricted MYP'!G91</f>
        <v>0</v>
      </c>
      <c r="G91" s="1150">
        <v>71789.25</v>
      </c>
      <c r="H91" s="718"/>
      <c r="I91" s="49" t="str">
        <f t="shared" si="6"/>
        <v xml:space="preserve"> </v>
      </c>
      <c r="J91" s="725"/>
      <c r="K91" s="488" t="str">
        <f t="shared" si="7"/>
        <v xml:space="preserve"> </v>
      </c>
      <c r="L91" s="714"/>
      <c r="M91" s="489" t="str">
        <f t="shared" si="8"/>
        <v xml:space="preserve"> </v>
      </c>
    </row>
    <row r="92" spans="1:13" ht="15.75">
      <c r="A92" s="283"/>
      <c r="B92" s="290">
        <v>3</v>
      </c>
      <c r="C92" s="1710"/>
      <c r="D92" s="1711"/>
      <c r="E92" s="1125">
        <f>'Budget-Unrestricted MYP'!F92</f>
        <v>0</v>
      </c>
      <c r="F92" s="1161">
        <f>'1st Interim-Unrestricted MYP'!G92</f>
        <v>0</v>
      </c>
      <c r="G92" s="1150"/>
      <c r="H92" s="718"/>
      <c r="I92" s="49" t="str">
        <f t="shared" si="6"/>
        <v xml:space="preserve"> </v>
      </c>
      <c r="J92" s="725"/>
      <c r="K92" s="488" t="str">
        <f t="shared" si="7"/>
        <v xml:space="preserve"> </v>
      </c>
      <c r="L92" s="714"/>
      <c r="M92" s="489" t="str">
        <f t="shared" si="8"/>
        <v xml:space="preserve"> </v>
      </c>
    </row>
    <row r="93" spans="1:13" ht="15.75">
      <c r="A93" s="283"/>
      <c r="B93" s="290">
        <v>4</v>
      </c>
      <c r="C93" s="1710"/>
      <c r="D93" s="1711"/>
      <c r="E93" s="1125">
        <f>'Budget-Unrestricted MYP'!F93</f>
        <v>0</v>
      </c>
      <c r="F93" s="1160">
        <f>'1st Interim-Unrestricted MYP'!G93</f>
        <v>0</v>
      </c>
      <c r="G93" s="1163"/>
      <c r="H93" s="717"/>
      <c r="I93" s="49" t="str">
        <f t="shared" si="6"/>
        <v xml:space="preserve"> </v>
      </c>
      <c r="J93" s="723"/>
      <c r="K93" s="488" t="str">
        <f t="shared" si="7"/>
        <v xml:space="preserve"> </v>
      </c>
      <c r="L93" s="707"/>
      <c r="M93" s="489" t="str">
        <f t="shared" si="8"/>
        <v xml:space="preserve"> </v>
      </c>
    </row>
    <row r="94" spans="1:13" ht="15.75">
      <c r="A94" s="67"/>
      <c r="B94" s="290">
        <v>5</v>
      </c>
      <c r="C94" s="1710"/>
      <c r="D94" s="1711"/>
      <c r="E94" s="1125">
        <f>'Budget-Unrestricted MYP'!F94</f>
        <v>0</v>
      </c>
      <c r="F94" s="1162">
        <f>'1st Interim-Unrestricted MYP'!G94</f>
        <v>0</v>
      </c>
      <c r="G94" s="1164"/>
      <c r="H94" s="735"/>
      <c r="I94" s="49" t="str">
        <f t="shared" si="6"/>
        <v xml:space="preserve"> </v>
      </c>
      <c r="J94" s="832"/>
      <c r="K94" s="488" t="str">
        <f t="shared" si="7"/>
        <v xml:space="preserve"> </v>
      </c>
      <c r="L94" s="837"/>
      <c r="M94" s="489" t="str">
        <f t="shared" si="8"/>
        <v xml:space="preserve"> </v>
      </c>
    </row>
    <row r="95" spans="1:13" ht="15.75">
      <c r="A95" s="284"/>
      <c r="B95" s="291">
        <v>6</v>
      </c>
      <c r="C95" s="1713"/>
      <c r="D95" s="1750"/>
      <c r="E95" s="1125">
        <f>'Budget-Unrestricted MYP'!F95</f>
        <v>0</v>
      </c>
      <c r="F95" s="1127">
        <f>'1st Interim-Unrestricted MYP'!G95</f>
        <v>0</v>
      </c>
      <c r="G95" s="1149"/>
      <c r="H95" s="736"/>
      <c r="I95" s="49" t="str">
        <f t="shared" si="6"/>
        <v xml:space="preserve"> </v>
      </c>
      <c r="J95" s="833"/>
      <c r="K95" s="487" t="str">
        <f t="shared" si="7"/>
        <v xml:space="preserve"> </v>
      </c>
      <c r="L95" s="838"/>
      <c r="M95" s="486" t="str">
        <f t="shared" si="8"/>
        <v xml:space="preserve"> </v>
      </c>
    </row>
    <row r="96" spans="1:13" ht="15.75">
      <c r="A96" s="284"/>
      <c r="B96" s="291">
        <v>7</v>
      </c>
      <c r="C96" s="1713"/>
      <c r="D96" s="1750"/>
      <c r="E96" s="1125">
        <f>'Budget-Unrestricted MYP'!F96</f>
        <v>0</v>
      </c>
      <c r="F96" s="1126">
        <f>'1st Interim-Unrestricted MYP'!G96</f>
        <v>0</v>
      </c>
      <c r="G96" s="1150"/>
      <c r="H96" s="718"/>
      <c r="I96" s="49" t="str">
        <f t="shared" si="6"/>
        <v xml:space="preserve"> </v>
      </c>
      <c r="J96" s="725"/>
      <c r="K96" s="487" t="str">
        <f t="shared" si="7"/>
        <v xml:space="preserve"> </v>
      </c>
      <c r="L96" s="714"/>
      <c r="M96" s="486" t="str">
        <f t="shared" si="8"/>
        <v xml:space="preserve"> </v>
      </c>
    </row>
    <row r="97" spans="1:13" ht="15.75">
      <c r="A97" s="284"/>
      <c r="B97" s="291">
        <v>8</v>
      </c>
      <c r="C97" s="1713"/>
      <c r="D97" s="1750"/>
      <c r="E97" s="1128">
        <f>'Budget-Unrestricted MYP'!F97</f>
        <v>0</v>
      </c>
      <c r="F97" s="1126">
        <f>'1st Interim-Unrestricted MYP'!G97</f>
        <v>0</v>
      </c>
      <c r="G97" s="1150"/>
      <c r="H97" s="721"/>
      <c r="I97" s="49" t="str">
        <f t="shared" si="6"/>
        <v xml:space="preserve"> </v>
      </c>
      <c r="J97" s="725"/>
      <c r="K97" s="487" t="str">
        <f t="shared" si="7"/>
        <v xml:space="preserve"> </v>
      </c>
      <c r="L97" s="714"/>
      <c r="M97" s="486" t="str">
        <f t="shared" si="8"/>
        <v xml:space="preserve"> </v>
      </c>
    </row>
    <row r="98" spans="1:13" ht="15.75">
      <c r="A98" s="284"/>
      <c r="B98" s="291">
        <v>9</v>
      </c>
      <c r="C98" s="1710"/>
      <c r="D98" s="1711"/>
      <c r="E98" s="1118">
        <f>'Budget-Unrestricted MYP'!F98</f>
        <v>0</v>
      </c>
      <c r="F98" s="1126">
        <f>'1st Interim-Unrestricted MYP'!G98</f>
        <v>0</v>
      </c>
      <c r="G98" s="1150"/>
      <c r="H98" s="721"/>
      <c r="I98" s="49" t="str">
        <f t="shared" si="6"/>
        <v xml:space="preserve"> </v>
      </c>
      <c r="J98" s="725"/>
      <c r="K98" s="487" t="str">
        <f t="shared" si="7"/>
        <v xml:space="preserve"> </v>
      </c>
      <c r="L98" s="714"/>
      <c r="M98" s="486" t="str">
        <f t="shared" si="8"/>
        <v xml:space="preserve"> </v>
      </c>
    </row>
    <row r="99" spans="1:13" ht="15.75">
      <c r="A99" s="284"/>
      <c r="B99" s="146">
        <v>10</v>
      </c>
      <c r="C99" s="1713"/>
      <c r="D99" s="1750"/>
      <c r="E99" s="1129">
        <f>'Budget-Unrestricted MYP'!F99</f>
        <v>0</v>
      </c>
      <c r="F99" s="1126">
        <f>'1st Interim-Unrestricted MYP'!G99</f>
        <v>0</v>
      </c>
      <c r="G99" s="1150"/>
      <c r="H99" s="721"/>
      <c r="I99" s="49" t="str">
        <f t="shared" si="6"/>
        <v xml:space="preserve"> </v>
      </c>
      <c r="J99" s="725"/>
      <c r="K99" s="487" t="str">
        <f t="shared" si="7"/>
        <v xml:space="preserve"> </v>
      </c>
      <c r="L99" s="714"/>
      <c r="M99" s="486" t="str">
        <f t="shared" si="8"/>
        <v xml:space="preserve"> </v>
      </c>
    </row>
    <row r="100" spans="1:13" ht="15.75">
      <c r="A100" s="67"/>
      <c r="B100" s="146">
        <v>11</v>
      </c>
      <c r="C100" s="1713"/>
      <c r="D100" s="1750"/>
      <c r="E100" s="1125">
        <f>'Budget-Unrestricted MYP'!F100</f>
        <v>0</v>
      </c>
      <c r="F100" s="1130">
        <f>'1st Interim-Unrestricted MYP'!G100</f>
        <v>0</v>
      </c>
      <c r="G100" s="1151"/>
      <c r="H100" s="1143"/>
      <c r="I100" s="49" t="str">
        <f t="shared" si="6"/>
        <v xml:space="preserve"> </v>
      </c>
      <c r="J100" s="728"/>
      <c r="K100" s="487" t="str">
        <f t="shared" si="7"/>
        <v xml:space="preserve"> </v>
      </c>
      <c r="L100" s="839"/>
      <c r="M100" s="486" t="str">
        <f t="shared" si="8"/>
        <v xml:space="preserve"> </v>
      </c>
    </row>
    <row r="101" spans="1:13" ht="15.75">
      <c r="A101" s="67"/>
      <c r="B101" s="146">
        <v>12</v>
      </c>
      <c r="C101" s="1713"/>
      <c r="D101" s="1750"/>
      <c r="E101" s="1125">
        <f>'Budget-Unrestricted MYP'!F101</f>
        <v>0</v>
      </c>
      <c r="F101" s="983">
        <f>'1st Interim-Unrestricted MYP'!G101</f>
        <v>0</v>
      </c>
      <c r="G101" s="1152"/>
      <c r="H101" s="1144"/>
      <c r="I101" s="49" t="str">
        <f t="shared" si="6"/>
        <v xml:space="preserve"> </v>
      </c>
      <c r="J101" s="729"/>
      <c r="K101" s="487" t="str">
        <f t="shared" si="7"/>
        <v xml:space="preserve"> </v>
      </c>
      <c r="L101" s="840"/>
      <c r="M101" s="486" t="str">
        <f t="shared" si="8"/>
        <v xml:space="preserve"> </v>
      </c>
    </row>
    <row r="102" spans="1:13" ht="15.75">
      <c r="A102" s="67"/>
      <c r="B102" s="146">
        <v>13</v>
      </c>
      <c r="C102" s="1713"/>
      <c r="D102" s="1750"/>
      <c r="E102" s="1125">
        <f>'Budget-Unrestricted MYP'!F102</f>
        <v>0</v>
      </c>
      <c r="F102" s="1131">
        <f>'1st Interim-Unrestricted MYP'!G102</f>
        <v>0</v>
      </c>
      <c r="G102" s="1153"/>
      <c r="H102" s="1145"/>
      <c r="I102" s="49" t="str">
        <f t="shared" si="6"/>
        <v xml:space="preserve"> </v>
      </c>
      <c r="J102" s="834"/>
      <c r="K102" s="487" t="str">
        <f t="shared" si="7"/>
        <v xml:space="preserve"> </v>
      </c>
      <c r="L102" s="743"/>
      <c r="M102" s="486" t="str">
        <f t="shared" si="8"/>
        <v xml:space="preserve"> </v>
      </c>
    </row>
    <row r="103" spans="1:13" ht="15.75">
      <c r="A103" s="67"/>
      <c r="B103" s="146">
        <v>14</v>
      </c>
      <c r="C103" s="1713"/>
      <c r="D103" s="1750"/>
      <c r="E103" s="1125">
        <f>'Budget-Unrestricted MYP'!F103</f>
        <v>0</v>
      </c>
      <c r="F103" s="1132">
        <f>'1st Interim-Unrestricted MYP'!G103</f>
        <v>0</v>
      </c>
      <c r="G103" s="747"/>
      <c r="H103" s="845"/>
      <c r="I103" s="49" t="str">
        <f t="shared" si="6"/>
        <v xml:space="preserve"> </v>
      </c>
      <c r="J103" s="751"/>
      <c r="K103" s="487" t="str">
        <f t="shared" si="7"/>
        <v xml:space="preserve"> </v>
      </c>
      <c r="L103" s="744"/>
      <c r="M103" s="486" t="str">
        <f t="shared" si="8"/>
        <v xml:space="preserve"> </v>
      </c>
    </row>
    <row r="104" spans="1:13" ht="15.75">
      <c r="A104" s="67"/>
      <c r="B104" s="146">
        <v>15</v>
      </c>
      <c r="C104" s="1713"/>
      <c r="D104" s="1750"/>
      <c r="E104" s="1125">
        <f>'Budget-Unrestricted MYP'!F104</f>
        <v>0</v>
      </c>
      <c r="F104" s="1131">
        <f>'1st Interim-Unrestricted MYP'!G104</f>
        <v>0</v>
      </c>
      <c r="G104" s="1153"/>
      <c r="H104" s="1145"/>
      <c r="I104" s="49" t="str">
        <f t="shared" si="6"/>
        <v xml:space="preserve"> </v>
      </c>
      <c r="J104" s="834"/>
      <c r="K104" s="487" t="str">
        <f t="shared" si="7"/>
        <v xml:space="preserve"> </v>
      </c>
      <c r="L104" s="743"/>
      <c r="M104" s="486" t="str">
        <f t="shared" si="8"/>
        <v xml:space="preserve"> </v>
      </c>
    </row>
    <row r="105" spans="1:13" ht="15.75">
      <c r="A105" s="67"/>
      <c r="B105" s="146">
        <v>16</v>
      </c>
      <c r="C105" s="1713"/>
      <c r="D105" s="1750"/>
      <c r="E105" s="1125">
        <f>'Budget-Unrestricted MYP'!F105</f>
        <v>0</v>
      </c>
      <c r="F105" s="1133">
        <f>'1st Interim-Unrestricted MYP'!G105</f>
        <v>0</v>
      </c>
      <c r="G105" s="1154"/>
      <c r="H105" s="1146"/>
      <c r="I105" s="49" t="str">
        <f t="shared" si="6"/>
        <v xml:space="preserve"> </v>
      </c>
      <c r="J105" s="835"/>
      <c r="K105" s="487" t="str">
        <f t="shared" si="7"/>
        <v xml:space="preserve"> </v>
      </c>
      <c r="L105" s="745"/>
      <c r="M105" s="486" t="str">
        <f t="shared" si="8"/>
        <v xml:space="preserve"> </v>
      </c>
    </row>
    <row r="106" spans="1:13" ht="15.75">
      <c r="A106" s="67"/>
      <c r="B106" s="146">
        <v>17</v>
      </c>
      <c r="C106" s="1713"/>
      <c r="D106" s="1750"/>
      <c r="E106" s="1128">
        <f>'Budget-Unrestricted MYP'!F106</f>
        <v>0</v>
      </c>
      <c r="F106" s="1134">
        <f>'1st Interim-Unrestricted MYP'!G106</f>
        <v>0</v>
      </c>
      <c r="G106" s="1155"/>
      <c r="H106" s="1147"/>
      <c r="I106" s="49" t="str">
        <f t="shared" si="6"/>
        <v xml:space="preserve"> </v>
      </c>
      <c r="J106" s="836"/>
      <c r="K106" s="487" t="str">
        <f t="shared" si="7"/>
        <v xml:space="preserve"> </v>
      </c>
      <c r="L106" s="746"/>
      <c r="M106" s="486" t="str">
        <f t="shared" si="8"/>
        <v xml:space="preserve"> </v>
      </c>
    </row>
    <row r="107" spans="1:13" ht="16.5" thickBot="1">
      <c r="A107" s="67"/>
      <c r="B107" s="896">
        <v>18</v>
      </c>
      <c r="C107" s="1755"/>
      <c r="D107" s="1756"/>
      <c r="E107" s="1118">
        <f>'Budget-Unrestricted MYP'!F107</f>
        <v>0</v>
      </c>
      <c r="F107" s="1135">
        <f>'1st Interim-Unrestricted MYP'!G107</f>
        <v>0</v>
      </c>
      <c r="G107" s="1156"/>
      <c r="H107" s="1148"/>
      <c r="I107" s="49" t="str">
        <f t="shared" si="6"/>
        <v xml:space="preserve"> </v>
      </c>
      <c r="J107" s="734"/>
      <c r="K107" s="602" t="str">
        <f t="shared" si="7"/>
        <v xml:space="preserve"> </v>
      </c>
      <c r="L107" s="841"/>
      <c r="M107" s="603" t="str">
        <f t="shared" si="8"/>
        <v xml:space="preserve"> </v>
      </c>
    </row>
    <row r="108" spans="1:13" ht="17.25" thickTop="1" thickBot="1">
      <c r="A108" s="67"/>
      <c r="B108" s="900"/>
      <c r="C108" s="1700" t="s">
        <v>315</v>
      </c>
      <c r="D108" s="1701"/>
      <c r="E108" s="1142">
        <f>SUM(E90:E107)</f>
        <v>32543</v>
      </c>
      <c r="F108" s="1142">
        <f>SUM(F90:F107)</f>
        <v>32543</v>
      </c>
      <c r="G108" s="1142">
        <f>SUM(G90:G107)</f>
        <v>104332.25</v>
      </c>
      <c r="H108" s="897">
        <f>SUM(H90:H107)</f>
        <v>0</v>
      </c>
      <c r="I108" s="1141" t="str">
        <f t="shared" si="6"/>
        <v xml:space="preserve"> </v>
      </c>
      <c r="J108" s="897">
        <f>SUM(J90:J107)</f>
        <v>33350.066399999996</v>
      </c>
      <c r="K108" s="898" t="str">
        <f t="shared" si="7"/>
        <v xml:space="preserve"> </v>
      </c>
      <c r="L108" s="897">
        <f>SUM(L90:L107)</f>
        <v>34387.25346503999</v>
      </c>
      <c r="M108" s="899">
        <f t="shared" si="8"/>
        <v>3.1099999999999829E-2</v>
      </c>
    </row>
    <row r="109" spans="1:13" ht="16.5" thickTop="1">
      <c r="A109" s="67"/>
      <c r="B109" s="152"/>
      <c r="C109" s="1830"/>
      <c r="D109" s="1830"/>
      <c r="E109" s="655"/>
      <c r="F109" s="866"/>
      <c r="G109" s="457"/>
      <c r="H109" s="457"/>
      <c r="I109" s="870"/>
      <c r="J109" s="457"/>
      <c r="K109" s="870"/>
      <c r="L109" s="457"/>
      <c r="M109" s="872"/>
    </row>
    <row r="110" spans="1:13" ht="15.75">
      <c r="A110" s="283"/>
      <c r="B110" s="165"/>
      <c r="C110" s="165" t="s">
        <v>316</v>
      </c>
      <c r="D110" s="165"/>
      <c r="E110" s="165"/>
      <c r="F110" s="550"/>
      <c r="G110" s="550"/>
      <c r="H110" s="550"/>
      <c r="I110" s="550"/>
      <c r="J110" s="550"/>
      <c r="K110" s="550"/>
      <c r="L110" s="51"/>
      <c r="M110" s="312"/>
    </row>
    <row r="111" spans="1:13" ht="15.75">
      <c r="A111" s="67"/>
      <c r="B111" s="290">
        <v>1</v>
      </c>
      <c r="C111" s="1710" t="s">
        <v>585</v>
      </c>
      <c r="D111" s="1711"/>
      <c r="E111" s="1136">
        <f>'Budget-Unrestricted MYP'!F111</f>
        <v>0</v>
      </c>
      <c r="F111" s="1132">
        <f>'1st Interim-Unrestricted MYP'!G111</f>
        <v>12119</v>
      </c>
      <c r="G111" s="1157">
        <v>137693.84</v>
      </c>
      <c r="H111" s="842">
        <v>148658</v>
      </c>
      <c r="I111" s="49" t="str">
        <f t="shared" ref="I111:I117" si="9">IF(E111&lt;1," ",IF(H111&lt;1," ",(H111-E111)/E111))</f>
        <v xml:space="preserve"> </v>
      </c>
      <c r="J111" s="751">
        <v>51944.718399999663</v>
      </c>
      <c r="K111" s="30">
        <f t="shared" ref="K111:K117" si="10">IF(H111&lt;1," ",IF(J111&lt;1," ",(J111-H111)/H111))</f>
        <v>-0.65057569454721798</v>
      </c>
      <c r="L111" s="842">
        <v>53560.199142239646</v>
      </c>
      <c r="M111" s="641">
        <f t="shared" ref="M111:M117" si="11">IF(J111&lt;1," ",IF(L111&lt;1," ",(L111-J111)/J111))</f>
        <v>3.1099999999999867E-2</v>
      </c>
    </row>
    <row r="112" spans="1:13" ht="15.75">
      <c r="A112" s="67"/>
      <c r="B112" s="290">
        <v>2</v>
      </c>
      <c r="C112" s="1710" t="s">
        <v>586</v>
      </c>
      <c r="D112" s="1711"/>
      <c r="E112" s="1137">
        <f>'Budget-Unrestricted MYP'!F112</f>
        <v>2000000</v>
      </c>
      <c r="F112" s="1138">
        <f>'1st Interim-Unrestricted MYP'!G112</f>
        <v>2000000</v>
      </c>
      <c r="G112" s="1158">
        <v>2000000</v>
      </c>
      <c r="H112" s="843">
        <v>2000000</v>
      </c>
      <c r="I112" s="49">
        <f t="shared" si="9"/>
        <v>0</v>
      </c>
      <c r="J112" s="749"/>
      <c r="K112" s="79" t="str">
        <f t="shared" si="10"/>
        <v xml:space="preserve"> </v>
      </c>
      <c r="L112" s="843"/>
      <c r="M112" s="642" t="str">
        <f t="shared" si="11"/>
        <v xml:space="preserve"> </v>
      </c>
    </row>
    <row r="113" spans="1:13" ht="15.75">
      <c r="A113" s="67"/>
      <c r="B113" s="290">
        <v>3</v>
      </c>
      <c r="C113" s="1710"/>
      <c r="D113" s="1711"/>
      <c r="E113" s="1139">
        <f>'Budget-Unrestricted MYP'!F113</f>
        <v>0</v>
      </c>
      <c r="F113" s="1135">
        <f>'1st Interim-Unrestricted MYP'!G113</f>
        <v>750</v>
      </c>
      <c r="G113" s="1159"/>
      <c r="H113" s="844"/>
      <c r="I113" s="49" t="str">
        <f t="shared" si="9"/>
        <v xml:space="preserve"> </v>
      </c>
      <c r="J113" s="752"/>
      <c r="K113" s="333" t="str">
        <f t="shared" si="10"/>
        <v xml:space="preserve"> </v>
      </c>
      <c r="L113" s="844"/>
      <c r="M113" s="643" t="str">
        <f t="shared" si="11"/>
        <v xml:space="preserve"> </v>
      </c>
    </row>
    <row r="114" spans="1:13" ht="15.75">
      <c r="A114" s="67"/>
      <c r="B114" s="290">
        <v>4</v>
      </c>
      <c r="C114" s="1710"/>
      <c r="D114" s="1711"/>
      <c r="E114" s="1139">
        <f>'Budget-Unrestricted MYP'!F114</f>
        <v>0</v>
      </c>
      <c r="F114" s="1132">
        <f>'1st Interim-Unrestricted MYP'!G114</f>
        <v>0</v>
      </c>
      <c r="G114" s="747"/>
      <c r="H114" s="845"/>
      <c r="I114" s="49" t="str">
        <f t="shared" si="9"/>
        <v xml:space="preserve"> </v>
      </c>
      <c r="J114" s="751"/>
      <c r="K114" s="30" t="str">
        <f t="shared" si="10"/>
        <v xml:space="preserve"> </v>
      </c>
      <c r="L114" s="845"/>
      <c r="M114" s="644" t="str">
        <f t="shared" si="11"/>
        <v xml:space="preserve"> </v>
      </c>
    </row>
    <row r="115" spans="1:13" ht="15.75">
      <c r="A115" s="67"/>
      <c r="B115" s="290">
        <v>5</v>
      </c>
      <c r="C115" s="1710"/>
      <c r="D115" s="1711"/>
      <c r="E115" s="1139">
        <f>'Budget-Unrestricted MYP'!F115</f>
        <v>0</v>
      </c>
      <c r="F115" s="1132">
        <f>'1st Interim-Unrestricted MYP'!G115</f>
        <v>0</v>
      </c>
      <c r="G115" s="747"/>
      <c r="H115" s="845"/>
      <c r="I115" s="49" t="str">
        <f t="shared" si="9"/>
        <v xml:space="preserve"> </v>
      </c>
      <c r="J115" s="751"/>
      <c r="K115" s="30" t="str">
        <f t="shared" si="10"/>
        <v xml:space="preserve"> </v>
      </c>
      <c r="L115" s="845"/>
      <c r="M115" s="644" t="str">
        <f t="shared" si="11"/>
        <v xml:space="preserve"> </v>
      </c>
    </row>
    <row r="116" spans="1:13" ht="16.5" thickBot="1">
      <c r="A116" s="67"/>
      <c r="B116" s="935">
        <v>6</v>
      </c>
      <c r="C116" s="1755"/>
      <c r="D116" s="1756"/>
      <c r="E116" s="1140">
        <f>'Budget-Unrestricted MYP'!F116</f>
        <v>0</v>
      </c>
      <c r="F116" s="1135">
        <f>'1st Interim-Unrestricted MYP'!G116</f>
        <v>0</v>
      </c>
      <c r="G116" s="1156"/>
      <c r="H116" s="1148"/>
      <c r="I116" s="49" t="str">
        <f t="shared" si="9"/>
        <v xml:space="preserve"> </v>
      </c>
      <c r="J116" s="752"/>
      <c r="K116" s="95" t="str">
        <f t="shared" si="10"/>
        <v xml:space="preserve"> </v>
      </c>
      <c r="L116" s="844"/>
      <c r="M116" s="643" t="str">
        <f t="shared" si="11"/>
        <v xml:space="preserve"> </v>
      </c>
    </row>
    <row r="117" spans="1:13" ht="17.25" thickTop="1" thickBot="1">
      <c r="A117" s="239"/>
      <c r="B117" s="926"/>
      <c r="C117" s="1700" t="s">
        <v>319</v>
      </c>
      <c r="D117" s="1701"/>
      <c r="E117" s="1142">
        <f>SUM(E111:E116)</f>
        <v>2000000</v>
      </c>
      <c r="F117" s="1142">
        <f>SUM(F111:F116)</f>
        <v>2012869</v>
      </c>
      <c r="G117" s="1142">
        <f>SUM(G111:G116)</f>
        <v>2137693.84</v>
      </c>
      <c r="H117" s="897">
        <f>SUM(H111:H116)</f>
        <v>2148658</v>
      </c>
      <c r="I117" s="1141">
        <f t="shared" si="9"/>
        <v>7.4329000000000006E-2</v>
      </c>
      <c r="J117" s="897">
        <f>SUM(J111:J116)</f>
        <v>51944.718399999663</v>
      </c>
      <c r="K117" s="898">
        <f t="shared" si="10"/>
        <v>-0.97582457589807237</v>
      </c>
      <c r="L117" s="897">
        <f>SUM(L111:L116)</f>
        <v>53560.199142239646</v>
      </c>
      <c r="M117" s="588">
        <f t="shared" si="11"/>
        <v>3.1099999999999867E-2</v>
      </c>
    </row>
    <row r="118" spans="1:13" ht="15.75">
      <c r="A118" s="2"/>
      <c r="B118" s="3"/>
      <c r="C118" s="3"/>
      <c r="D118" s="45"/>
      <c r="F118" s="4"/>
      <c r="G118" s="46"/>
      <c r="H118" s="46"/>
      <c r="I118" s="4"/>
      <c r="J118" s="46"/>
      <c r="K118" s="4"/>
      <c r="L118" s="46"/>
      <c r="M118" s="4"/>
    </row>
    <row r="119" spans="1:13" ht="15.75">
      <c r="A119" s="2"/>
      <c r="B119" s="2"/>
      <c r="C119" s="2"/>
      <c r="D119" s="2"/>
      <c r="E119" s="2"/>
      <c r="F119" s="2"/>
      <c r="G119" s="31"/>
      <c r="H119" s="31"/>
      <c r="I119" s="2"/>
      <c r="J119" s="31"/>
      <c r="K119" s="2"/>
      <c r="L119" s="31"/>
      <c r="M119" s="2"/>
    </row>
    <row r="120" spans="1:13" ht="15.75">
      <c r="A120" s="2"/>
      <c r="B120" s="2"/>
      <c r="C120" s="2"/>
      <c r="D120" s="2"/>
      <c r="E120" s="2"/>
      <c r="F120" s="2"/>
      <c r="G120" s="31"/>
      <c r="H120" s="31"/>
      <c r="I120" s="2"/>
      <c r="J120" s="31"/>
      <c r="K120" s="2"/>
      <c r="L120" s="31"/>
      <c r="M120" s="2"/>
    </row>
    <row r="121" spans="1:13" ht="15.75">
      <c r="A121" s="2"/>
      <c r="B121" s="2"/>
      <c r="C121" s="2"/>
      <c r="D121" s="2"/>
      <c r="E121" s="2"/>
      <c r="F121" s="2"/>
      <c r="G121" s="31"/>
      <c r="H121" s="31"/>
      <c r="I121" s="2"/>
      <c r="J121" s="31"/>
      <c r="K121" s="2"/>
      <c r="L121" s="31"/>
      <c r="M121" s="2"/>
    </row>
    <row r="122" spans="1:13" ht="15.75">
      <c r="A122" s="2"/>
      <c r="B122" s="2"/>
      <c r="C122" s="2"/>
      <c r="D122" s="2"/>
      <c r="E122" s="2"/>
      <c r="F122" s="2"/>
      <c r="G122" s="31"/>
      <c r="H122" s="31"/>
      <c r="I122" s="2"/>
      <c r="J122" s="31"/>
      <c r="K122" s="2"/>
      <c r="L122" s="31"/>
      <c r="M122" s="2"/>
    </row>
    <row r="123" spans="1:13" ht="15.75">
      <c r="A123" s="2"/>
      <c r="B123" s="2"/>
      <c r="C123" s="2"/>
      <c r="D123" s="2"/>
      <c r="E123" s="2"/>
      <c r="F123" s="2"/>
      <c r="G123" s="31"/>
      <c r="H123" s="31"/>
      <c r="I123" s="2"/>
      <c r="J123" s="31"/>
      <c r="K123" s="2"/>
      <c r="L123" s="31"/>
      <c r="M123" s="2"/>
    </row>
    <row r="124" spans="1:13" ht="15.75">
      <c r="A124" s="2"/>
      <c r="B124" s="2"/>
      <c r="C124" s="2"/>
      <c r="D124" s="2"/>
      <c r="E124" s="2"/>
      <c r="F124" s="2"/>
      <c r="G124" s="31"/>
      <c r="H124" s="31"/>
      <c r="I124" s="2"/>
      <c r="J124" s="31"/>
      <c r="K124" s="2"/>
      <c r="L124" s="31"/>
      <c r="M124" s="2"/>
    </row>
    <row r="125" spans="1:13" ht="15.75">
      <c r="A125" s="2"/>
      <c r="B125" s="2"/>
      <c r="C125" s="2"/>
      <c r="D125" s="2"/>
      <c r="E125" s="2"/>
      <c r="F125" s="2"/>
      <c r="G125" s="31"/>
      <c r="H125" s="31"/>
      <c r="I125" s="2"/>
      <c r="J125" s="31"/>
      <c r="K125" s="2"/>
      <c r="L125" s="31"/>
      <c r="M125" s="2"/>
    </row>
    <row r="126" spans="1:13" ht="15.75">
      <c r="A126" s="2"/>
      <c r="B126" s="2"/>
      <c r="C126" s="2"/>
      <c r="D126" s="2"/>
      <c r="E126" s="2"/>
      <c r="F126" s="2"/>
      <c r="G126" s="31"/>
      <c r="H126" s="31"/>
      <c r="I126" s="2"/>
      <c r="J126" s="31"/>
      <c r="K126" s="2"/>
      <c r="L126" s="31"/>
      <c r="M126" s="2"/>
    </row>
    <row r="127" spans="1:13" ht="15.75">
      <c r="A127" s="2"/>
      <c r="B127" s="2"/>
      <c r="C127" s="2"/>
      <c r="D127" s="2"/>
      <c r="E127" s="2"/>
      <c r="F127" s="2"/>
      <c r="G127" s="31"/>
      <c r="H127" s="31"/>
      <c r="I127" s="2"/>
      <c r="J127" s="31"/>
      <c r="K127" s="2"/>
      <c r="L127" s="31"/>
      <c r="M127" s="2"/>
    </row>
    <row r="128" spans="1:13" ht="15.75">
      <c r="A128" s="2"/>
      <c r="B128" s="2"/>
      <c r="C128" s="2"/>
      <c r="D128" s="2"/>
      <c r="E128" s="2"/>
      <c r="F128" s="2"/>
      <c r="G128" s="31"/>
      <c r="H128" s="31"/>
      <c r="I128" s="2"/>
      <c r="J128" s="31"/>
      <c r="K128" s="2"/>
      <c r="L128" s="31"/>
      <c r="M128" s="2"/>
    </row>
    <row r="129" spans="1:13" ht="15.75">
      <c r="A129" s="2"/>
      <c r="B129" s="2"/>
      <c r="C129" s="2"/>
      <c r="D129" s="2"/>
      <c r="E129" s="2"/>
      <c r="F129" s="2"/>
      <c r="G129" s="31"/>
      <c r="H129" s="31"/>
      <c r="I129" s="2"/>
      <c r="J129" s="31"/>
      <c r="K129" s="2"/>
      <c r="L129" s="31"/>
      <c r="M129" s="2"/>
    </row>
    <row r="130" spans="1:13" ht="15.75">
      <c r="A130" s="2"/>
      <c r="B130" s="2"/>
      <c r="C130" s="2"/>
      <c r="D130" s="2"/>
      <c r="E130" s="2"/>
      <c r="F130" s="2"/>
      <c r="G130" s="31"/>
      <c r="H130" s="31"/>
      <c r="I130" s="2"/>
      <c r="J130" s="31"/>
      <c r="K130" s="2"/>
      <c r="L130" s="31"/>
      <c r="M130" s="2"/>
    </row>
    <row r="131" spans="1:13" ht="15.75">
      <c r="A131" s="2"/>
      <c r="B131" s="2"/>
      <c r="C131" s="2"/>
      <c r="D131" s="2"/>
      <c r="E131" s="2"/>
      <c r="F131" s="2"/>
      <c r="G131" s="31"/>
      <c r="H131" s="31"/>
      <c r="I131" s="2"/>
      <c r="J131" s="31"/>
      <c r="K131" s="2"/>
      <c r="L131" s="31"/>
      <c r="M131" s="2"/>
    </row>
    <row r="132" spans="1:13" ht="15.75">
      <c r="A132" s="2"/>
      <c r="B132" s="2"/>
      <c r="C132" s="2"/>
      <c r="D132" s="2"/>
      <c r="E132" s="2"/>
      <c r="F132" s="2"/>
      <c r="G132" s="31"/>
      <c r="H132" s="31"/>
      <c r="I132" s="2"/>
      <c r="J132" s="31"/>
      <c r="K132" s="2"/>
      <c r="L132" s="31"/>
      <c r="M132" s="2"/>
    </row>
    <row r="133" spans="1:13" ht="15.75">
      <c r="A133" s="2"/>
      <c r="B133" s="2"/>
      <c r="C133" s="2"/>
      <c r="D133" s="2"/>
      <c r="E133" s="2"/>
      <c r="F133" s="2"/>
      <c r="G133" s="31"/>
      <c r="H133" s="31"/>
      <c r="I133" s="2"/>
      <c r="J133" s="31"/>
      <c r="K133" s="2"/>
      <c r="L133" s="31"/>
      <c r="M133" s="2"/>
    </row>
    <row r="134" spans="1:13" ht="15.75">
      <c r="A134" s="2"/>
      <c r="B134" s="2"/>
      <c r="C134" s="2"/>
      <c r="D134" s="2"/>
      <c r="E134" s="2"/>
      <c r="F134" s="2"/>
      <c r="G134" s="31"/>
      <c r="H134" s="31"/>
      <c r="I134" s="2"/>
      <c r="J134" s="31"/>
      <c r="K134" s="2"/>
      <c r="L134" s="31"/>
      <c r="M134" s="2"/>
    </row>
    <row r="135" spans="1:13" ht="15.75">
      <c r="A135" s="2"/>
      <c r="B135" s="2"/>
      <c r="C135" s="2"/>
      <c r="D135" s="2"/>
      <c r="E135" s="2"/>
      <c r="F135" s="2"/>
      <c r="G135" s="31"/>
      <c r="H135" s="31"/>
      <c r="I135" s="2"/>
      <c r="J135" s="31"/>
      <c r="K135" s="2"/>
      <c r="L135" s="31"/>
      <c r="M135" s="2"/>
    </row>
    <row r="136" spans="1:13" ht="15.75">
      <c r="A136" s="2"/>
      <c r="B136" s="2"/>
      <c r="C136" s="2"/>
      <c r="D136" s="2"/>
      <c r="E136" s="2"/>
      <c r="F136" s="2"/>
      <c r="G136" s="31"/>
      <c r="H136" s="31"/>
      <c r="I136" s="2"/>
      <c r="J136" s="31"/>
      <c r="K136" s="2"/>
      <c r="L136" s="31"/>
      <c r="M136" s="2"/>
    </row>
    <row r="137" spans="1:13" ht="15.75">
      <c r="A137" s="2"/>
      <c r="B137" s="2"/>
      <c r="C137" s="2"/>
      <c r="D137" s="2"/>
      <c r="E137" s="2"/>
      <c r="F137" s="2"/>
      <c r="G137" s="31"/>
      <c r="H137" s="31"/>
      <c r="I137" s="2"/>
      <c r="J137" s="31"/>
      <c r="K137" s="2"/>
      <c r="L137" s="31"/>
      <c r="M137" s="2"/>
    </row>
    <row r="138" spans="1:13" ht="15.75">
      <c r="A138" s="2"/>
      <c r="B138" s="2"/>
      <c r="C138" s="2"/>
      <c r="D138" s="2"/>
      <c r="E138" s="2"/>
      <c r="F138" s="2"/>
      <c r="G138" s="31"/>
      <c r="H138" s="31"/>
      <c r="I138" s="2"/>
      <c r="J138" s="31"/>
      <c r="K138" s="2"/>
      <c r="L138" s="31"/>
      <c r="M138" s="2"/>
    </row>
    <row r="139" spans="1:13" ht="15.75">
      <c r="A139" s="2"/>
      <c r="B139" s="2"/>
      <c r="C139" s="2"/>
      <c r="D139" s="2"/>
      <c r="E139" s="2"/>
      <c r="F139" s="2"/>
      <c r="G139" s="31"/>
      <c r="H139" s="31"/>
      <c r="I139" s="2"/>
      <c r="J139" s="31"/>
      <c r="K139" s="2"/>
      <c r="L139" s="31"/>
      <c r="M139" s="2"/>
    </row>
    <row r="140" spans="1:13" ht="15.75">
      <c r="A140" s="2"/>
      <c r="B140" s="2"/>
      <c r="C140" s="2"/>
      <c r="D140" s="2"/>
      <c r="E140" s="2"/>
      <c r="F140" s="2"/>
      <c r="G140" s="31"/>
      <c r="H140" s="31"/>
      <c r="I140" s="2"/>
      <c r="J140" s="31"/>
      <c r="K140" s="2"/>
      <c r="L140" s="31"/>
      <c r="M140" s="2"/>
    </row>
    <row r="141" spans="1:13" ht="15.75">
      <c r="A141" s="2"/>
      <c r="B141" s="2"/>
      <c r="C141" s="2"/>
      <c r="D141" s="2"/>
      <c r="E141" s="2"/>
      <c r="F141" s="2"/>
      <c r="G141" s="31"/>
      <c r="H141" s="31"/>
      <c r="I141" s="2"/>
      <c r="J141" s="31"/>
      <c r="K141" s="2"/>
      <c r="L141" s="31"/>
      <c r="M141" s="2"/>
    </row>
    <row r="142" spans="1:13" ht="15.75">
      <c r="A142" s="2"/>
      <c r="B142" s="2"/>
      <c r="C142" s="2"/>
      <c r="D142" s="2"/>
      <c r="E142" s="2"/>
      <c r="F142" s="2"/>
      <c r="G142" s="31"/>
      <c r="H142" s="31"/>
      <c r="I142" s="2"/>
      <c r="J142" s="31"/>
      <c r="K142" s="2"/>
      <c r="L142" s="31"/>
      <c r="M142" s="2"/>
    </row>
    <row r="143" spans="1:13" ht="15.75">
      <c r="A143" s="2"/>
      <c r="B143" s="2"/>
      <c r="C143" s="2"/>
      <c r="D143" s="2"/>
      <c r="E143" s="2"/>
      <c r="F143" s="2"/>
      <c r="G143" s="31"/>
      <c r="H143" s="31"/>
      <c r="I143" s="2"/>
      <c r="J143" s="31"/>
      <c r="K143" s="2"/>
      <c r="L143" s="31"/>
      <c r="M143" s="2"/>
    </row>
    <row r="144" spans="1:13" ht="15.75">
      <c r="A144" s="2"/>
      <c r="B144" s="2"/>
      <c r="C144" s="2"/>
      <c r="D144" s="2"/>
      <c r="E144" s="2"/>
      <c r="F144" s="2"/>
      <c r="G144" s="31"/>
      <c r="H144" s="31"/>
      <c r="I144" s="2"/>
      <c r="J144" s="31"/>
      <c r="K144" s="2"/>
      <c r="L144" s="31"/>
      <c r="M144" s="2"/>
    </row>
    <row r="145" spans="1:13" ht="15.75">
      <c r="A145" s="2"/>
      <c r="B145" s="2"/>
      <c r="C145" s="2"/>
      <c r="D145" s="2"/>
      <c r="E145" s="2"/>
      <c r="F145" s="2"/>
      <c r="G145" s="31"/>
      <c r="H145" s="31"/>
      <c r="I145" s="2"/>
      <c r="J145" s="31"/>
      <c r="K145" s="2"/>
      <c r="L145" s="31"/>
      <c r="M145" s="2"/>
    </row>
    <row r="146" spans="1:13" ht="15.75">
      <c r="A146" s="2"/>
      <c r="B146" s="2"/>
      <c r="C146" s="2"/>
      <c r="D146" s="2"/>
      <c r="E146" s="2"/>
      <c r="F146" s="2"/>
      <c r="G146" s="31"/>
      <c r="H146" s="31"/>
      <c r="I146" s="2"/>
      <c r="J146" s="31"/>
      <c r="K146" s="2"/>
      <c r="L146" s="31"/>
      <c r="M146" s="2"/>
    </row>
    <row r="147" spans="1:13" ht="15.75">
      <c r="A147" s="2"/>
      <c r="B147" s="2"/>
      <c r="C147" s="2"/>
      <c r="D147" s="2"/>
      <c r="E147" s="2"/>
      <c r="F147" s="2"/>
      <c r="G147" s="31"/>
      <c r="H147" s="31"/>
      <c r="I147" s="2"/>
      <c r="J147" s="31"/>
      <c r="K147" s="2"/>
      <c r="L147" s="31"/>
      <c r="M147" s="2"/>
    </row>
    <row r="148" spans="1:13" ht="15.75">
      <c r="A148" s="2"/>
      <c r="B148" s="2"/>
      <c r="C148" s="2"/>
      <c r="D148" s="2"/>
      <c r="E148" s="2"/>
      <c r="F148" s="2"/>
      <c r="G148" s="31"/>
      <c r="H148" s="31"/>
      <c r="I148" s="2"/>
      <c r="J148" s="31"/>
      <c r="K148" s="2"/>
      <c r="L148" s="31"/>
      <c r="M148" s="2"/>
    </row>
    <row r="149" spans="1:13" ht="15.75">
      <c r="A149" s="2"/>
      <c r="B149" s="2"/>
      <c r="C149" s="2"/>
      <c r="D149" s="2"/>
      <c r="E149" s="2"/>
      <c r="F149" s="2"/>
      <c r="G149" s="31"/>
      <c r="H149" s="31"/>
      <c r="I149" s="2"/>
      <c r="J149" s="31"/>
      <c r="K149" s="2"/>
      <c r="L149" s="31"/>
      <c r="M149" s="2"/>
    </row>
    <row r="150" spans="1:13" ht="15.75">
      <c r="A150" s="2"/>
      <c r="B150" s="2"/>
      <c r="C150" s="2"/>
      <c r="D150" s="2"/>
      <c r="E150" s="2"/>
      <c r="F150" s="2"/>
      <c r="G150" s="31"/>
      <c r="H150" s="31"/>
      <c r="I150" s="2"/>
      <c r="J150" s="31"/>
      <c r="K150" s="2"/>
      <c r="L150" s="31"/>
      <c r="M150" s="2"/>
    </row>
    <row r="151" spans="1:13" ht="15.75">
      <c r="A151" s="2"/>
      <c r="B151" s="2"/>
      <c r="C151" s="2"/>
      <c r="D151" s="2"/>
      <c r="E151" s="2"/>
      <c r="F151" s="2"/>
      <c r="G151" s="31"/>
      <c r="H151" s="31"/>
      <c r="I151" s="2"/>
      <c r="J151" s="31"/>
      <c r="K151" s="2"/>
      <c r="L151" s="31"/>
      <c r="M151" s="2"/>
    </row>
    <row r="152" spans="1:13" ht="15.75">
      <c r="A152" s="2"/>
      <c r="B152" s="2"/>
      <c r="C152" s="2"/>
      <c r="D152" s="2"/>
      <c r="E152" s="2"/>
      <c r="F152" s="2"/>
      <c r="G152" s="31"/>
      <c r="H152" s="31"/>
      <c r="I152" s="2"/>
      <c r="J152" s="31"/>
      <c r="K152" s="2"/>
      <c r="L152" s="31"/>
      <c r="M152" s="2"/>
    </row>
    <row r="153" spans="1:13" ht="15.75">
      <c r="A153" s="2"/>
      <c r="B153" s="2"/>
      <c r="C153" s="2"/>
      <c r="D153" s="2"/>
      <c r="E153" s="2"/>
      <c r="F153" s="2"/>
      <c r="G153" s="31"/>
      <c r="H153" s="31"/>
      <c r="I153" s="2"/>
      <c r="J153" s="31"/>
      <c r="K153" s="2"/>
      <c r="L153" s="31"/>
      <c r="M153" s="2"/>
    </row>
    <row r="154" spans="1:13" ht="15.75">
      <c r="A154" s="2"/>
      <c r="B154" s="2"/>
      <c r="C154" s="2"/>
      <c r="D154" s="2"/>
      <c r="E154" s="2"/>
      <c r="F154" s="2"/>
      <c r="G154" s="31"/>
      <c r="H154" s="31"/>
      <c r="I154" s="2"/>
      <c r="J154" s="31"/>
      <c r="K154" s="2"/>
      <c r="L154" s="31"/>
      <c r="M154" s="2"/>
    </row>
    <row r="155" spans="1:13" ht="15.75">
      <c r="A155" s="2"/>
      <c r="B155" s="2"/>
      <c r="C155" s="2"/>
      <c r="D155" s="2"/>
      <c r="E155" s="2"/>
      <c r="F155" s="2"/>
      <c r="G155" s="31"/>
      <c r="H155" s="31"/>
      <c r="I155" s="2"/>
      <c r="J155" s="31"/>
      <c r="K155" s="2"/>
      <c r="L155" s="31"/>
      <c r="M155" s="2"/>
    </row>
    <row r="156" spans="1:13" ht="15.75">
      <c r="A156" s="2"/>
      <c r="B156" s="2"/>
      <c r="C156" s="2"/>
      <c r="D156" s="2"/>
      <c r="E156" s="2"/>
      <c r="F156" s="2"/>
      <c r="G156" s="31"/>
      <c r="H156" s="31"/>
      <c r="I156" s="2"/>
      <c r="J156" s="31"/>
      <c r="K156" s="2"/>
      <c r="L156" s="31"/>
      <c r="M156" s="2"/>
    </row>
    <row r="157" spans="1:13" ht="15.75">
      <c r="A157" s="2"/>
      <c r="B157" s="2"/>
      <c r="C157" s="2"/>
      <c r="D157" s="2"/>
      <c r="E157" s="2"/>
      <c r="F157" s="2"/>
      <c r="G157" s="31"/>
      <c r="H157" s="31"/>
      <c r="I157" s="2"/>
      <c r="J157" s="31"/>
      <c r="K157" s="2"/>
      <c r="L157" s="31"/>
      <c r="M157" s="2"/>
    </row>
    <row r="158" spans="1:13" ht="15.75">
      <c r="A158" s="2"/>
      <c r="B158" s="2"/>
      <c r="C158" s="2"/>
      <c r="D158" s="2"/>
      <c r="E158" s="2"/>
      <c r="F158" s="2"/>
      <c r="G158" s="31"/>
      <c r="H158" s="31"/>
      <c r="I158" s="2"/>
      <c r="J158" s="31"/>
      <c r="K158" s="2"/>
      <c r="L158" s="31"/>
      <c r="M158" s="2"/>
    </row>
    <row r="159" spans="1:13" ht="15.75">
      <c r="A159" s="2"/>
      <c r="B159" s="2"/>
      <c r="C159" s="2"/>
      <c r="D159" s="2"/>
      <c r="E159" s="2"/>
      <c r="F159" s="2"/>
      <c r="G159" s="31"/>
      <c r="H159" s="31"/>
      <c r="I159" s="2"/>
      <c r="J159" s="31"/>
      <c r="K159" s="2"/>
      <c r="L159" s="31"/>
      <c r="M159" s="2"/>
    </row>
    <row r="160" spans="1:13" ht="15.75">
      <c r="A160" s="2"/>
      <c r="B160" s="2"/>
      <c r="C160" s="2"/>
      <c r="D160" s="2"/>
      <c r="E160" s="2"/>
      <c r="F160" s="2"/>
      <c r="G160" s="31"/>
      <c r="H160" s="31"/>
      <c r="I160" s="2"/>
      <c r="J160" s="31"/>
      <c r="K160" s="2"/>
      <c r="L160" s="31"/>
      <c r="M160" s="2"/>
    </row>
    <row r="161" spans="1:13" ht="15.75">
      <c r="A161" s="2"/>
      <c r="B161" s="2"/>
      <c r="C161" s="2"/>
      <c r="D161" s="2"/>
      <c r="E161" s="2"/>
      <c r="F161" s="2"/>
      <c r="G161" s="31"/>
      <c r="H161" s="31"/>
      <c r="I161" s="2"/>
      <c r="J161" s="31"/>
      <c r="K161" s="2"/>
      <c r="L161" s="31"/>
      <c r="M161" s="2"/>
    </row>
    <row r="162" spans="1:13" ht="15.75">
      <c r="A162" s="2"/>
      <c r="B162" s="2"/>
      <c r="C162" s="2"/>
      <c r="D162" s="2"/>
      <c r="E162" s="2"/>
      <c r="F162" s="2"/>
      <c r="G162" s="31"/>
      <c r="H162" s="31"/>
      <c r="I162" s="2"/>
      <c r="J162" s="31"/>
      <c r="K162" s="2"/>
      <c r="L162" s="31"/>
      <c r="M162" s="2"/>
    </row>
    <row r="163" spans="1:13" ht="15.75">
      <c r="A163" s="2"/>
      <c r="B163" s="2"/>
      <c r="C163" s="2"/>
      <c r="D163" s="2"/>
      <c r="E163" s="2"/>
      <c r="F163" s="2"/>
      <c r="G163" s="31"/>
      <c r="H163" s="31"/>
      <c r="I163" s="2"/>
      <c r="J163" s="31"/>
      <c r="K163" s="2"/>
      <c r="L163" s="31"/>
      <c r="M163" s="2"/>
    </row>
    <row r="164" spans="1:13" ht="15.75">
      <c r="A164" s="2"/>
      <c r="B164" s="2"/>
      <c r="C164" s="2"/>
      <c r="D164" s="2"/>
      <c r="E164" s="2"/>
      <c r="F164" s="2"/>
      <c r="G164" s="31"/>
      <c r="H164" s="31"/>
      <c r="I164" s="2"/>
      <c r="J164" s="31"/>
      <c r="K164" s="2"/>
      <c r="L164" s="31"/>
      <c r="M164" s="2"/>
    </row>
    <row r="165" spans="1:13" ht="15.75">
      <c r="A165" s="2"/>
      <c r="B165" s="2"/>
      <c r="C165" s="2"/>
      <c r="D165" s="2"/>
      <c r="E165" s="2"/>
      <c r="F165" s="2"/>
      <c r="G165" s="31"/>
      <c r="H165" s="31"/>
      <c r="I165" s="2"/>
      <c r="J165" s="31"/>
      <c r="K165" s="2"/>
      <c r="L165" s="31"/>
      <c r="M165" s="2"/>
    </row>
    <row r="166" spans="1:13" ht="15.75">
      <c r="A166" s="2"/>
      <c r="B166" s="2"/>
      <c r="C166" s="2"/>
      <c r="D166" s="2"/>
      <c r="E166" s="2"/>
      <c r="F166" s="2"/>
      <c r="G166" s="31"/>
      <c r="H166" s="31"/>
      <c r="I166" s="2"/>
      <c r="J166" s="31"/>
      <c r="K166" s="2"/>
      <c r="L166" s="31"/>
      <c r="M166" s="2"/>
    </row>
    <row r="167" spans="1:13" ht="15.75">
      <c r="A167" s="2"/>
      <c r="B167" s="2"/>
      <c r="C167" s="2"/>
      <c r="D167" s="2"/>
      <c r="E167" s="2"/>
      <c r="F167" s="2"/>
      <c r="G167" s="31"/>
      <c r="H167" s="31"/>
      <c r="I167" s="2"/>
      <c r="J167" s="31"/>
      <c r="K167" s="2"/>
      <c r="L167" s="31"/>
      <c r="M167" s="2"/>
    </row>
    <row r="168" spans="1:13" ht="15.75">
      <c r="A168" s="2"/>
      <c r="B168" s="2"/>
      <c r="C168" s="2"/>
      <c r="D168" s="2"/>
      <c r="E168" s="2"/>
      <c r="F168" s="2"/>
      <c r="G168" s="31"/>
      <c r="H168" s="31"/>
      <c r="I168" s="2"/>
      <c r="J168" s="31"/>
      <c r="K168" s="2"/>
      <c r="L168" s="31"/>
      <c r="M168" s="2"/>
    </row>
    <row r="169" spans="1:13" ht="15.75">
      <c r="A169" s="2"/>
      <c r="B169" s="2"/>
      <c r="C169" s="2"/>
      <c r="D169" s="2"/>
      <c r="E169" s="2"/>
      <c r="F169" s="2"/>
      <c r="G169" s="31"/>
      <c r="H169" s="31"/>
      <c r="I169" s="2"/>
      <c r="J169" s="31"/>
      <c r="K169" s="2"/>
      <c r="L169" s="31"/>
      <c r="M169" s="2"/>
    </row>
    <row r="170" spans="1:13" ht="15.75">
      <c r="A170" s="2"/>
      <c r="B170" s="2"/>
      <c r="C170" s="2"/>
      <c r="D170" s="2"/>
      <c r="E170" s="2"/>
      <c r="F170" s="2"/>
      <c r="G170" s="31"/>
      <c r="H170" s="31"/>
      <c r="I170" s="2"/>
      <c r="J170" s="31"/>
      <c r="K170" s="2"/>
      <c r="L170" s="31"/>
      <c r="M170" s="2"/>
    </row>
    <row r="171" spans="1:13" ht="15.75">
      <c r="A171" s="2"/>
      <c r="B171" s="2"/>
      <c r="C171" s="2"/>
      <c r="D171" s="2"/>
      <c r="E171" s="2"/>
      <c r="F171" s="2"/>
      <c r="G171" s="31"/>
      <c r="H171" s="31"/>
      <c r="I171" s="2"/>
      <c r="J171" s="31"/>
      <c r="K171" s="2"/>
      <c r="L171" s="31"/>
      <c r="M171" s="2"/>
    </row>
    <row r="172" spans="1:13" ht="15.75">
      <c r="A172" s="2"/>
      <c r="B172" s="2"/>
      <c r="C172" s="2"/>
      <c r="D172" s="2"/>
      <c r="E172" s="2"/>
      <c r="F172" s="2"/>
      <c r="G172" s="31"/>
      <c r="H172" s="31"/>
      <c r="I172" s="2"/>
      <c r="J172" s="31"/>
      <c r="K172" s="2"/>
      <c r="L172" s="31"/>
      <c r="M172" s="2"/>
    </row>
    <row r="173" spans="1:13" ht="15.75">
      <c r="A173" s="2"/>
      <c r="B173" s="2"/>
      <c r="C173" s="2"/>
      <c r="D173" s="2"/>
      <c r="E173" s="2"/>
      <c r="F173" s="2"/>
      <c r="G173" s="31"/>
      <c r="H173" s="31"/>
      <c r="I173" s="2"/>
      <c r="J173" s="31"/>
      <c r="K173" s="2"/>
      <c r="L173" s="31"/>
      <c r="M173" s="2"/>
    </row>
    <row r="174" spans="1:13" ht="15.75">
      <c r="A174" s="2"/>
      <c r="B174" s="2"/>
      <c r="C174" s="2"/>
      <c r="D174" s="2"/>
      <c r="E174" s="2"/>
      <c r="F174" s="2"/>
      <c r="G174" s="31"/>
      <c r="H174" s="31"/>
      <c r="I174" s="2"/>
      <c r="J174" s="31"/>
      <c r="K174" s="2"/>
      <c r="L174" s="31"/>
      <c r="M174" s="2"/>
    </row>
    <row r="175" spans="1:13" ht="15.75">
      <c r="A175" s="2"/>
      <c r="B175" s="2"/>
      <c r="C175" s="2"/>
      <c r="D175" s="2"/>
      <c r="E175" s="2"/>
      <c r="F175" s="2"/>
      <c r="G175" s="31"/>
      <c r="H175" s="31"/>
      <c r="I175" s="2"/>
      <c r="J175" s="31"/>
      <c r="K175" s="2"/>
      <c r="L175" s="31"/>
      <c r="M175" s="2"/>
    </row>
    <row r="176" spans="1:13" ht="15.75">
      <c r="A176" s="2"/>
      <c r="B176" s="2"/>
      <c r="C176" s="2"/>
      <c r="D176" s="2"/>
      <c r="E176" s="2"/>
      <c r="F176" s="2"/>
      <c r="G176" s="31"/>
      <c r="H176" s="31"/>
      <c r="I176" s="2"/>
      <c r="J176" s="31"/>
      <c r="K176" s="2"/>
      <c r="L176" s="31"/>
      <c r="M176" s="2"/>
    </row>
    <row r="177" spans="1:13" ht="15.75">
      <c r="A177" s="2"/>
      <c r="B177" s="2"/>
      <c r="C177" s="2"/>
      <c r="D177" s="2"/>
      <c r="E177" s="2"/>
      <c r="F177" s="2"/>
      <c r="G177" s="31"/>
      <c r="H177" s="31"/>
      <c r="I177" s="2"/>
      <c r="J177" s="31"/>
      <c r="K177" s="2"/>
      <c r="L177" s="31"/>
      <c r="M177" s="2"/>
    </row>
    <row r="178" spans="1:13" ht="15.75">
      <c r="A178" s="2"/>
      <c r="B178" s="2"/>
      <c r="C178" s="2"/>
      <c r="D178" s="2"/>
      <c r="E178" s="2"/>
      <c r="F178" s="2"/>
      <c r="G178" s="31"/>
      <c r="H178" s="31"/>
      <c r="I178" s="2"/>
      <c r="J178" s="31"/>
      <c r="K178" s="2"/>
      <c r="L178" s="31"/>
      <c r="M178" s="2"/>
    </row>
    <row r="179" spans="1:13" ht="15.75">
      <c r="A179" s="2"/>
      <c r="B179" s="2"/>
      <c r="C179" s="2"/>
      <c r="D179" s="2"/>
      <c r="E179" s="2"/>
      <c r="F179" s="2"/>
      <c r="G179" s="31"/>
      <c r="H179" s="31"/>
      <c r="I179" s="2"/>
      <c r="J179" s="31"/>
      <c r="K179" s="2"/>
      <c r="L179" s="31"/>
      <c r="M179" s="2"/>
    </row>
    <row r="180" spans="1:13" ht="15.75">
      <c r="A180" s="2"/>
      <c r="B180" s="2"/>
      <c r="C180" s="2"/>
      <c r="D180" s="2"/>
      <c r="E180" s="2"/>
      <c r="F180" s="2"/>
      <c r="G180" s="31"/>
      <c r="H180" s="31"/>
      <c r="I180" s="2"/>
      <c r="J180" s="31"/>
      <c r="K180" s="2"/>
      <c r="L180" s="31"/>
      <c r="M180" s="2"/>
    </row>
    <row r="181" spans="1:13" ht="15.75">
      <c r="A181" s="2"/>
      <c r="B181" s="2"/>
      <c r="C181" s="2"/>
      <c r="D181" s="2"/>
      <c r="E181" s="2"/>
      <c r="F181" s="2"/>
      <c r="G181" s="31"/>
      <c r="H181" s="31"/>
      <c r="I181" s="2"/>
      <c r="J181" s="31"/>
      <c r="K181" s="2"/>
      <c r="L181" s="31"/>
      <c r="M181" s="2"/>
    </row>
    <row r="182" spans="1:13" ht="15.75">
      <c r="A182" s="2"/>
      <c r="B182" s="2"/>
      <c r="C182" s="2"/>
      <c r="D182" s="2"/>
      <c r="E182" s="2"/>
      <c r="F182" s="2"/>
      <c r="G182" s="31"/>
      <c r="H182" s="31"/>
      <c r="I182" s="2"/>
      <c r="J182" s="31"/>
      <c r="K182" s="2"/>
      <c r="L182" s="31"/>
      <c r="M182" s="2"/>
    </row>
    <row r="183" spans="1:13" ht="15.75">
      <c r="A183" s="2"/>
      <c r="B183" s="2"/>
      <c r="C183" s="2"/>
      <c r="D183" s="2"/>
      <c r="E183" s="2"/>
      <c r="F183" s="2"/>
      <c r="G183" s="31"/>
      <c r="H183" s="31"/>
      <c r="I183" s="2"/>
      <c r="J183" s="31"/>
      <c r="K183" s="2"/>
      <c r="L183" s="31"/>
      <c r="M183" s="2"/>
    </row>
    <row r="184" spans="1:13" ht="15.75">
      <c r="A184" s="2"/>
      <c r="B184" s="2"/>
      <c r="C184" s="2"/>
      <c r="D184" s="2"/>
      <c r="E184" s="2"/>
      <c r="F184" s="2"/>
      <c r="G184" s="31"/>
      <c r="H184" s="31"/>
      <c r="I184" s="2"/>
      <c r="J184" s="31"/>
      <c r="K184" s="2"/>
      <c r="L184" s="31"/>
      <c r="M184" s="2"/>
    </row>
    <row r="185" spans="1:13" ht="15.75">
      <c r="A185" s="2"/>
      <c r="B185" s="2"/>
      <c r="C185" s="2"/>
      <c r="D185" s="2"/>
      <c r="E185" s="2"/>
      <c r="F185" s="2"/>
      <c r="G185" s="31"/>
      <c r="H185" s="31"/>
      <c r="I185" s="2"/>
      <c r="J185" s="31"/>
      <c r="K185" s="2"/>
      <c r="L185" s="31"/>
      <c r="M185" s="2"/>
    </row>
    <row r="186" spans="1:13" ht="15.75">
      <c r="A186" s="2"/>
      <c r="B186" s="2"/>
      <c r="C186" s="2"/>
      <c r="D186" s="2"/>
      <c r="E186" s="2"/>
      <c r="F186" s="2"/>
      <c r="G186" s="31"/>
      <c r="H186" s="31"/>
      <c r="I186" s="2"/>
      <c r="J186" s="31"/>
      <c r="K186" s="2"/>
      <c r="L186" s="31"/>
      <c r="M186" s="2"/>
    </row>
    <row r="187" spans="1:13" ht="15.75">
      <c r="A187" s="2"/>
      <c r="B187" s="2"/>
      <c r="C187" s="2"/>
      <c r="D187" s="2"/>
      <c r="E187" s="2"/>
      <c r="F187" s="2"/>
      <c r="G187" s="31"/>
      <c r="H187" s="31"/>
      <c r="I187" s="2"/>
      <c r="J187" s="31"/>
      <c r="K187" s="2"/>
      <c r="L187" s="31"/>
      <c r="M187" s="2"/>
    </row>
    <row r="188" spans="1:13" ht="15.75">
      <c r="A188" s="2"/>
      <c r="B188" s="2"/>
      <c r="C188" s="2"/>
      <c r="D188" s="2"/>
      <c r="E188" s="2"/>
      <c r="F188" s="2"/>
      <c r="G188" s="31"/>
      <c r="H188" s="31"/>
      <c r="I188" s="2"/>
      <c r="J188" s="31"/>
      <c r="K188" s="2"/>
      <c r="L188" s="31"/>
      <c r="M188" s="2"/>
    </row>
    <row r="189" spans="1:13" ht="15.75">
      <c r="A189" s="2"/>
      <c r="B189" s="2"/>
      <c r="C189" s="2"/>
      <c r="D189" s="2"/>
      <c r="E189" s="2"/>
      <c r="F189" s="2"/>
      <c r="G189" s="31"/>
      <c r="H189" s="31"/>
      <c r="I189" s="2"/>
      <c r="J189" s="31"/>
      <c r="K189" s="2"/>
      <c r="L189" s="31"/>
      <c r="M189" s="2"/>
    </row>
    <row r="190" spans="1:13" ht="15.75">
      <c r="A190" s="2"/>
      <c r="B190" s="2"/>
      <c r="C190" s="2"/>
      <c r="D190" s="2"/>
      <c r="E190" s="2"/>
      <c r="F190" s="2"/>
      <c r="G190" s="31"/>
      <c r="H190" s="31"/>
      <c r="I190" s="2"/>
      <c r="J190" s="31"/>
      <c r="K190" s="2"/>
      <c r="L190" s="31"/>
      <c r="M190" s="2"/>
    </row>
    <row r="191" spans="1:13" ht="15.75">
      <c r="A191" s="2"/>
      <c r="B191" s="2"/>
      <c r="C191" s="2"/>
      <c r="D191" s="2"/>
      <c r="E191" s="2"/>
      <c r="F191" s="2"/>
      <c r="G191" s="31"/>
      <c r="H191" s="31"/>
      <c r="I191" s="2"/>
      <c r="J191" s="31"/>
      <c r="K191" s="2"/>
      <c r="L191" s="31"/>
      <c r="M191" s="2"/>
    </row>
    <row r="192" spans="1:13" ht="15.75">
      <c r="A192" s="2"/>
      <c r="B192" s="2"/>
      <c r="C192" s="2"/>
      <c r="D192" s="2"/>
      <c r="E192" s="2"/>
      <c r="F192" s="2"/>
      <c r="G192" s="31"/>
      <c r="H192" s="31"/>
      <c r="I192" s="2"/>
      <c r="J192" s="31"/>
      <c r="K192" s="2"/>
      <c r="L192" s="31"/>
      <c r="M192" s="2"/>
    </row>
    <row r="193" spans="1:13" ht="15.75">
      <c r="A193" s="2"/>
      <c r="B193" s="2"/>
      <c r="C193" s="2"/>
      <c r="D193" s="2"/>
      <c r="E193" s="2"/>
      <c r="F193" s="2"/>
      <c r="G193" s="31"/>
      <c r="H193" s="31"/>
      <c r="I193" s="2"/>
      <c r="J193" s="31"/>
      <c r="K193" s="2"/>
      <c r="L193" s="31"/>
      <c r="M193" s="2"/>
    </row>
    <row r="194" spans="1:13" ht="15.75">
      <c r="A194" s="2"/>
      <c r="B194" s="2"/>
      <c r="C194" s="2"/>
      <c r="D194" s="2"/>
      <c r="E194" s="2"/>
      <c r="F194" s="2"/>
      <c r="G194" s="31"/>
      <c r="H194" s="31"/>
      <c r="I194" s="2"/>
      <c r="J194" s="31"/>
      <c r="K194" s="2"/>
      <c r="L194" s="31"/>
      <c r="M194" s="2"/>
    </row>
    <row r="195" spans="1:13" ht="15.75">
      <c r="A195" s="2"/>
      <c r="B195" s="2"/>
      <c r="C195" s="2"/>
      <c r="D195" s="2"/>
      <c r="E195" s="2"/>
      <c r="F195" s="2"/>
      <c r="G195" s="31"/>
      <c r="H195" s="31"/>
      <c r="I195" s="2"/>
      <c r="J195" s="31"/>
      <c r="K195" s="2"/>
      <c r="L195" s="31"/>
      <c r="M195" s="2"/>
    </row>
    <row r="196" spans="1:13" ht="15.75">
      <c r="A196" s="2"/>
      <c r="B196" s="2"/>
      <c r="C196" s="2"/>
      <c r="D196" s="2"/>
      <c r="E196" s="2"/>
      <c r="F196" s="2"/>
      <c r="G196" s="31"/>
      <c r="H196" s="31"/>
      <c r="I196" s="2"/>
      <c r="J196" s="31"/>
      <c r="K196" s="2"/>
      <c r="L196" s="31"/>
      <c r="M196" s="2"/>
    </row>
    <row r="197" spans="1:13" ht="15.75">
      <c r="A197" s="2"/>
      <c r="B197" s="2"/>
      <c r="C197" s="2"/>
      <c r="D197" s="2"/>
      <c r="E197" s="2"/>
      <c r="F197" s="2"/>
      <c r="G197" s="31"/>
      <c r="H197" s="31"/>
      <c r="I197" s="2"/>
      <c r="J197" s="31"/>
      <c r="K197" s="2"/>
      <c r="L197" s="31"/>
      <c r="M197" s="2"/>
    </row>
    <row r="198" spans="1:13" ht="15.75">
      <c r="A198" s="2"/>
      <c r="B198" s="2"/>
      <c r="C198" s="2"/>
      <c r="D198" s="2"/>
      <c r="E198" s="2"/>
      <c r="F198" s="2"/>
      <c r="G198" s="31"/>
      <c r="H198" s="31"/>
      <c r="I198" s="2"/>
      <c r="J198" s="31"/>
      <c r="K198" s="2"/>
      <c r="L198" s="31"/>
      <c r="M198" s="2"/>
    </row>
    <row r="199" spans="1:13" ht="15.75">
      <c r="A199" s="2"/>
      <c r="B199" s="2"/>
      <c r="C199" s="2"/>
      <c r="D199" s="2"/>
      <c r="E199" s="2"/>
      <c r="F199" s="2"/>
      <c r="G199" s="31"/>
      <c r="H199" s="31"/>
      <c r="I199" s="2"/>
      <c r="J199" s="31"/>
      <c r="K199" s="2"/>
      <c r="L199" s="31"/>
      <c r="M199" s="2"/>
    </row>
    <row r="200" spans="1:13" ht="15.75">
      <c r="A200" s="2"/>
      <c r="B200" s="2"/>
      <c r="C200" s="2"/>
      <c r="D200" s="2"/>
      <c r="E200" s="2"/>
      <c r="F200" s="2"/>
      <c r="G200" s="31"/>
      <c r="H200" s="31"/>
      <c r="I200" s="2"/>
      <c r="J200" s="31"/>
      <c r="K200" s="2"/>
      <c r="L200" s="31"/>
      <c r="M200" s="2"/>
    </row>
    <row r="201" spans="1:13" ht="15.75">
      <c r="A201" s="2"/>
      <c r="B201" s="2"/>
      <c r="C201" s="2"/>
      <c r="D201" s="2"/>
      <c r="E201" s="2"/>
      <c r="F201" s="2"/>
      <c r="G201" s="31"/>
      <c r="H201" s="31"/>
      <c r="I201" s="2"/>
      <c r="J201" s="31"/>
      <c r="K201" s="2"/>
      <c r="L201" s="31"/>
      <c r="M201" s="2"/>
    </row>
    <row r="202" spans="1:13" ht="15.75">
      <c r="A202" s="2"/>
      <c r="B202" s="2"/>
      <c r="C202" s="2"/>
      <c r="D202" s="2"/>
      <c r="E202" s="2"/>
      <c r="F202" s="2"/>
      <c r="G202" s="31"/>
      <c r="H202" s="31"/>
      <c r="I202" s="2"/>
      <c r="J202" s="31"/>
      <c r="K202" s="2"/>
      <c r="L202" s="31"/>
      <c r="M202" s="2"/>
    </row>
    <row r="203" spans="1:13" ht="15.75">
      <c r="A203" s="2"/>
      <c r="B203" s="2"/>
      <c r="C203" s="2"/>
      <c r="D203" s="2"/>
      <c r="E203" s="2"/>
      <c r="F203" s="2"/>
      <c r="G203" s="31"/>
      <c r="H203" s="31"/>
      <c r="I203" s="2"/>
      <c r="J203" s="31"/>
      <c r="K203" s="2"/>
      <c r="L203" s="31"/>
      <c r="M203" s="2"/>
    </row>
    <row r="204" spans="1:13" ht="15.75">
      <c r="A204" s="2"/>
      <c r="B204" s="2"/>
      <c r="C204" s="2"/>
      <c r="D204" s="2"/>
      <c r="E204" s="2"/>
      <c r="F204" s="2"/>
      <c r="G204" s="31"/>
      <c r="H204" s="31"/>
      <c r="I204" s="2"/>
      <c r="J204" s="31"/>
      <c r="K204" s="2"/>
      <c r="L204" s="31"/>
      <c r="M204" s="2"/>
    </row>
    <row r="205" spans="1:13" ht="15.75">
      <c r="A205" s="2"/>
      <c r="B205" s="2"/>
      <c r="C205" s="2"/>
      <c r="D205" s="2"/>
      <c r="E205" s="2"/>
      <c r="F205" s="2"/>
      <c r="G205" s="31"/>
      <c r="H205" s="31"/>
      <c r="I205" s="2"/>
      <c r="J205" s="31"/>
      <c r="K205" s="2"/>
      <c r="L205" s="31"/>
      <c r="M205" s="2"/>
    </row>
    <row r="206" spans="1:13" ht="15.75">
      <c r="A206" s="2"/>
      <c r="B206" s="2"/>
      <c r="C206" s="2"/>
      <c r="D206" s="2"/>
      <c r="E206" s="2"/>
      <c r="F206" s="2"/>
      <c r="G206" s="31"/>
      <c r="H206" s="31"/>
      <c r="I206" s="2"/>
      <c r="J206" s="31"/>
      <c r="K206" s="2"/>
      <c r="L206" s="31"/>
      <c r="M206" s="2"/>
    </row>
    <row r="207" spans="1:13" ht="15.75">
      <c r="A207" s="2"/>
      <c r="B207" s="2"/>
      <c r="C207" s="2"/>
      <c r="D207" s="2"/>
      <c r="E207" s="2"/>
      <c r="F207" s="2"/>
      <c r="G207" s="31"/>
      <c r="H207" s="31"/>
      <c r="I207" s="2"/>
      <c r="J207" s="31"/>
      <c r="K207" s="2"/>
      <c r="L207" s="31"/>
      <c r="M207" s="2"/>
    </row>
    <row r="208" spans="1:13" ht="15.75">
      <c r="A208" s="2"/>
      <c r="B208" s="2"/>
      <c r="C208" s="2"/>
      <c r="D208" s="2"/>
      <c r="E208" s="2"/>
      <c r="F208" s="2"/>
      <c r="G208" s="31"/>
      <c r="H208" s="31"/>
      <c r="I208" s="2"/>
      <c r="J208" s="31"/>
      <c r="K208" s="2"/>
      <c r="L208" s="31"/>
      <c r="M208" s="2"/>
    </row>
    <row r="209" spans="1:13" ht="15.75">
      <c r="A209" s="2"/>
      <c r="B209" s="2"/>
      <c r="C209" s="2"/>
      <c r="D209" s="2"/>
      <c r="E209" s="2"/>
      <c r="F209" s="2"/>
      <c r="G209" s="31"/>
      <c r="H209" s="31"/>
      <c r="I209" s="2"/>
      <c r="J209" s="31"/>
      <c r="K209" s="2"/>
      <c r="L209" s="31"/>
      <c r="M209" s="2"/>
    </row>
    <row r="210" spans="1:13" ht="15.75">
      <c r="A210" s="2"/>
      <c r="B210" s="2"/>
      <c r="C210" s="2"/>
      <c r="D210" s="2"/>
      <c r="E210" s="2"/>
      <c r="F210" s="2"/>
      <c r="G210" s="31"/>
      <c r="H210" s="31"/>
      <c r="I210" s="2"/>
      <c r="J210" s="31"/>
      <c r="K210" s="2"/>
      <c r="L210" s="31"/>
      <c r="M210" s="2"/>
    </row>
    <row r="211" spans="1:13" ht="15.75">
      <c r="A211" s="2"/>
      <c r="B211" s="2"/>
      <c r="C211" s="2"/>
      <c r="D211" s="2"/>
      <c r="E211" s="2"/>
      <c r="F211" s="2"/>
      <c r="G211" s="31"/>
      <c r="H211" s="31"/>
      <c r="I211" s="2"/>
      <c r="J211" s="31"/>
      <c r="K211" s="2"/>
      <c r="L211" s="31"/>
      <c r="M211" s="2"/>
    </row>
    <row r="212" spans="1:13" ht="15.75">
      <c r="A212" s="2"/>
      <c r="B212" s="2"/>
      <c r="C212" s="2"/>
      <c r="D212" s="2"/>
      <c r="E212" s="2"/>
      <c r="F212" s="2"/>
      <c r="G212" s="31"/>
      <c r="H212" s="31"/>
    </row>
    <row r="213" spans="1:13" ht="15.75">
      <c r="A213" s="2"/>
      <c r="B213" s="2"/>
      <c r="C213" s="2"/>
      <c r="D213" s="2"/>
      <c r="E213" s="2"/>
      <c r="F213" s="2"/>
      <c r="G213" s="31"/>
      <c r="H213" s="31"/>
    </row>
    <row r="214" spans="1:13" ht="15.75">
      <c r="A214" s="2"/>
      <c r="B214" s="2"/>
      <c r="C214" s="2"/>
      <c r="D214" s="2"/>
      <c r="E214" s="2"/>
      <c r="F214" s="2"/>
      <c r="G214" s="31"/>
      <c r="H214" s="31"/>
    </row>
    <row r="215" spans="1:13" ht="15.75">
      <c r="A215" s="2"/>
      <c r="B215" s="2"/>
      <c r="C215" s="2"/>
      <c r="D215" s="2"/>
      <c r="E215" s="2"/>
      <c r="F215" s="2"/>
      <c r="G215" s="31"/>
      <c r="H215" s="31"/>
    </row>
    <row r="216" spans="1:13" ht="15.75">
      <c r="A216" s="2"/>
      <c r="B216" s="2"/>
      <c r="C216" s="2"/>
      <c r="D216" s="2"/>
      <c r="E216" s="2"/>
      <c r="F216" s="2"/>
      <c r="G216" s="31"/>
      <c r="H216" s="31"/>
    </row>
    <row r="217" spans="1:13" ht="15.75">
      <c r="A217" s="2"/>
      <c r="B217" s="2"/>
      <c r="C217" s="2"/>
      <c r="D217" s="2"/>
      <c r="E217" s="2"/>
      <c r="F217" s="2"/>
      <c r="G217" s="31"/>
      <c r="H217" s="31"/>
    </row>
    <row r="218" spans="1:13" ht="15.75">
      <c r="A218" s="2"/>
      <c r="B218" s="2"/>
      <c r="C218" s="2"/>
      <c r="D218" s="2"/>
      <c r="E218" s="2"/>
      <c r="F218" s="2"/>
      <c r="G218" s="31"/>
      <c r="H218" s="31"/>
    </row>
    <row r="219" spans="1:13" ht="15.75">
      <c r="A219" s="2"/>
      <c r="B219" s="2"/>
      <c r="C219" s="2"/>
      <c r="D219" s="2"/>
      <c r="E219" s="2"/>
      <c r="F219" s="2"/>
      <c r="G219" s="31"/>
      <c r="H219" s="31"/>
    </row>
    <row r="220" spans="1:13" ht="15.75">
      <c r="A220" s="2"/>
      <c r="B220" s="2"/>
      <c r="C220" s="2"/>
      <c r="D220" s="2"/>
      <c r="E220" s="2"/>
      <c r="F220" s="2"/>
      <c r="G220" s="31"/>
      <c r="H220" s="31"/>
    </row>
    <row r="221" spans="1:13" ht="15.75">
      <c r="A221" s="2"/>
      <c r="B221" s="2"/>
      <c r="C221" s="2"/>
      <c r="D221" s="2"/>
      <c r="E221" s="2"/>
      <c r="F221" s="2"/>
      <c r="G221" s="31"/>
      <c r="H221" s="31"/>
    </row>
    <row r="222" spans="1:13" ht="15.75">
      <c r="A222" s="2"/>
      <c r="B222" s="2"/>
      <c r="C222" s="2"/>
      <c r="D222" s="2"/>
      <c r="E222" s="2"/>
      <c r="F222" s="2"/>
      <c r="G222" s="31"/>
      <c r="H222" s="31"/>
    </row>
    <row r="223" spans="1:13" ht="15.75">
      <c r="A223" s="2"/>
      <c r="B223" s="2"/>
      <c r="C223" s="2"/>
      <c r="D223" s="2"/>
      <c r="E223" s="2"/>
      <c r="F223" s="2"/>
      <c r="G223" s="31"/>
      <c r="H223" s="31"/>
    </row>
    <row r="224" spans="1:13" ht="15.75">
      <c r="A224" s="2"/>
      <c r="B224" s="2"/>
      <c r="C224" s="2"/>
      <c r="D224" s="2"/>
      <c r="E224" s="2"/>
      <c r="F224" s="2"/>
      <c r="G224" s="31"/>
      <c r="H224" s="31"/>
    </row>
    <row r="225" spans="1:8" ht="15.75">
      <c r="A225" s="2"/>
      <c r="B225" s="2"/>
      <c r="C225" s="2"/>
      <c r="D225" s="2"/>
      <c r="E225" s="2"/>
      <c r="F225" s="2"/>
      <c r="G225" s="31"/>
      <c r="H225" s="31"/>
    </row>
    <row r="226" spans="1:8" ht="15.75">
      <c r="A226" s="2"/>
      <c r="B226" s="2"/>
      <c r="C226" s="2"/>
      <c r="D226" s="2"/>
      <c r="E226" s="2"/>
      <c r="F226" s="2"/>
      <c r="G226" s="31"/>
      <c r="H226" s="31"/>
    </row>
    <row r="227" spans="1:8" ht="15.75">
      <c r="A227" s="2"/>
      <c r="B227" s="2"/>
      <c r="C227" s="2"/>
      <c r="D227" s="2"/>
      <c r="E227" s="2"/>
      <c r="F227" s="2"/>
      <c r="G227" s="31"/>
      <c r="H227" s="31"/>
    </row>
    <row r="228" spans="1:8" ht="15.75">
      <c r="A228" s="2"/>
      <c r="B228" s="2"/>
      <c r="C228" s="2"/>
      <c r="D228" s="2"/>
      <c r="E228" s="2"/>
      <c r="F228" s="2"/>
      <c r="G228" s="31"/>
      <c r="H228" s="31"/>
    </row>
    <row r="229" spans="1:8" ht="15.75">
      <c r="A229" s="2"/>
      <c r="B229" s="2"/>
      <c r="C229" s="2"/>
      <c r="D229" s="2"/>
      <c r="E229" s="2"/>
      <c r="F229" s="2"/>
      <c r="G229" s="31"/>
      <c r="H229" s="31"/>
    </row>
    <row r="230" spans="1:8" ht="15.75">
      <c r="A230" s="2"/>
      <c r="B230" s="2"/>
      <c r="C230" s="2"/>
      <c r="D230" s="2"/>
      <c r="E230" s="2"/>
      <c r="F230" s="2"/>
      <c r="G230" s="31"/>
      <c r="H230" s="31"/>
    </row>
    <row r="231" spans="1:8" ht="15.75">
      <c r="A231" s="2"/>
      <c r="B231" s="2"/>
      <c r="C231" s="2"/>
      <c r="D231" s="2"/>
      <c r="E231" s="2"/>
      <c r="F231" s="2"/>
      <c r="G231" s="31"/>
      <c r="H231" s="31"/>
    </row>
    <row r="232" spans="1:8" ht="15.75">
      <c r="A232" s="2"/>
      <c r="B232" s="2"/>
      <c r="C232" s="2"/>
      <c r="D232" s="2"/>
      <c r="E232" s="2"/>
      <c r="F232" s="2"/>
      <c r="G232" s="31"/>
      <c r="H232" s="31"/>
    </row>
    <row r="233" spans="1:8" ht="15.75">
      <c r="A233" s="2"/>
      <c r="B233" s="2"/>
      <c r="C233" s="2"/>
      <c r="D233" s="2"/>
      <c r="E233" s="2"/>
      <c r="F233" s="2"/>
      <c r="G233" s="31"/>
      <c r="H233" s="31"/>
    </row>
    <row r="234" spans="1:8" ht="15.75">
      <c r="A234" s="2"/>
      <c r="B234" s="2"/>
      <c r="C234" s="2"/>
      <c r="D234" s="2"/>
      <c r="E234" s="2"/>
      <c r="F234" s="2"/>
      <c r="G234" s="31"/>
      <c r="H234" s="31"/>
    </row>
    <row r="235" spans="1:8" ht="15.75">
      <c r="A235" s="2"/>
      <c r="B235" s="2"/>
      <c r="C235" s="2"/>
      <c r="D235" s="2"/>
      <c r="E235" s="2"/>
      <c r="F235" s="2"/>
      <c r="G235" s="31"/>
      <c r="H235" s="31"/>
    </row>
    <row r="236" spans="1:8" ht="15.75">
      <c r="A236" s="2"/>
      <c r="B236" s="2"/>
      <c r="C236" s="2"/>
      <c r="D236" s="2"/>
      <c r="E236" s="2"/>
      <c r="F236" s="2"/>
      <c r="G236" s="31"/>
      <c r="H236" s="31"/>
    </row>
    <row r="237" spans="1:8" ht="15.75">
      <c r="A237" s="2"/>
      <c r="B237" s="2"/>
      <c r="C237" s="2"/>
      <c r="D237" s="2"/>
      <c r="E237" s="2"/>
      <c r="F237" s="2"/>
      <c r="G237" s="31"/>
      <c r="H237" s="31"/>
    </row>
    <row r="238" spans="1:8" ht="15.75">
      <c r="A238" s="2"/>
      <c r="B238" s="2"/>
      <c r="C238" s="2"/>
      <c r="D238" s="2"/>
      <c r="E238" s="2"/>
      <c r="F238" s="2"/>
      <c r="G238" s="31"/>
      <c r="H238" s="31"/>
    </row>
    <row r="239" spans="1:8" ht="15.75">
      <c r="A239" s="2"/>
      <c r="B239" s="2"/>
      <c r="C239" s="2"/>
      <c r="D239" s="2"/>
      <c r="E239" s="2"/>
      <c r="F239" s="2"/>
      <c r="G239" s="31"/>
      <c r="H239" s="31"/>
    </row>
  </sheetData>
  <sheetProtection password="CC5F" sheet="1" objects="1" scenarios="1"/>
  <mergeCells count="44">
    <mergeCell ref="C117:D117"/>
    <mergeCell ref="C103:D103"/>
    <mergeCell ref="C104:D104"/>
    <mergeCell ref="C105:D105"/>
    <mergeCell ref="C106:D106"/>
    <mergeCell ref="C107:D107"/>
    <mergeCell ref="C111:D111"/>
    <mergeCell ref="C115:D115"/>
    <mergeCell ref="C116:D116"/>
    <mergeCell ref="C114:D114"/>
    <mergeCell ref="C108:D108"/>
    <mergeCell ref="C113:D113"/>
    <mergeCell ref="C109:D109"/>
    <mergeCell ref="C112:D112"/>
    <mergeCell ref="C98:D98"/>
    <mergeCell ref="C101:D101"/>
    <mergeCell ref="C102:D102"/>
    <mergeCell ref="C100:D100"/>
    <mergeCell ref="C78:D78"/>
    <mergeCell ref="C79:D79"/>
    <mergeCell ref="C74:G74"/>
    <mergeCell ref="C75:D75"/>
    <mergeCell ref="C80:D80"/>
    <mergeCell ref="A1:C1"/>
    <mergeCell ref="A2:C2"/>
    <mergeCell ref="A3:C3"/>
    <mergeCell ref="C76:D76"/>
    <mergeCell ref="C77:D77"/>
    <mergeCell ref="A8:C8"/>
    <mergeCell ref="A28:C28"/>
    <mergeCell ref="B71:D71"/>
    <mergeCell ref="C92:D92"/>
    <mergeCell ref="C99:D99"/>
    <mergeCell ref="C97:D97"/>
    <mergeCell ref="C81:D81"/>
    <mergeCell ref="C82:D82"/>
    <mergeCell ref="C83:D83"/>
    <mergeCell ref="C84:D84"/>
    <mergeCell ref="C90:D90"/>
    <mergeCell ref="C91:D91"/>
    <mergeCell ref="C93:D93"/>
    <mergeCell ref="C94:D94"/>
    <mergeCell ref="C95:D95"/>
    <mergeCell ref="C96:D96"/>
  </mergeCells>
  <conditionalFormatting sqref="A1:A3 D2:D3">
    <cfRule type="containsText" dxfId="39" priority="1" stopIfTrue="1" operator="containsText" text="Enter">
      <formula>NOT(ISERROR(SEARCH("Enter",A1)))</formula>
    </cfRule>
  </conditionalFormatting>
  <printOptions horizontalCentered="1"/>
  <pageMargins left="0.25" right="0.25" top="0.5" bottom="0.5" header="0.5" footer="0.5"/>
  <pageSetup scale="61" fitToHeight="0" orientation="landscape" horizontalDpi="200" verticalDpi="200" r:id="rId1"/>
  <headerFooter alignWithMargins="0">
    <oddFooter>Page &amp;P of &amp;N</oddFooter>
  </headerFooter>
  <rowBreaks count="2" manualBreakCount="2">
    <brk id="46" max="16383" man="1"/>
    <brk id="72" max="12" man="1"/>
  </rowBreaks>
  <customProperties>
    <customPr name="DrillPoint.FROID" r:id="rId2"/>
    <customPr name="DrillPoint.Mode" r:id="rId3"/>
    <customPr name="DrillPoint.Subsheet" r:id="rId4"/>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tabColor theme="5"/>
  </sheetPr>
  <dimension ref="A1:P262"/>
  <sheetViews>
    <sheetView showGridLines="0" zoomScaleNormal="100" zoomScaleSheetLayoutView="100" workbookViewId="0">
      <pane xSplit="4" ySplit="10" topLeftCell="E38" activePane="bottomRight" state="frozen"/>
      <selection pane="topRight" activeCell="J13" sqref="J13"/>
      <selection pane="bottomLeft" activeCell="J13" sqref="J13"/>
      <selection pane="bottomRight" activeCell="H53" sqref="H53"/>
    </sheetView>
  </sheetViews>
  <sheetFormatPr defaultRowHeight="12.75"/>
  <cols>
    <col min="1" max="1" width="5.42578125" customWidth="1"/>
    <col min="2" max="2" width="3.85546875" customWidth="1"/>
    <col min="3" max="3" width="85.140625" customWidth="1"/>
    <col min="4" max="4" width="11" customWidth="1"/>
    <col min="5" max="8" width="14.5703125" customWidth="1"/>
    <col min="9" max="9" width="10.5703125" customWidth="1"/>
    <col min="10" max="10" width="14.5703125" customWidth="1"/>
    <col min="11" max="11" width="10.5703125" customWidth="1"/>
    <col min="12" max="12" width="14.5703125" customWidth="1"/>
    <col min="13" max="13" width="10.5703125" customWidth="1"/>
    <col min="14" max="14" width="50.140625" style="1212" customWidth="1"/>
    <col min="15" max="33" width="9.140625" customWidth="1"/>
  </cols>
  <sheetData>
    <row r="1" spans="1:16" ht="15.75">
      <c r="A1" s="1636" t="str">
        <f>IF('INTERIM-CERTIFICATION'!$M$1="","CHARTER NAME: Enter Charter Name on INTERIM-CERTIFICATION Worksheet",(CONCATENATE("CHARTER NAME: ",'INTERIM-CERTIFICATION'!$M$1)))</f>
        <v>CHARTER NAME: Encore High School -</v>
      </c>
      <c r="B1" s="1636"/>
      <c r="C1" s="1636"/>
      <c r="D1" s="208"/>
      <c r="E1" s="11"/>
      <c r="F1" s="11"/>
      <c r="G1" s="157"/>
      <c r="H1" s="156"/>
      <c r="I1" s="1"/>
      <c r="J1" s="158"/>
      <c r="K1" s="1"/>
      <c r="L1" s="158"/>
      <c r="M1" s="1"/>
    </row>
    <row r="2" spans="1:16" ht="15.75">
      <c r="A2" s="1636" t="str">
        <f>IF('INTERIM-CERTIFICATION'!$M$2="","CDS #: Enter Charter CDS # on INTERIM-CERTIFICATION Worksheet",(_xlfn.CONCAT("CDS #: ",'INTERIM-CERTIFICATION'!$M$2)))</f>
        <v>CDS #: 35-75044-01166707</v>
      </c>
      <c r="B2" s="1636"/>
      <c r="C2" s="1636"/>
      <c r="D2" s="208"/>
      <c r="E2" s="11"/>
      <c r="F2" s="81"/>
      <c r="G2" s="157"/>
      <c r="H2" s="157"/>
      <c r="I2" s="1"/>
      <c r="J2" s="158"/>
      <c r="K2" s="1"/>
      <c r="L2" s="158"/>
      <c r="M2" s="1"/>
    </row>
    <row r="3" spans="1:16" ht="15.75">
      <c r="A3" s="1636" t="str">
        <f>IF('INTERIM-CERTIFICATION'!$M$5="","CHARTER #: Enter Charter # on INTERIM-CERTIFICATION Worksheet",(_xlfn.CONCAT("CHARTER #: ",'INTERIM-CERTIFICATION'!$M$5)))</f>
        <v>CHARTER #: 971</v>
      </c>
      <c r="B3" s="1636"/>
      <c r="C3" s="1636"/>
      <c r="D3" s="208"/>
      <c r="E3" s="11"/>
      <c r="F3" s="11"/>
      <c r="G3" s="156"/>
      <c r="H3" s="156"/>
      <c r="I3" s="1"/>
      <c r="J3" s="158"/>
      <c r="K3" s="1"/>
      <c r="L3" s="158"/>
      <c r="M3" s="1"/>
    </row>
    <row r="4" spans="1:16" ht="15.75">
      <c r="A4" s="2"/>
      <c r="B4" s="52"/>
      <c r="C4" s="52"/>
      <c r="D4" s="159" t="str">
        <f>'2nd Interim-ADA'!J4</f>
        <v>Fiscal Year 2021-22 Second Interim Report</v>
      </c>
      <c r="E4" s="52"/>
      <c r="F4" s="52"/>
      <c r="G4" s="52"/>
      <c r="H4" s="52"/>
      <c r="I4" s="52"/>
      <c r="J4" s="52"/>
      <c r="K4" s="52"/>
      <c r="L4" s="52"/>
      <c r="M4" s="52"/>
    </row>
    <row r="5" spans="1:16" ht="15.75">
      <c r="A5" s="11"/>
      <c r="B5" s="11"/>
      <c r="C5" s="52"/>
      <c r="D5" s="159" t="s">
        <v>320</v>
      </c>
      <c r="E5" s="52"/>
      <c r="F5" s="52"/>
      <c r="G5" s="160"/>
      <c r="H5" s="160"/>
      <c r="I5" s="1"/>
      <c r="J5" s="161"/>
      <c r="K5" s="1"/>
      <c r="L5" s="161"/>
      <c r="M5" s="1"/>
    </row>
    <row r="6" spans="1:16" ht="16.5" thickBot="1">
      <c r="A6" s="11"/>
      <c r="B6" s="11"/>
      <c r="C6" s="11"/>
      <c r="D6" s="11"/>
      <c r="E6" s="11"/>
      <c r="F6" s="11"/>
      <c r="G6" s="156"/>
      <c r="H6" s="156"/>
      <c r="I6" s="1"/>
      <c r="J6" s="158"/>
      <c r="K6" s="1"/>
      <c r="L6" s="158"/>
      <c r="M6" s="1"/>
    </row>
    <row r="7" spans="1:16" ht="15.75">
      <c r="A7" s="241"/>
      <c r="B7" s="236"/>
      <c r="C7" s="236"/>
      <c r="D7" s="298"/>
      <c r="E7" s="299"/>
      <c r="F7" s="300" t="s">
        <v>549</v>
      </c>
      <c r="G7" s="300" t="s">
        <v>582</v>
      </c>
      <c r="H7" s="300" t="str">
        <f>$G$7</f>
        <v>Second Interim</v>
      </c>
      <c r="I7" s="299"/>
      <c r="J7" s="301" t="str">
        <f>$G$7</f>
        <v>Second Interim</v>
      </c>
      <c r="K7" s="299"/>
      <c r="L7" s="301" t="str">
        <f>$G$7</f>
        <v>Second Interim</v>
      </c>
      <c r="M7" s="460"/>
    </row>
    <row r="8" spans="1:16" ht="15.75">
      <c r="A8" s="1696" t="s">
        <v>228</v>
      </c>
      <c r="B8" s="1697"/>
      <c r="C8" s="1697"/>
      <c r="D8" s="53"/>
      <c r="E8" s="13" t="s">
        <v>230</v>
      </c>
      <c r="F8" s="162" t="s">
        <v>232</v>
      </c>
      <c r="G8" s="453" t="s">
        <v>550</v>
      </c>
      <c r="H8" s="162" t="s">
        <v>232</v>
      </c>
      <c r="I8" s="13" t="s">
        <v>231</v>
      </c>
      <c r="J8" s="302" t="s">
        <v>232</v>
      </c>
      <c r="K8" s="13" t="s">
        <v>231</v>
      </c>
      <c r="L8" s="302" t="s">
        <v>232</v>
      </c>
      <c r="M8" s="461" t="s">
        <v>231</v>
      </c>
    </row>
    <row r="9" spans="1:16" ht="15.75">
      <c r="A9" s="67"/>
      <c r="B9" s="1"/>
      <c r="C9" s="1"/>
      <c r="D9" s="53"/>
      <c r="E9" s="13" t="s">
        <v>234</v>
      </c>
      <c r="F9" s="162" t="s">
        <v>234</v>
      </c>
      <c r="G9" s="162" t="str">
        <f>'2nd Interim-Unrestricted MYP'!G9</f>
        <v>thru January 31,</v>
      </c>
      <c r="H9" s="162" t="s">
        <v>234</v>
      </c>
      <c r="I9" s="13" t="s">
        <v>161</v>
      </c>
      <c r="J9" s="302" t="s">
        <v>234</v>
      </c>
      <c r="K9" s="13" t="s">
        <v>161</v>
      </c>
      <c r="L9" s="302" t="s">
        <v>234</v>
      </c>
      <c r="M9" s="461" t="s">
        <v>161</v>
      </c>
    </row>
    <row r="10" spans="1:16" ht="16.5" thickBot="1">
      <c r="A10" s="1092" t="str">
        <f>Instructions!H1</f>
        <v>Rev. 5/28/2021</v>
      </c>
      <c r="B10" s="163"/>
      <c r="C10" s="163"/>
      <c r="D10" s="54"/>
      <c r="E10" s="14" t="str">
        <f>'Budget-Unrestricted MYP'!F10</f>
        <v>2021-22</v>
      </c>
      <c r="F10" s="207" t="str">
        <f>E10</f>
        <v>2021-22</v>
      </c>
      <c r="G10" s="14">
        <f>'2nd Interim-Unrestricted MYP'!G10</f>
        <v>2022</v>
      </c>
      <c r="H10" s="164" t="str">
        <f>F10</f>
        <v>2021-22</v>
      </c>
      <c r="I10" s="14"/>
      <c r="J10" s="304" t="str">
        <f>'Budget-Unrestricted MYP'!H10</f>
        <v>2022-23</v>
      </c>
      <c r="K10" s="14"/>
      <c r="L10" s="304" t="str">
        <f>'Budget-Unrestricted MYP'!J10</f>
        <v>2023-24</v>
      </c>
      <c r="M10" s="462"/>
    </row>
    <row r="11" spans="1:16" ht="16.5" thickTop="1">
      <c r="A11" s="305" t="s">
        <v>235</v>
      </c>
      <c r="B11" s="1"/>
      <c r="C11" s="1"/>
      <c r="D11" s="336"/>
      <c r="E11" s="12"/>
      <c r="F11" s="1829"/>
      <c r="G11" s="1829"/>
      <c r="H11" s="1829"/>
      <c r="I11" s="1829"/>
      <c r="J11" s="1829"/>
      <c r="K11" s="454"/>
      <c r="L11" s="454"/>
      <c r="M11" s="463"/>
    </row>
    <row r="12" spans="1:16" ht="15.75">
      <c r="A12" s="305"/>
      <c r="B12" s="277" t="s">
        <v>236</v>
      </c>
      <c r="C12" s="146"/>
      <c r="D12" s="140"/>
      <c r="E12" s="337"/>
      <c r="F12" s="1827"/>
      <c r="G12" s="1827"/>
      <c r="H12" s="1827"/>
      <c r="I12" s="1827"/>
      <c r="J12" s="1827"/>
      <c r="K12" s="151"/>
      <c r="L12" s="151"/>
      <c r="M12" s="464"/>
    </row>
    <row r="13" spans="1:16" ht="15.75">
      <c r="A13" s="305"/>
      <c r="B13" s="465"/>
      <c r="C13" s="466" t="s">
        <v>237</v>
      </c>
      <c r="D13" s="467">
        <v>8011</v>
      </c>
      <c r="E13" s="580"/>
      <c r="F13" s="1165"/>
      <c r="G13" s="580"/>
      <c r="H13" s="580"/>
      <c r="I13" s="484"/>
      <c r="J13" s="583"/>
      <c r="K13" s="484"/>
      <c r="L13" s="580"/>
      <c r="M13" s="351"/>
      <c r="P13" t="s">
        <v>521</v>
      </c>
    </row>
    <row r="14" spans="1:16" ht="15.75">
      <c r="A14" s="305"/>
      <c r="B14" s="465"/>
      <c r="C14" s="466" t="s">
        <v>239</v>
      </c>
      <c r="D14" s="467">
        <v>8012</v>
      </c>
      <c r="E14" s="580"/>
      <c r="F14" s="1165"/>
      <c r="G14" s="580"/>
      <c r="H14" s="580"/>
      <c r="I14" s="608"/>
      <c r="J14" s="583"/>
      <c r="K14" s="484"/>
      <c r="L14" s="580"/>
      <c r="M14" s="351"/>
    </row>
    <row r="15" spans="1:16" ht="15.75">
      <c r="A15" s="67"/>
      <c r="B15" s="465"/>
      <c r="C15" s="466" t="s">
        <v>240</v>
      </c>
      <c r="D15" s="467">
        <v>8019</v>
      </c>
      <c r="E15" s="580"/>
      <c r="F15" s="1166"/>
      <c r="G15" s="580"/>
      <c r="H15" s="580"/>
      <c r="I15" s="608"/>
      <c r="J15" s="583"/>
      <c r="K15" s="484"/>
      <c r="L15" s="580"/>
      <c r="M15" s="351"/>
    </row>
    <row r="16" spans="1:16" ht="15.75">
      <c r="A16" s="67"/>
      <c r="B16" s="465"/>
      <c r="C16" s="466" t="s">
        <v>241</v>
      </c>
      <c r="D16" s="467">
        <v>8096</v>
      </c>
      <c r="E16" s="580"/>
      <c r="F16" s="1165"/>
      <c r="G16" s="580"/>
      <c r="H16" s="579"/>
      <c r="I16" s="868"/>
      <c r="J16" s="584"/>
      <c r="K16" s="484"/>
      <c r="L16" s="579"/>
      <c r="M16" s="351"/>
    </row>
    <row r="17" spans="1:13" ht="15.75">
      <c r="A17" s="67"/>
      <c r="B17" s="277" t="s">
        <v>242</v>
      </c>
      <c r="C17" s="277"/>
      <c r="D17" s="345" t="s">
        <v>243</v>
      </c>
      <c r="E17" s="693">
        <f>'Budget-Restricted MYP'!F17</f>
        <v>1235086</v>
      </c>
      <c r="F17" s="1167">
        <f>'1st Interim-Restricted MYP'!G17</f>
        <v>1805349</v>
      </c>
      <c r="G17" s="753">
        <f>G107</f>
        <v>941418.06</v>
      </c>
      <c r="H17" s="753">
        <f>H107</f>
        <v>2648025.14</v>
      </c>
      <c r="I17" s="269">
        <f>IF(E17&lt;1," ",IF(H17&lt;1," ",(H17-E17)/E17))</f>
        <v>1.144000612103125</v>
      </c>
      <c r="J17" s="290">
        <f>J107</f>
        <v>617503.20799999998</v>
      </c>
      <c r="K17" s="269">
        <f>IF(H17&lt;1," ",IF(J17&lt;1," ",(J17-H17)/H17))</f>
        <v>-0.76680613840395784</v>
      </c>
      <c r="L17" s="753">
        <f>L107</f>
        <v>502734.6434688</v>
      </c>
      <c r="M17" s="306">
        <f>IF(J17&lt;1," ",IF(L17&lt;1," ",(L17-J17)/J17))</f>
        <v>-0.18585905796816521</v>
      </c>
    </row>
    <row r="18" spans="1:13" ht="15.75">
      <c r="A18" s="67"/>
      <c r="B18" s="146" t="s">
        <v>244</v>
      </c>
      <c r="C18" s="140"/>
      <c r="D18" s="140"/>
      <c r="E18" s="576"/>
      <c r="F18" s="1168"/>
      <c r="G18" s="578"/>
      <c r="H18" s="578"/>
      <c r="I18" s="582"/>
      <c r="J18" s="578"/>
      <c r="K18" s="582"/>
      <c r="L18" s="578"/>
      <c r="M18" s="586"/>
    </row>
    <row r="19" spans="1:13" ht="15.75">
      <c r="A19" s="67"/>
      <c r="B19" s="465"/>
      <c r="C19" s="466" t="s">
        <v>245</v>
      </c>
      <c r="D19" s="467">
        <v>8560</v>
      </c>
      <c r="E19" s="579"/>
      <c r="F19" s="1165"/>
      <c r="G19" s="579"/>
      <c r="H19" s="579"/>
      <c r="I19" s="484"/>
      <c r="J19" s="584"/>
      <c r="K19" s="484"/>
      <c r="L19" s="579"/>
      <c r="M19" s="351"/>
    </row>
    <row r="20" spans="1:13" ht="15.75">
      <c r="A20" s="67"/>
      <c r="B20" s="146"/>
      <c r="C20" s="279" t="s">
        <v>246</v>
      </c>
      <c r="D20" s="345">
        <v>8560</v>
      </c>
      <c r="E20" s="693">
        <f>'Budget-Restricted MYP'!F20</f>
        <v>40742.212123199999</v>
      </c>
      <c r="F20" s="1167">
        <f>'1st Interim-Restricted MYP'!G20</f>
        <v>45564.985283999995</v>
      </c>
      <c r="G20" s="785">
        <v>27072.52</v>
      </c>
      <c r="H20" s="753">
        <f>H110</f>
        <v>43880.636864999993</v>
      </c>
      <c r="I20" s="269">
        <f>IF(E20&lt;1," ",IF(H20&lt;1," ",(H20-E20)/E20))</f>
        <v>7.7031279801640137E-2</v>
      </c>
      <c r="J20" s="290">
        <f>J110</f>
        <v>44196.3249</v>
      </c>
      <c r="K20" s="269">
        <f>IF(H20&lt;1," ",IF(J20&lt;1," ",(J20-H20)/H20))</f>
        <v>7.1942446043166955E-3</v>
      </c>
      <c r="L20" s="753">
        <f>L110</f>
        <v>44196.3249</v>
      </c>
      <c r="M20" s="306">
        <f>IF(J20&lt;1," ",IF(L20&lt;1," ",(L20-J20)/J20))</f>
        <v>0</v>
      </c>
    </row>
    <row r="21" spans="1:13" ht="15.75">
      <c r="A21" s="67"/>
      <c r="B21" s="146"/>
      <c r="C21" s="279" t="s">
        <v>247</v>
      </c>
      <c r="D21" s="345" t="s">
        <v>248</v>
      </c>
      <c r="E21" s="693">
        <f>'Budget-Restricted MYP'!F21</f>
        <v>1378513.1600000001</v>
      </c>
      <c r="F21" s="1167">
        <f>'1st Interim-Restricted MYP'!G21</f>
        <v>1431651.0899999999</v>
      </c>
      <c r="G21" s="753">
        <f>G131</f>
        <v>351105.69</v>
      </c>
      <c r="H21" s="753">
        <f>H131</f>
        <v>1281841.0899999999</v>
      </c>
      <c r="I21" s="269">
        <f>IF(E21&lt;1," ",IF(H21&lt;1," ",(H21-E21)/E21))</f>
        <v>-7.0127781732602604E-2</v>
      </c>
      <c r="J21" s="290">
        <f>J131</f>
        <v>1133776.8118319998</v>
      </c>
      <c r="K21" s="269">
        <f>IF(H21&lt;1," ",IF(J21&lt;1," ",(J21-H21)/H21))</f>
        <v>-0.11550907466072886</v>
      </c>
      <c r="L21" s="753">
        <f>L131</f>
        <v>1169037.2706799749</v>
      </c>
      <c r="M21" s="306">
        <f>IF(J21&lt;1," ",IF(L21&lt;1," ",(L21-J21)/J21))</f>
        <v>3.109999999999994E-2</v>
      </c>
    </row>
    <row r="22" spans="1:13" ht="15.75">
      <c r="A22" s="67"/>
      <c r="B22" s="146" t="s">
        <v>249</v>
      </c>
      <c r="C22" s="140"/>
      <c r="D22" s="140"/>
      <c r="E22" s="576"/>
      <c r="F22" s="1168"/>
      <c r="G22" s="578"/>
      <c r="H22" s="578"/>
      <c r="I22" s="582"/>
      <c r="J22" s="578"/>
      <c r="K22" s="582"/>
      <c r="L22" s="578"/>
      <c r="M22" s="492"/>
    </row>
    <row r="23" spans="1:13" ht="15.75">
      <c r="A23" s="67"/>
      <c r="B23" s="146"/>
      <c r="C23" s="279" t="s">
        <v>250</v>
      </c>
      <c r="D23" s="345">
        <v>8660</v>
      </c>
      <c r="E23" s="693">
        <f>'Budget-Restricted MYP'!F23</f>
        <v>0</v>
      </c>
      <c r="F23" s="1167">
        <f>'1st Interim-Restricted MYP'!G23</f>
        <v>0</v>
      </c>
      <c r="G23" s="785"/>
      <c r="H23" s="785">
        <v>0</v>
      </c>
      <c r="I23" s="269" t="str">
        <f>IF(E23&lt;1," ",IF(H23&lt;1," ",(H23-E23)/E23))</f>
        <v xml:space="preserve"> </v>
      </c>
      <c r="J23" s="788"/>
      <c r="K23" s="269" t="str">
        <f>IF(H23&lt;1," ",IF(J23&lt;1," ",(J23-H23)/H23))</f>
        <v xml:space="preserve"> </v>
      </c>
      <c r="L23" s="785"/>
      <c r="M23" s="306" t="str">
        <f>IF(J23&lt;1," ",IF(L23&lt;1," ",(L23-J23)/J23))</f>
        <v xml:space="preserve"> </v>
      </c>
    </row>
    <row r="24" spans="1:13" ht="15.75">
      <c r="A24" s="67"/>
      <c r="B24" s="146"/>
      <c r="C24" s="279" t="s">
        <v>251</v>
      </c>
      <c r="D24" s="345">
        <v>8792</v>
      </c>
      <c r="E24" s="693">
        <f>'Budget-Restricted MYP'!F24</f>
        <v>497550</v>
      </c>
      <c r="F24" s="1167">
        <f>'1st Interim-Restricted MYP'!G24</f>
        <v>0</v>
      </c>
      <c r="G24" s="785"/>
      <c r="H24" s="785"/>
      <c r="I24" s="269" t="str">
        <f>IF(E24&lt;1," ",IF(H24&lt;1," ",(H24-E24)/E24))</f>
        <v xml:space="preserve"> </v>
      </c>
      <c r="J24" s="788"/>
      <c r="K24" s="269" t="str">
        <f>IF(H24&lt;1," ",IF(J24&lt;1," ",(J24-H24)/H24))</f>
        <v xml:space="preserve"> </v>
      </c>
      <c r="L24" s="785"/>
      <c r="M24" s="306" t="str">
        <f>IF(J24&lt;1," ",IF(L24&lt;1," ",(L24-J24)/J24))</f>
        <v xml:space="preserve"> </v>
      </c>
    </row>
    <row r="25" spans="1:13" ht="16.5" thickBot="1">
      <c r="A25" s="67"/>
      <c r="B25" s="896"/>
      <c r="C25" s="929" t="s">
        <v>252</v>
      </c>
      <c r="D25" s="930" t="s">
        <v>253</v>
      </c>
      <c r="E25" s="700">
        <f>'Budget-Restricted MYP'!F25</f>
        <v>7500</v>
      </c>
      <c r="F25" s="1169">
        <f>'1st Interim-Restricted MYP'!G25</f>
        <v>0</v>
      </c>
      <c r="G25" s="799">
        <f>G140</f>
        <v>75</v>
      </c>
      <c r="H25" s="799">
        <f>H140</f>
        <v>0</v>
      </c>
      <c r="I25" s="296" t="str">
        <f>IF(E25&lt;1," ",IF(H25&lt;1," ",(H25-E25)/E25))</f>
        <v xml:space="preserve"> </v>
      </c>
      <c r="J25" s="948">
        <f>J140</f>
        <v>0</v>
      </c>
      <c r="K25" s="296" t="str">
        <f>IF(H25&lt;1," ",IF(J25&lt;1," ",(J25-H25)/H25))</f>
        <v xml:space="preserve"> </v>
      </c>
      <c r="L25" s="799">
        <f>L140</f>
        <v>0</v>
      </c>
      <c r="M25" s="587" t="str">
        <f>IF(J25&lt;1," ",IF(L25&lt;1," ",(L25-J25)/J25))</f>
        <v xml:space="preserve"> </v>
      </c>
    </row>
    <row r="26" spans="1:13" ht="17.25" thickTop="1" thickBot="1">
      <c r="A26" s="67"/>
      <c r="B26" s="909" t="s">
        <v>254</v>
      </c>
      <c r="C26" s="954"/>
      <c r="D26" s="928"/>
      <c r="E26" s="897">
        <f>'Budget-Restricted MYP'!F26</f>
        <v>3159391.3721232004</v>
      </c>
      <c r="F26" s="1170">
        <f>SUM(F13:F25)</f>
        <v>3282565.0752839996</v>
      </c>
      <c r="G26" s="807">
        <f>SUM(G13:G25)</f>
        <v>1319671.27</v>
      </c>
      <c r="H26" s="807">
        <f>SUM(H13:H25)</f>
        <v>3973746.8668649998</v>
      </c>
      <c r="I26" s="585">
        <f>IF(E26&lt;1," ",IF(H26&lt;1," ",(H26-E26)/E26))</f>
        <v>0.2577570800272615</v>
      </c>
      <c r="J26" s="807">
        <f>SUM(J13:J25)</f>
        <v>1795476.3447319998</v>
      </c>
      <c r="K26" s="585">
        <f>IF(H26&lt;1," ",IF(J26&lt;1," ",(J26-H26)/H26))</f>
        <v>-0.54816539530901198</v>
      </c>
      <c r="L26" s="807">
        <f>SUM(L13:L25)</f>
        <v>1715968.2390487748</v>
      </c>
      <c r="M26" s="588">
        <f>IF(J26&lt;1," ",IF(L26&lt;1," ",(L26-J26)/J26))</f>
        <v>-4.4282457920709999E-2</v>
      </c>
    </row>
    <row r="27" spans="1:13" ht="16.5" thickTop="1">
      <c r="A27" s="67"/>
      <c r="B27" s="1"/>
      <c r="C27" s="1"/>
      <c r="D27" s="1"/>
      <c r="E27" s="268"/>
      <c r="F27" s="1723"/>
      <c r="G27" s="1723"/>
      <c r="H27" s="1723"/>
      <c r="I27" s="1723"/>
      <c r="J27" s="1723"/>
      <c r="M27" s="470"/>
    </row>
    <row r="28" spans="1:13" ht="15.75">
      <c r="A28" s="1739" t="s">
        <v>255</v>
      </c>
      <c r="B28" s="1740"/>
      <c r="C28" s="1740"/>
      <c r="D28" s="154"/>
      <c r="E28" s="268"/>
      <c r="F28" s="1827"/>
      <c r="G28" s="1827"/>
      <c r="H28" s="1827"/>
      <c r="I28" s="1827"/>
      <c r="J28" s="1827"/>
      <c r="K28" s="151"/>
      <c r="L28" s="151"/>
      <c r="M28" s="464"/>
    </row>
    <row r="29" spans="1:13" ht="15.75">
      <c r="A29" s="67"/>
      <c r="B29" s="277" t="s">
        <v>256</v>
      </c>
      <c r="C29" s="277"/>
      <c r="D29" s="278" t="s">
        <v>257</v>
      </c>
      <c r="E29" s="693">
        <f>'Budget-Restricted MYP'!F29</f>
        <v>965931.3759999997</v>
      </c>
      <c r="F29" s="1171">
        <f>'1st Interim-Restricted MYP'!G29</f>
        <v>1104421.128</v>
      </c>
      <c r="G29" s="786">
        <v>560882.93000000005</v>
      </c>
      <c r="H29" s="786">
        <v>1131952</v>
      </c>
      <c r="I29" s="269">
        <f t="shared" ref="I29:I37" si="0">IF(E29&lt;1," ",IF(H29&lt;1," ",(H29-E29)/E29))</f>
        <v>0.17187620997208436</v>
      </c>
      <c r="J29" s="790">
        <v>998950.53651797178</v>
      </c>
      <c r="K29" s="269">
        <f t="shared" ref="K29:K37" si="1">IF(H29&lt;1," ",IF(J29&lt;1," ",(J29-H29)/H29))</f>
        <v>-0.11749744113003752</v>
      </c>
      <c r="L29" s="786">
        <v>1022525.769179796</v>
      </c>
      <c r="M29" s="306">
        <f t="shared" ref="M29:M37" si="2">IF(J29&lt;1," ",IF(L29&lt;1," ",(L29-J29)/J29))</f>
        <v>2.3600000000000072E-2</v>
      </c>
    </row>
    <row r="30" spans="1:13" ht="15.75">
      <c r="A30" s="67"/>
      <c r="B30" s="277" t="s">
        <v>258</v>
      </c>
      <c r="C30" s="277"/>
      <c r="D30" s="278" t="s">
        <v>259</v>
      </c>
      <c r="E30" s="693">
        <f>'Budget-Restricted MYP'!F30</f>
        <v>638957.80500000017</v>
      </c>
      <c r="F30" s="1171">
        <f>'1st Interim-Restricted MYP'!G30</f>
        <v>836217.30799999996</v>
      </c>
      <c r="G30" s="786">
        <v>409658.75</v>
      </c>
      <c r="H30" s="786">
        <v>773261</v>
      </c>
      <c r="I30" s="269">
        <f t="shared" si="0"/>
        <v>0.21019102349019714</v>
      </c>
      <c r="J30" s="790">
        <v>470834.50993426895</v>
      </c>
      <c r="K30" s="269">
        <f t="shared" si="1"/>
        <v>-0.3911053189876782</v>
      </c>
      <c r="L30" s="786">
        <v>481946.20436871762</v>
      </c>
      <c r="M30" s="306">
        <f t="shared" si="2"/>
        <v>2.3599999999999833E-2</v>
      </c>
    </row>
    <row r="31" spans="1:13" ht="15.75">
      <c r="A31" s="67"/>
      <c r="B31" s="277" t="s">
        <v>260</v>
      </c>
      <c r="C31" s="277"/>
      <c r="D31" s="278" t="s">
        <v>261</v>
      </c>
      <c r="E31" s="693">
        <f>'Budget-Restricted MYP'!F31</f>
        <v>543372.37651180022</v>
      </c>
      <c r="F31" s="1171">
        <f>'1st Interim-Restricted MYP'!G31</f>
        <v>736539.36674639967</v>
      </c>
      <c r="G31" s="786">
        <v>359489.50000000006</v>
      </c>
      <c r="H31" s="786">
        <v>746131.49</v>
      </c>
      <c r="I31" s="269">
        <f t="shared" si="0"/>
        <v>0.3731494684912392</v>
      </c>
      <c r="J31" s="790">
        <v>527893.33145355294</v>
      </c>
      <c r="K31" s="269">
        <f t="shared" si="1"/>
        <v>-0.29249289364056602</v>
      </c>
      <c r="L31" s="786">
        <v>540351.65356065647</v>
      </c>
      <c r="M31" s="306">
        <f t="shared" si="2"/>
        <v>2.3600074796928348E-2</v>
      </c>
    </row>
    <row r="32" spans="1:13" ht="15.75">
      <c r="A32" s="67"/>
      <c r="B32" s="277" t="s">
        <v>262</v>
      </c>
      <c r="C32" s="277"/>
      <c r="D32" s="278" t="s">
        <v>263</v>
      </c>
      <c r="E32" s="693">
        <f>'Budget-Restricted MYP'!F32</f>
        <v>195969</v>
      </c>
      <c r="F32" s="1171">
        <f>'1st Interim-Restricted MYP'!G32</f>
        <v>0</v>
      </c>
      <c r="G32" s="786">
        <v>427956.65</v>
      </c>
      <c r="H32" s="786">
        <f>427957</f>
        <v>427957</v>
      </c>
      <c r="I32" s="269">
        <f t="shared" si="0"/>
        <v>1.1837994784889447</v>
      </c>
      <c r="J32" s="790">
        <v>193758</v>
      </c>
      <c r="K32" s="269">
        <f t="shared" si="1"/>
        <v>-0.54724890584801744</v>
      </c>
      <c r="L32" s="786">
        <v>305900.81696683279</v>
      </c>
      <c r="M32" s="306">
        <f t="shared" si="2"/>
        <v>0.57877773803834054</v>
      </c>
    </row>
    <row r="33" spans="1:13" ht="15.75">
      <c r="A33" s="67"/>
      <c r="B33" s="277" t="s">
        <v>264</v>
      </c>
      <c r="C33" s="277"/>
      <c r="D33" s="278" t="s">
        <v>265</v>
      </c>
      <c r="E33" s="693">
        <f>'Budget-Restricted MYP'!F33</f>
        <v>928320.65999999992</v>
      </c>
      <c r="F33" s="1171">
        <f>'1st Interim-Restricted MYP'!G33</f>
        <v>0</v>
      </c>
      <c r="G33" s="786">
        <v>356054.65</v>
      </c>
      <c r="H33" s="786">
        <f>356055+735187.59</f>
        <v>1091242.5899999999</v>
      </c>
      <c r="I33" s="269">
        <f t="shared" si="0"/>
        <v>0.17550178189506194</v>
      </c>
      <c r="J33" s="790">
        <v>753420</v>
      </c>
      <c r="K33" s="269">
        <f t="shared" si="1"/>
        <v>-0.30957606777426083</v>
      </c>
      <c r="L33" s="786">
        <v>475339.05581861496</v>
      </c>
      <c r="M33" s="306">
        <f t="shared" si="2"/>
        <v>-0.36909153484296281</v>
      </c>
    </row>
    <row r="34" spans="1:13" ht="15.75">
      <c r="A34" s="67"/>
      <c r="B34" s="277" t="s">
        <v>266</v>
      </c>
      <c r="C34" s="277"/>
      <c r="D34" s="278" t="s">
        <v>267</v>
      </c>
      <c r="E34" s="693">
        <f>'Budget-Restricted MYP'!F34</f>
        <v>0</v>
      </c>
      <c r="F34" s="1171">
        <f>'1st Interim-Restricted MYP'!G34</f>
        <v>0</v>
      </c>
      <c r="G34" s="786">
        <v>0</v>
      </c>
      <c r="H34" s="786">
        <v>0</v>
      </c>
      <c r="I34" s="269" t="str">
        <f t="shared" si="0"/>
        <v xml:space="preserve"> </v>
      </c>
      <c r="J34" s="790">
        <v>0</v>
      </c>
      <c r="K34" s="269" t="str">
        <f t="shared" si="1"/>
        <v xml:space="preserve"> </v>
      </c>
      <c r="L34" s="786">
        <v>0</v>
      </c>
      <c r="M34" s="306" t="str">
        <f t="shared" si="2"/>
        <v xml:space="preserve"> </v>
      </c>
    </row>
    <row r="35" spans="1:13" ht="15.75">
      <c r="A35" s="67"/>
      <c r="B35" s="277" t="s">
        <v>268</v>
      </c>
      <c r="C35" s="277"/>
      <c r="D35" s="278" t="s">
        <v>269</v>
      </c>
      <c r="E35" s="693">
        <f>'Budget-Restricted MYP'!F35</f>
        <v>0</v>
      </c>
      <c r="F35" s="1171">
        <f>'1st Interim-Restricted MYP'!G35</f>
        <v>0</v>
      </c>
      <c r="G35" s="786">
        <v>0</v>
      </c>
      <c r="H35" s="786">
        <v>0</v>
      </c>
      <c r="I35" s="269" t="str">
        <f t="shared" si="0"/>
        <v xml:space="preserve"> </v>
      </c>
      <c r="J35" s="790">
        <v>0</v>
      </c>
      <c r="K35" s="269" t="str">
        <f t="shared" si="1"/>
        <v xml:space="preserve"> </v>
      </c>
      <c r="L35" s="786">
        <v>0</v>
      </c>
      <c r="M35" s="306" t="str">
        <f t="shared" si="2"/>
        <v xml:space="preserve"> </v>
      </c>
    </row>
    <row r="36" spans="1:13" ht="16.5" thickBot="1">
      <c r="A36" s="67"/>
      <c r="B36" s="919" t="s">
        <v>270</v>
      </c>
      <c r="C36" s="919"/>
      <c r="D36" s="626" t="s">
        <v>271</v>
      </c>
      <c r="E36" s="700">
        <f>'Budget-Restricted MYP'!F36</f>
        <v>0</v>
      </c>
      <c r="F36" s="1172">
        <f>'1st Interim-Restricted MYP'!G36</f>
        <v>0</v>
      </c>
      <c r="G36" s="949">
        <v>0</v>
      </c>
      <c r="H36" s="949">
        <v>0</v>
      </c>
      <c r="I36" s="296" t="str">
        <f t="shared" si="0"/>
        <v xml:space="preserve"> </v>
      </c>
      <c r="J36" s="950">
        <v>0</v>
      </c>
      <c r="K36" s="296" t="str">
        <f t="shared" si="1"/>
        <v xml:space="preserve"> </v>
      </c>
      <c r="L36" s="949">
        <v>0</v>
      </c>
      <c r="M36" s="587" t="str">
        <f t="shared" si="2"/>
        <v xml:space="preserve"> </v>
      </c>
    </row>
    <row r="37" spans="1:13" ht="17.25" thickTop="1" thickBot="1">
      <c r="A37" s="67"/>
      <c r="B37" s="909" t="s">
        <v>272</v>
      </c>
      <c r="C37" s="954"/>
      <c r="D37" s="955"/>
      <c r="E37" s="897">
        <f>'Budget-Restricted MYP'!F37</f>
        <v>3272551.2175118001</v>
      </c>
      <c r="F37" s="1170">
        <f>SUM(F29:F36)</f>
        <v>2677177.8027463998</v>
      </c>
      <c r="G37" s="807">
        <f>SUM(G29:G36)</f>
        <v>2114042.48</v>
      </c>
      <c r="H37" s="807">
        <f>SUM(H29:H36)</f>
        <v>4170544.08</v>
      </c>
      <c r="I37" s="585">
        <f t="shared" si="0"/>
        <v>0.27440146931327958</v>
      </c>
      <c r="J37" s="807">
        <f>SUM(J29:J36)</f>
        <v>2944856.3779057935</v>
      </c>
      <c r="K37" s="585">
        <f t="shared" si="1"/>
        <v>-0.29389155913062703</v>
      </c>
      <c r="L37" s="807">
        <f>SUM(L29:L36)</f>
        <v>2826063.4998946176</v>
      </c>
      <c r="M37" s="588">
        <f t="shared" si="2"/>
        <v>-4.0339107503658399E-2</v>
      </c>
    </row>
    <row r="38" spans="1:13" ht="17.25" thickTop="1" thickBot="1">
      <c r="A38" s="67"/>
      <c r="B38" s="1"/>
      <c r="C38" s="1"/>
      <c r="D38" s="167"/>
      <c r="E38" s="19"/>
      <c r="F38" s="1833"/>
      <c r="G38" s="1833"/>
      <c r="H38" s="1833"/>
      <c r="I38" s="1833"/>
      <c r="J38" s="1833"/>
      <c r="M38" s="470"/>
    </row>
    <row r="39" spans="1:13" ht="17.25" thickTop="1" thickBot="1">
      <c r="A39" s="945" t="s">
        <v>273</v>
      </c>
      <c r="B39" s="910"/>
      <c r="C39" s="954"/>
      <c r="D39" s="955"/>
      <c r="E39" s="897">
        <f>'Budget-Restricted MYP'!F39</f>
        <v>-113159.84538859967</v>
      </c>
      <c r="F39" s="897">
        <f>SUM(F26-F37)</f>
        <v>605387.27253759978</v>
      </c>
      <c r="G39" s="807">
        <f>SUM(G26-G37)</f>
        <v>-794371.21</v>
      </c>
      <c r="H39" s="807">
        <f>SUM(H26-H37)</f>
        <v>-196797.21313500032</v>
      </c>
      <c r="I39" s="585" t="str">
        <f>IF(E39&lt;1," ",IF(H39&lt;1," ",(H39-E39)/E39))</f>
        <v xml:space="preserve"> </v>
      </c>
      <c r="J39" s="807">
        <f>SUM(J26-J37)</f>
        <v>-1149380.0331737937</v>
      </c>
      <c r="K39" s="585" t="str">
        <f>IF(H39&lt;1," ",IF(J39&lt;1," ",(J39-H39)/H39))</f>
        <v xml:space="preserve"> </v>
      </c>
      <c r="L39" s="807">
        <f>SUM(L26-L37)</f>
        <v>-1110095.2608458428</v>
      </c>
      <c r="M39" s="588" t="str">
        <f>IF(J39&lt;1," ",IF(L39&lt;1," ",(L39-J39)/J39))</f>
        <v xml:space="preserve"> </v>
      </c>
    </row>
    <row r="40" spans="1:13" ht="16.5" thickTop="1">
      <c r="A40" s="67"/>
      <c r="B40" s="1"/>
      <c r="C40" s="1"/>
      <c r="D40" s="167"/>
      <c r="E40" s="268"/>
      <c r="F40" s="1723"/>
      <c r="G40" s="1723"/>
      <c r="H40" s="1723"/>
      <c r="I40" s="1723"/>
      <c r="J40" s="1723"/>
      <c r="M40" s="470"/>
    </row>
    <row r="41" spans="1:13" ht="15.75">
      <c r="A41" s="305" t="s">
        <v>274</v>
      </c>
      <c r="B41" s="1"/>
      <c r="C41" s="154"/>
      <c r="D41" s="344"/>
      <c r="E41" s="82"/>
      <c r="F41" s="1721"/>
      <c r="G41" s="1721"/>
      <c r="H41" s="1721"/>
      <c r="I41" s="1721"/>
      <c r="J41" s="1721"/>
      <c r="K41" s="456"/>
      <c r="L41" s="456"/>
      <c r="M41" s="474"/>
    </row>
    <row r="42" spans="1:13" ht="15.75">
      <c r="A42" s="67"/>
      <c r="B42" s="146" t="s">
        <v>275</v>
      </c>
      <c r="C42" s="140"/>
      <c r="D42" s="309">
        <v>8900</v>
      </c>
      <c r="E42" s="762">
        <f>'Budget-Restricted MYP'!F42</f>
        <v>0</v>
      </c>
      <c r="F42" s="1173">
        <f>'1st Interim-Restricted MYP'!G42</f>
        <v>0</v>
      </c>
      <c r="G42" s="801"/>
      <c r="H42" s="801">
        <v>196797.21</v>
      </c>
      <c r="I42" s="49" t="str">
        <f>IF(E42&lt;1," ",IF(H42&lt;1," ",(H42-E42)/E42))</f>
        <v xml:space="preserve"> </v>
      </c>
      <c r="J42" s="803"/>
      <c r="K42" s="631" t="str">
        <f>IF(H42&lt;1," ",IF(J42&lt;1," ",(J42-H42)/H42))</f>
        <v xml:space="preserve"> </v>
      </c>
      <c r="L42" s="805"/>
      <c r="M42" s="630" t="str">
        <f>IF(J42&lt;1," ",IF(L42&lt;1," ",(L42-J42)/J42))</f>
        <v xml:space="preserve"> </v>
      </c>
    </row>
    <row r="43" spans="1:13" ht="16.5" thickBot="1">
      <c r="A43" s="67"/>
      <c r="B43" s="896" t="s">
        <v>276</v>
      </c>
      <c r="C43" s="152"/>
      <c r="D43" s="925">
        <v>7600</v>
      </c>
      <c r="E43" s="812">
        <f>'Budget-Restricted MYP'!F43</f>
        <v>0</v>
      </c>
      <c r="F43" s="1174">
        <f>'1st Interim-Restricted MYP'!G43</f>
        <v>0</v>
      </c>
      <c r="G43" s="802"/>
      <c r="H43" s="802">
        <v>0</v>
      </c>
      <c r="I43" s="593" t="str">
        <f>IF(E43&lt;1," ",IF(H43&lt;1," ",(H43-E43)/E43))</f>
        <v xml:space="preserve"> </v>
      </c>
      <c r="J43" s="804"/>
      <c r="K43" s="638" t="str">
        <f>IF(H43&lt;1," ",IF(J43&lt;1," ",(J43-H43)/H43))</f>
        <v xml:space="preserve"> </v>
      </c>
      <c r="L43" s="806"/>
      <c r="M43" s="639" t="str">
        <f>IF(J43&lt;1," ",IF(L43&lt;1," ",(L43-J43)/J43))</f>
        <v xml:space="preserve"> </v>
      </c>
    </row>
    <row r="44" spans="1:13" ht="17.25" thickTop="1" thickBot="1">
      <c r="A44" s="67"/>
      <c r="B44" s="909" t="s">
        <v>277</v>
      </c>
      <c r="C44" s="954"/>
      <c r="D44" s="955"/>
      <c r="E44" s="897">
        <f>'Budget-Restricted MYP'!F44</f>
        <v>0</v>
      </c>
      <c r="F44" s="1170">
        <f>F42-F43</f>
        <v>0</v>
      </c>
      <c r="G44" s="807">
        <f>G42-G43</f>
        <v>0</v>
      </c>
      <c r="H44" s="807">
        <f>H42-H43</f>
        <v>196797.21</v>
      </c>
      <c r="I44" s="585" t="str">
        <f>IF(E44&lt;1," ",IF(H44&lt;1," ",(H44-E44)/E44))</f>
        <v xml:space="preserve"> </v>
      </c>
      <c r="J44" s="807">
        <f>J42-J43</f>
        <v>0</v>
      </c>
      <c r="K44" s="585" t="str">
        <f>IF(H44&lt;1," ",IF(J44&lt;1," ",(J44-H44)/H44))</f>
        <v xml:space="preserve"> </v>
      </c>
      <c r="L44" s="807">
        <f>L42-L43</f>
        <v>0</v>
      </c>
      <c r="M44" s="588" t="str">
        <f>IF(J44&lt;1," ",IF(L44&lt;1," ",(L44-J44)/J44))</f>
        <v xml:space="preserve"> </v>
      </c>
    </row>
    <row r="45" spans="1:13" ht="17.25" thickTop="1" thickBot="1">
      <c r="A45" s="67"/>
      <c r="B45" s="1"/>
      <c r="C45" s="1"/>
      <c r="D45" s="167"/>
      <c r="E45" s="268"/>
      <c r="F45" s="1175"/>
      <c r="G45" s="51"/>
      <c r="H45" s="51"/>
      <c r="I45" s="268"/>
      <c r="J45" s="51"/>
      <c r="K45" s="268"/>
      <c r="L45" s="51"/>
      <c r="M45" s="878"/>
    </row>
    <row r="46" spans="1:13" ht="17.25" thickTop="1" thickBot="1">
      <c r="A46" s="945" t="s">
        <v>278</v>
      </c>
      <c r="B46" s="910"/>
      <c r="C46" s="954"/>
      <c r="D46" s="955"/>
      <c r="E46" s="897">
        <f>'Budget-Restricted MYP'!F46</f>
        <v>-113159.84538859967</v>
      </c>
      <c r="F46" s="1170">
        <f>F39+F44</f>
        <v>605387.27253759978</v>
      </c>
      <c r="G46" s="807">
        <f>G39+G44</f>
        <v>-794371.21</v>
      </c>
      <c r="H46" s="807">
        <f>H39+H44</f>
        <v>-3.1350003264378756E-3</v>
      </c>
      <c r="I46" s="585" t="str">
        <f>IF(E46&lt;1," ",IF(H46&lt;1," ",(H46-E46)/E46))</f>
        <v xml:space="preserve"> </v>
      </c>
      <c r="J46" s="807">
        <f>J39+J44</f>
        <v>-1149380.0331737937</v>
      </c>
      <c r="K46" s="585" t="str">
        <f>IF(H46&lt;1," ",IF(J46&lt;1," ",(J46-H46)/H46))</f>
        <v xml:space="preserve"> </v>
      </c>
      <c r="L46" s="807">
        <f>L39+L44</f>
        <v>-1110095.2608458428</v>
      </c>
      <c r="M46" s="588" t="str">
        <f>IF(J46&lt;1," ",IF(L46&lt;1," ",(L46-J46)/J46))</f>
        <v xml:space="preserve"> </v>
      </c>
    </row>
    <row r="47" spans="1:13" ht="16.5" thickTop="1">
      <c r="A47" s="305"/>
      <c r="B47" s="1"/>
      <c r="C47" s="1"/>
      <c r="D47" s="167"/>
      <c r="E47" s="268"/>
      <c r="F47" s="1723"/>
      <c r="G47" s="1723"/>
      <c r="H47" s="1723"/>
      <c r="I47" s="1723"/>
      <c r="J47" s="1723"/>
      <c r="M47" s="470"/>
    </row>
    <row r="48" spans="1:13" ht="15.75">
      <c r="A48" s="305" t="s">
        <v>279</v>
      </c>
      <c r="B48" s="1"/>
      <c r="C48" s="1"/>
      <c r="D48" s="167"/>
      <c r="E48" s="268"/>
      <c r="F48" s="1723"/>
      <c r="G48" s="1723"/>
      <c r="H48" s="1723"/>
      <c r="I48" s="1723"/>
      <c r="J48" s="1723"/>
      <c r="M48" s="470"/>
    </row>
    <row r="49" spans="1:13" ht="15.75">
      <c r="A49" s="67"/>
      <c r="B49" s="292" t="s">
        <v>280</v>
      </c>
      <c r="C49" s="293"/>
      <c r="D49" s="294">
        <v>9791</v>
      </c>
      <c r="E49" s="809">
        <f>'Budget-Restricted MYP'!F49</f>
        <v>-240336</v>
      </c>
      <c r="F49" s="1176">
        <f>E49</f>
        <v>-240336</v>
      </c>
      <c r="G49" s="1181">
        <f>E49</f>
        <v>-240336</v>
      </c>
      <c r="H49" s="1182">
        <f>E49</f>
        <v>-240336</v>
      </c>
      <c r="I49" s="1096"/>
      <c r="J49" s="1094"/>
      <c r="K49" s="1097"/>
      <c r="L49" s="1095"/>
      <c r="M49" s="1098"/>
    </row>
    <row r="50" spans="1:13" ht="15.75">
      <c r="A50" s="67"/>
      <c r="B50" s="314" t="s">
        <v>281</v>
      </c>
      <c r="C50" s="315"/>
      <c r="D50" s="316">
        <v>9792</v>
      </c>
      <c r="E50" s="498"/>
      <c r="F50" s="1177">
        <f>'1st Interim-Restricted MYP'!G50</f>
        <v>369118.08</v>
      </c>
      <c r="G50" s="1183">
        <f>F50</f>
        <v>369118.08</v>
      </c>
      <c r="H50" s="1184">
        <f>F50</f>
        <v>369118.08</v>
      </c>
      <c r="I50" s="621"/>
      <c r="J50" s="797"/>
      <c r="K50" s="594"/>
      <c r="L50" s="795"/>
      <c r="M50" s="596"/>
    </row>
    <row r="51" spans="1:13" ht="15.75">
      <c r="A51" s="67"/>
      <c r="B51" s="314" t="s">
        <v>282</v>
      </c>
      <c r="C51" s="315"/>
      <c r="D51" s="962"/>
      <c r="E51" s="498"/>
      <c r="F51" s="1178">
        <f>SUM(F49:F50)</f>
        <v>128782.08000000002</v>
      </c>
      <c r="G51" s="1183">
        <f>G49+G50</f>
        <v>128782.08000000002</v>
      </c>
      <c r="H51" s="1185">
        <f>H49+H50</f>
        <v>128782.08000000002</v>
      </c>
      <c r="I51" s="621"/>
      <c r="J51" s="797"/>
      <c r="K51" s="594"/>
      <c r="L51" s="795"/>
      <c r="M51" s="596"/>
    </row>
    <row r="52" spans="1:13" ht="15.75">
      <c r="A52" s="67"/>
      <c r="B52" s="314" t="s">
        <v>283</v>
      </c>
      <c r="C52" s="315"/>
      <c r="D52" s="316">
        <v>9793</v>
      </c>
      <c r="E52" s="498"/>
      <c r="F52" s="1179">
        <f>'1st Interim-Restricted MYP'!G52</f>
        <v>0</v>
      </c>
      <c r="G52" s="800">
        <v>31542</v>
      </c>
      <c r="H52" s="823">
        <v>31542</v>
      </c>
      <c r="I52" s="621"/>
      <c r="J52" s="1007"/>
      <c r="K52" s="594"/>
      <c r="L52" s="795"/>
      <c r="M52" s="596"/>
    </row>
    <row r="53" spans="1:13" ht="15.75">
      <c r="A53" s="67"/>
      <c r="B53" s="314" t="s">
        <v>284</v>
      </c>
      <c r="C53" s="315"/>
      <c r="D53" s="316">
        <v>9795</v>
      </c>
      <c r="E53" s="499"/>
      <c r="F53" s="1179">
        <f>'1st Interim-Restricted MYP'!G53</f>
        <v>0</v>
      </c>
      <c r="G53" s="800">
        <v>191854</v>
      </c>
      <c r="H53" s="823">
        <v>191854</v>
      </c>
      <c r="I53" s="621"/>
      <c r="J53" s="798"/>
      <c r="K53" s="595"/>
      <c r="L53" s="796"/>
      <c r="M53" s="597"/>
    </row>
    <row r="54" spans="1:13" ht="16.5" thickBot="1">
      <c r="A54" s="67"/>
      <c r="B54" s="907" t="s">
        <v>285</v>
      </c>
      <c r="C54" s="501"/>
      <c r="D54" s="908"/>
      <c r="E54" s="472"/>
      <c r="F54" s="1180">
        <f>SUM(F51:F53)</f>
        <v>128782.08000000002</v>
      </c>
      <c r="G54" s="824">
        <f>G51+G52+G53</f>
        <v>352178.08</v>
      </c>
      <c r="H54" s="811">
        <f>H51+H52+H53</f>
        <v>352178.08</v>
      </c>
      <c r="I54" s="612"/>
      <c r="J54" s="1117">
        <f>H55</f>
        <v>352178</v>
      </c>
      <c r="K54" s="595"/>
      <c r="L54" s="1118">
        <f>J55</f>
        <v>-797202</v>
      </c>
      <c r="M54" s="597"/>
    </row>
    <row r="55" spans="1:13" ht="17.25" thickTop="1" thickBot="1">
      <c r="A55" s="67"/>
      <c r="B55" s="909" t="s">
        <v>286</v>
      </c>
      <c r="C55" s="910"/>
      <c r="D55" s="911"/>
      <c r="E55" s="897">
        <f>'Budget-Restricted MYP'!F55</f>
        <v>-353495.85</v>
      </c>
      <c r="F55" s="1170">
        <f>ROUND(F54+F46,0)</f>
        <v>734169</v>
      </c>
      <c r="G55" s="1170">
        <f>ROUND(G54+G46,0)</f>
        <v>-442193</v>
      </c>
      <c r="H55" s="1170">
        <f>ROUND(H54+H46,0)</f>
        <v>352178</v>
      </c>
      <c r="I55" s="585" t="str">
        <f>IF(E55&lt;1," ",IF(H55&lt;1," ",(H55-E55)/E55))</f>
        <v xml:space="preserve"> </v>
      </c>
      <c r="J55" s="1170">
        <f>ROUND(J54+J46,0)</f>
        <v>-797202</v>
      </c>
      <c r="K55" s="585" t="str">
        <f>IF(H55&lt;1," ",IF(J55&lt;1," ",(J55-H55)/H55))</f>
        <v xml:space="preserve"> </v>
      </c>
      <c r="L55" s="1170">
        <f>ROUND(L54+L46,0)</f>
        <v>-1907297</v>
      </c>
      <c r="M55" s="588" t="str">
        <f>IF(J55&lt;1," ",IF(L55&lt;1," ",(L55-J55)/J55))</f>
        <v xml:space="preserve"> </v>
      </c>
    </row>
    <row r="56" spans="1:13" ht="16.5" thickTop="1">
      <c r="A56" s="67"/>
      <c r="B56" s="1"/>
      <c r="C56" s="1"/>
      <c r="D56" s="167"/>
      <c r="E56" s="168"/>
      <c r="F56" s="295"/>
      <c r="G56" s="51"/>
      <c r="H56" s="51"/>
      <c r="I56" s="168"/>
      <c r="J56" s="51"/>
      <c r="K56" s="168"/>
      <c r="L56" s="51"/>
      <c r="M56" s="473"/>
    </row>
    <row r="57" spans="1:13" ht="15.75">
      <c r="A57" s="323" t="s">
        <v>287</v>
      </c>
      <c r="B57" s="151"/>
      <c r="C57" s="478"/>
      <c r="D57" s="479" t="s">
        <v>103</v>
      </c>
      <c r="E57" s="480"/>
      <c r="F57" s="481"/>
      <c r="G57" s="482"/>
      <c r="H57" s="482"/>
      <c r="I57" s="480"/>
      <c r="J57" s="482"/>
      <c r="K57" s="480"/>
      <c r="L57" s="482"/>
      <c r="M57" s="483"/>
    </row>
    <row r="58" spans="1:13" ht="15.75">
      <c r="A58" s="67"/>
      <c r="B58" s="347" t="s">
        <v>288</v>
      </c>
      <c r="C58" s="352" t="s">
        <v>289</v>
      </c>
      <c r="D58" s="353"/>
      <c r="E58" s="354"/>
      <c r="F58" s="1762"/>
      <c r="G58" s="1762"/>
      <c r="H58" s="1762"/>
      <c r="I58" s="1762"/>
      <c r="J58" s="1762"/>
      <c r="K58" s="619"/>
      <c r="L58" s="619"/>
      <c r="M58" s="620"/>
    </row>
    <row r="59" spans="1:13" ht="15.75">
      <c r="A59" s="67"/>
      <c r="B59" s="1621"/>
      <c r="C59" s="500" t="s">
        <v>290</v>
      </c>
      <c r="D59" s="477">
        <v>9711</v>
      </c>
      <c r="E59" s="791"/>
      <c r="F59" s="791"/>
      <c r="G59" s="791"/>
      <c r="H59" s="791"/>
      <c r="I59" s="484"/>
      <c r="J59" s="791"/>
      <c r="K59" s="645"/>
      <c r="L59" s="993"/>
      <c r="M59" s="647"/>
    </row>
    <row r="60" spans="1:13" ht="15.75">
      <c r="A60" s="67"/>
      <c r="B60" s="475"/>
      <c r="C60" s="500" t="s">
        <v>291</v>
      </c>
      <c r="D60" s="477">
        <v>9712</v>
      </c>
      <c r="E60" s="988"/>
      <c r="F60" s="989"/>
      <c r="G60" s="990"/>
      <c r="H60" s="990"/>
      <c r="I60" s="649"/>
      <c r="J60" s="991"/>
      <c r="K60" s="594"/>
      <c r="L60" s="994"/>
      <c r="M60" s="596"/>
    </row>
    <row r="61" spans="1:13" ht="15.75">
      <c r="A61" s="67"/>
      <c r="B61" s="475"/>
      <c r="C61" s="500" t="s">
        <v>292</v>
      </c>
      <c r="D61" s="477">
        <v>9713</v>
      </c>
      <c r="E61" s="828"/>
      <c r="F61" s="885"/>
      <c r="G61" s="826"/>
      <c r="H61" s="826"/>
      <c r="I61" s="621"/>
      <c r="J61" s="992"/>
      <c r="K61" s="594"/>
      <c r="L61" s="994"/>
      <c r="M61" s="596"/>
    </row>
    <row r="62" spans="1:13" ht="15.75">
      <c r="A62" s="67"/>
      <c r="B62" s="475"/>
      <c r="C62" s="500" t="s">
        <v>293</v>
      </c>
      <c r="D62" s="477">
        <v>9719</v>
      </c>
      <c r="E62" s="828"/>
      <c r="F62" s="885"/>
      <c r="G62" s="826"/>
      <c r="H62" s="826"/>
      <c r="I62" s="621"/>
      <c r="J62" s="992"/>
      <c r="K62" s="594"/>
      <c r="L62" s="994"/>
      <c r="M62" s="596"/>
    </row>
    <row r="63" spans="1:13" ht="15.75">
      <c r="A63" s="67"/>
      <c r="B63" s="347" t="s">
        <v>294</v>
      </c>
      <c r="C63" s="349" t="s">
        <v>295</v>
      </c>
      <c r="D63" s="288">
        <v>9740</v>
      </c>
      <c r="E63" s="761">
        <f>IF(E55&lt;0,0,E55)</f>
        <v>0</v>
      </c>
      <c r="F63" s="761">
        <f>IF(F55&lt;0,0,F55)</f>
        <v>734169</v>
      </c>
      <c r="G63" s="761">
        <f>IF(G55&lt;0,0,G55)</f>
        <v>0</v>
      </c>
      <c r="H63" s="761">
        <f>IF(H55&lt;0,0,H55)</f>
        <v>352178</v>
      </c>
      <c r="I63" s="49" t="str">
        <f>IF(E63&lt;1," ",IF(H63&lt;1," ",(H63-E63)/E63))</f>
        <v xml:space="preserve"> </v>
      </c>
      <c r="J63" s="761">
        <f>IF(J55&lt;0,0,J55)</f>
        <v>0</v>
      </c>
      <c r="K63" s="631" t="str">
        <f>IF(H63&lt;1," ",IF(J63&lt;1," ",(J63-H63)/H63))</f>
        <v xml:space="preserve"> </v>
      </c>
      <c r="L63" s="761">
        <f>IF(L55&lt;0,0,L55)</f>
        <v>0</v>
      </c>
      <c r="M63" s="630" t="str">
        <f>IF(J63&lt;1," ",IF(L63&lt;1," ",(L63-J63)/J63))</f>
        <v xml:space="preserve"> </v>
      </c>
    </row>
    <row r="64" spans="1:13" ht="15.75">
      <c r="A64" s="67"/>
      <c r="B64" s="475" t="s">
        <v>296</v>
      </c>
      <c r="C64" s="963" t="s">
        <v>297</v>
      </c>
      <c r="D64" s="987"/>
      <c r="E64" s="828"/>
      <c r="F64" s="885"/>
      <c r="G64" s="826"/>
      <c r="H64" s="826"/>
      <c r="I64" s="621"/>
      <c r="J64" s="992"/>
      <c r="K64" s="594"/>
      <c r="L64" s="994"/>
      <c r="M64" s="596"/>
    </row>
    <row r="65" spans="1:13" ht="15.75">
      <c r="A65" s="67"/>
      <c r="B65" s="475"/>
      <c r="C65" s="500" t="s">
        <v>298</v>
      </c>
      <c r="D65" s="503">
        <v>9750</v>
      </c>
      <c r="E65" s="828"/>
      <c r="F65" s="885"/>
      <c r="G65" s="826"/>
      <c r="H65" s="826"/>
      <c r="I65" s="621"/>
      <c r="J65" s="992"/>
      <c r="K65" s="594"/>
      <c r="L65" s="994"/>
      <c r="M65" s="596"/>
    </row>
    <row r="66" spans="1:13" ht="15.75">
      <c r="A66" s="67"/>
      <c r="B66" s="475"/>
      <c r="C66" s="500" t="s">
        <v>299</v>
      </c>
      <c r="D66" s="503">
        <v>9760</v>
      </c>
      <c r="E66" s="828"/>
      <c r="F66" s="885"/>
      <c r="G66" s="826"/>
      <c r="H66" s="826"/>
      <c r="I66" s="621"/>
      <c r="J66" s="992"/>
      <c r="K66" s="594"/>
      <c r="L66" s="994"/>
      <c r="M66" s="596"/>
    </row>
    <row r="67" spans="1:13" ht="15.75">
      <c r="A67" s="67"/>
      <c r="B67" s="475" t="s">
        <v>300</v>
      </c>
      <c r="C67" s="476" t="s">
        <v>301</v>
      </c>
      <c r="D67" s="477">
        <v>9780</v>
      </c>
      <c r="E67" s="828"/>
      <c r="F67" s="885"/>
      <c r="G67" s="826"/>
      <c r="H67" s="826"/>
      <c r="I67" s="621"/>
      <c r="J67" s="992"/>
      <c r="K67" s="594"/>
      <c r="L67" s="994"/>
      <c r="M67" s="596"/>
    </row>
    <row r="68" spans="1:13" ht="15.75">
      <c r="A68" s="67"/>
      <c r="B68" s="475" t="s">
        <v>302</v>
      </c>
      <c r="C68" s="963" t="s">
        <v>303</v>
      </c>
      <c r="D68" s="964"/>
      <c r="E68" s="828"/>
      <c r="F68" s="885"/>
      <c r="G68" s="826"/>
      <c r="H68" s="826"/>
      <c r="I68" s="621"/>
      <c r="J68" s="992"/>
      <c r="K68" s="594"/>
      <c r="L68" s="994"/>
      <c r="M68" s="596"/>
    </row>
    <row r="69" spans="1:13" ht="15.75">
      <c r="A69" s="67"/>
      <c r="B69" s="475"/>
      <c r="C69" s="500" t="s">
        <v>304</v>
      </c>
      <c r="D69" s="503">
        <v>9789</v>
      </c>
      <c r="E69" s="828"/>
      <c r="F69" s="885"/>
      <c r="G69" s="885"/>
      <c r="H69" s="885"/>
      <c r="I69" s="621"/>
      <c r="J69" s="952"/>
      <c r="K69" s="594"/>
      <c r="L69" s="889"/>
      <c r="M69" s="596"/>
    </row>
    <row r="70" spans="1:13" ht="16.5" thickBot="1">
      <c r="A70" s="67"/>
      <c r="B70" s="1104"/>
      <c r="C70" s="1105" t="s">
        <v>305</v>
      </c>
      <c r="D70" s="1106">
        <v>9790</v>
      </c>
      <c r="E70" s="828"/>
      <c r="F70" s="828"/>
      <c r="G70" s="828"/>
      <c r="H70" s="828"/>
      <c r="I70" s="621"/>
      <c r="J70" s="828"/>
      <c r="K70" s="594"/>
      <c r="L70" s="828"/>
      <c r="M70" s="596"/>
    </row>
    <row r="71" spans="1:13" ht="17.25" thickTop="1" thickBot="1">
      <c r="A71" s="67"/>
      <c r="B71" s="1850"/>
      <c r="C71" s="1851"/>
      <c r="D71" s="1851"/>
      <c r="E71" s="905"/>
      <c r="F71" s="905"/>
      <c r="G71" s="905"/>
      <c r="H71" s="905"/>
      <c r="I71" s="905"/>
      <c r="J71" s="905"/>
      <c r="K71" s="905"/>
      <c r="L71" s="905"/>
      <c r="M71" s="1093"/>
    </row>
    <row r="72" spans="1:13" ht="16.5" thickTop="1">
      <c r="A72" s="67"/>
      <c r="B72" s="1411"/>
      <c r="C72" s="1411"/>
      <c r="D72" s="884"/>
      <c r="E72" s="1412"/>
      <c r="F72" s="1413"/>
      <c r="G72" s="1412"/>
      <c r="H72" s="1413"/>
      <c r="I72" s="1412"/>
      <c r="J72" s="1412"/>
      <c r="K72" s="1417"/>
      <c r="L72" s="490"/>
      <c r="M72" s="1290"/>
    </row>
    <row r="73" spans="1:13" ht="15.75">
      <c r="A73" s="67"/>
      <c r="B73" s="1411" t="s">
        <v>321</v>
      </c>
      <c r="C73" s="1411"/>
      <c r="D73" s="884"/>
      <c r="E73" s="1412"/>
      <c r="F73" s="1413"/>
      <c r="G73" s="1412"/>
      <c r="H73" s="1413"/>
      <c r="I73" s="1412"/>
      <c r="J73" s="1412"/>
      <c r="K73" s="1440"/>
      <c r="L73" s="456"/>
      <c r="M73" s="1290"/>
    </row>
    <row r="74" spans="1:13" ht="15.75">
      <c r="A74" s="67"/>
      <c r="B74" s="290">
        <v>1</v>
      </c>
      <c r="C74" s="1712" t="s">
        <v>587</v>
      </c>
      <c r="D74" s="1712"/>
      <c r="E74" s="755"/>
      <c r="F74" s="755"/>
      <c r="G74" s="30" t="str">
        <f>IF(E74&lt;1," ",IF(F74&lt;1," ",(F74-E74)/E74))</f>
        <v xml:space="preserve"> </v>
      </c>
      <c r="H74" s="755"/>
      <c r="I74" s="30" t="str">
        <f>IF(F74&lt;1," ",IF(H74&lt;1," ",(H74-F74)/F74))</f>
        <v xml:space="preserve"> </v>
      </c>
      <c r="J74" s="755"/>
      <c r="K74" s="30" t="str">
        <f>IF(H74&lt;1," ",IF(J74&lt;1," ",(J74-H74)/H74))</f>
        <v xml:space="preserve"> </v>
      </c>
      <c r="L74" s="755"/>
      <c r="M74" s="310" t="str">
        <f>IF(J74&lt;1," ",IF(L74&lt;1," ",(L74-J74)/J74))</f>
        <v xml:space="preserve"> </v>
      </c>
    </row>
    <row r="75" spans="1:13" ht="15.75">
      <c r="A75" s="67"/>
      <c r="B75" s="290">
        <v>2</v>
      </c>
      <c r="C75" s="1262"/>
      <c r="D75" s="1262"/>
      <c r="E75" s="755"/>
      <c r="F75" s="755"/>
      <c r="G75" s="30"/>
      <c r="H75" s="755"/>
      <c r="I75" s="30"/>
      <c r="J75" s="755"/>
      <c r="K75" s="30"/>
      <c r="L75" s="755"/>
      <c r="M75" s="310"/>
    </row>
    <row r="76" spans="1:13" ht="15.75">
      <c r="A76" s="67"/>
      <c r="B76" s="290">
        <v>3</v>
      </c>
      <c r="C76" s="1262"/>
      <c r="D76" s="1262"/>
      <c r="E76" s="755"/>
      <c r="F76" s="755"/>
      <c r="G76" s="30"/>
      <c r="H76" s="755"/>
      <c r="I76" s="30"/>
      <c r="J76" s="755"/>
      <c r="K76" s="30"/>
      <c r="L76" s="755"/>
      <c r="M76" s="310"/>
    </row>
    <row r="77" spans="1:13" ht="15.75">
      <c r="A77" s="67"/>
      <c r="B77" s="290">
        <v>4</v>
      </c>
      <c r="C77" s="1262"/>
      <c r="D77" s="1262"/>
      <c r="E77" s="755"/>
      <c r="F77" s="755"/>
      <c r="G77" s="30"/>
      <c r="H77" s="755"/>
      <c r="I77" s="30"/>
      <c r="J77" s="755"/>
      <c r="K77" s="30"/>
      <c r="L77" s="755"/>
      <c r="M77" s="310"/>
    </row>
    <row r="78" spans="1:13" ht="15.75">
      <c r="A78" s="67"/>
      <c r="B78" s="290">
        <v>5</v>
      </c>
      <c r="C78" s="1262"/>
      <c r="D78" s="1262"/>
      <c r="E78" s="755"/>
      <c r="F78" s="755"/>
      <c r="G78" s="30"/>
      <c r="H78" s="755"/>
      <c r="I78" s="30"/>
      <c r="J78" s="755"/>
      <c r="K78" s="30"/>
      <c r="L78" s="755"/>
      <c r="M78" s="310"/>
    </row>
    <row r="79" spans="1:13" ht="15.75">
      <c r="A79" s="67"/>
      <c r="B79" s="290">
        <v>6</v>
      </c>
      <c r="C79" s="1262"/>
      <c r="D79" s="1262"/>
      <c r="E79" s="755"/>
      <c r="F79" s="755"/>
      <c r="G79" s="30"/>
      <c r="H79" s="755"/>
      <c r="I79" s="30"/>
      <c r="J79" s="755"/>
      <c r="K79" s="30"/>
      <c r="L79" s="755"/>
      <c r="M79" s="310"/>
    </row>
    <row r="80" spans="1:13" ht="15.75">
      <c r="A80" s="67"/>
      <c r="B80" s="290">
        <v>7</v>
      </c>
      <c r="C80" s="1262"/>
      <c r="D80" s="1262"/>
      <c r="E80" s="755"/>
      <c r="F80" s="755"/>
      <c r="G80" s="30"/>
      <c r="H80" s="755"/>
      <c r="I80" s="30"/>
      <c r="J80" s="755"/>
      <c r="K80" s="30"/>
      <c r="L80" s="755"/>
      <c r="M80" s="310"/>
    </row>
    <row r="81" spans="1:13" ht="15.75">
      <c r="A81" s="67"/>
      <c r="B81" s="290">
        <v>8</v>
      </c>
      <c r="C81" s="1262"/>
      <c r="D81" s="1262"/>
      <c r="E81" s="755"/>
      <c r="F81" s="755"/>
      <c r="G81" s="30"/>
      <c r="H81" s="755"/>
      <c r="I81" s="30"/>
      <c r="J81" s="755"/>
      <c r="K81" s="30"/>
      <c r="L81" s="755"/>
      <c r="M81" s="310"/>
    </row>
    <row r="82" spans="1:13" ht="15.75">
      <c r="A82" s="67"/>
      <c r="B82" s="290">
        <v>9</v>
      </c>
      <c r="C82" s="1262"/>
      <c r="D82" s="1262"/>
      <c r="E82" s="755"/>
      <c r="F82" s="755"/>
      <c r="G82" s="30"/>
      <c r="H82" s="755"/>
      <c r="I82" s="30"/>
      <c r="J82" s="755"/>
      <c r="K82" s="30"/>
      <c r="L82" s="755"/>
      <c r="M82" s="310"/>
    </row>
    <row r="83" spans="1:13" ht="15.75">
      <c r="A83" s="67"/>
      <c r="B83" s="290">
        <v>10</v>
      </c>
      <c r="C83" s="1262"/>
      <c r="D83" s="1262"/>
      <c r="E83" s="755"/>
      <c r="F83" s="755"/>
      <c r="G83" s="30"/>
      <c r="H83" s="755"/>
      <c r="I83" s="30"/>
      <c r="J83" s="755"/>
      <c r="K83" s="30"/>
      <c r="L83" s="755"/>
      <c r="M83" s="310"/>
    </row>
    <row r="84" spans="1:13" ht="15.75">
      <c r="A84" s="67"/>
      <c r="B84" s="290">
        <v>11</v>
      </c>
      <c r="C84" s="1262"/>
      <c r="D84" s="1262"/>
      <c r="E84" s="755"/>
      <c r="F84" s="755"/>
      <c r="G84" s="30"/>
      <c r="H84" s="755"/>
      <c r="I84" s="30"/>
      <c r="J84" s="755"/>
      <c r="K84" s="30"/>
      <c r="L84" s="755"/>
      <c r="M84" s="310"/>
    </row>
    <row r="85" spans="1:13" ht="15.75">
      <c r="A85" s="67"/>
      <c r="B85" s="290">
        <v>12</v>
      </c>
      <c r="C85" s="1262"/>
      <c r="D85" s="1262"/>
      <c r="E85" s="755"/>
      <c r="F85" s="755"/>
      <c r="G85" s="30"/>
      <c r="H85" s="755"/>
      <c r="I85" s="30"/>
      <c r="J85" s="755"/>
      <c r="K85" s="30"/>
      <c r="L85" s="755"/>
      <c r="M85" s="310"/>
    </row>
    <row r="86" spans="1:13" ht="15.75">
      <c r="A86" s="67"/>
      <c r="B86" s="290">
        <v>13</v>
      </c>
      <c r="C86" s="1262"/>
      <c r="D86" s="1262"/>
      <c r="E86" s="755"/>
      <c r="F86" s="755"/>
      <c r="G86" s="30"/>
      <c r="H86" s="755"/>
      <c r="I86" s="30"/>
      <c r="J86" s="755"/>
      <c r="K86" s="30"/>
      <c r="L86" s="755"/>
      <c r="M86" s="310"/>
    </row>
    <row r="87" spans="1:13" ht="15.75">
      <c r="A87" s="67"/>
      <c r="B87" s="290">
        <v>14</v>
      </c>
      <c r="C87" s="1262"/>
      <c r="D87" s="1262"/>
      <c r="E87" s="755"/>
      <c r="F87" s="755"/>
      <c r="G87" s="30"/>
      <c r="H87" s="755"/>
      <c r="I87" s="30"/>
      <c r="J87" s="755"/>
      <c r="K87" s="30"/>
      <c r="L87" s="755"/>
      <c r="M87" s="310"/>
    </row>
    <row r="88" spans="1:13" ht="15.75">
      <c r="A88" s="67"/>
      <c r="B88" s="290">
        <v>15</v>
      </c>
      <c r="C88" s="1710"/>
      <c r="D88" s="1710"/>
      <c r="E88" s="755"/>
      <c r="F88" s="755"/>
      <c r="G88" s="30" t="str">
        <f>IF(E88&lt;1," ",IF(F88&lt;1," ",(F88-E88)/E88))</f>
        <v xml:space="preserve"> </v>
      </c>
      <c r="H88" s="755"/>
      <c r="I88" s="30" t="str">
        <f>IF(F88&lt;1," ",IF(H88&lt;1," ",(H88-F88)/F88))</f>
        <v xml:space="preserve"> </v>
      </c>
      <c r="J88" s="755"/>
      <c r="K88" s="30" t="str">
        <f>IF(H88&lt;1," ",IF(J88&lt;1," ",(J88-H88)/H88))</f>
        <v xml:space="preserve"> </v>
      </c>
      <c r="L88" s="755"/>
      <c r="M88" s="310" t="str">
        <f>IF(J88&lt;1," ",IF(L88&lt;1," ",(L88-J88)/J88))</f>
        <v xml:space="preserve"> </v>
      </c>
    </row>
    <row r="89" spans="1:13" ht="15.75">
      <c r="A89" s="67"/>
      <c r="B89" s="290">
        <v>16</v>
      </c>
      <c r="C89" s="1710"/>
      <c r="D89" s="1710"/>
      <c r="E89" s="755"/>
      <c r="F89" s="755"/>
      <c r="G89" s="30" t="str">
        <f>IF(E89&lt;1," ",IF(F89&lt;1," ",(F89-E89)/E89))</f>
        <v xml:space="preserve"> </v>
      </c>
      <c r="H89" s="755"/>
      <c r="I89" s="30" t="str">
        <f>IF(F89&lt;1," ",IF(H89&lt;1," ",(H89-F89)/F89))</f>
        <v xml:space="preserve"> </v>
      </c>
      <c r="J89" s="755"/>
      <c r="K89" s="30" t="str">
        <f>IF(H89&lt;1," ",IF(J89&lt;1," ",(J89-H89)/H89))</f>
        <v xml:space="preserve"> </v>
      </c>
      <c r="L89" s="755"/>
      <c r="M89" s="310" t="str">
        <f>IF(J89&lt;1," ",IF(L89&lt;1," ",(L89-J89)/J89))</f>
        <v xml:space="preserve"> </v>
      </c>
    </row>
    <row r="90" spans="1:13" ht="15.75">
      <c r="A90" s="67"/>
      <c r="B90" s="290">
        <v>17</v>
      </c>
      <c r="C90" s="1710"/>
      <c r="D90" s="1710"/>
      <c r="E90" s="755"/>
      <c r="F90" s="755"/>
      <c r="G90" s="30" t="str">
        <f>IF(E90&lt;1," ",IF(F90&lt;1," ",(F90-E90)/E90))</f>
        <v xml:space="preserve"> </v>
      </c>
      <c r="H90" s="755"/>
      <c r="I90" s="30" t="str">
        <f>IF(F90&lt;1," ",IF(H90&lt;1," ",(H90-F90)/F90))</f>
        <v xml:space="preserve"> </v>
      </c>
      <c r="J90" s="755"/>
      <c r="K90" s="30" t="str">
        <f>IF(H90&lt;1," ",IF(J90&lt;1," ",(J90-H90)/H90))</f>
        <v xml:space="preserve"> </v>
      </c>
      <c r="L90" s="755"/>
      <c r="M90" s="310" t="str">
        <f>IF(J90&lt;1," ",IF(L90&lt;1," ",(L90-J90)/J90))</f>
        <v xml:space="preserve"> </v>
      </c>
    </row>
    <row r="91" spans="1:13" ht="15.75">
      <c r="A91" s="67"/>
      <c r="B91" s="290">
        <v>18</v>
      </c>
      <c r="C91" s="1261"/>
      <c r="D91" s="1261"/>
      <c r="E91" s="755"/>
      <c r="F91" s="755"/>
      <c r="G91" s="30"/>
      <c r="H91" s="755"/>
      <c r="I91" s="30"/>
      <c r="J91" s="755"/>
      <c r="K91" s="30"/>
      <c r="L91" s="755"/>
      <c r="M91" s="310"/>
    </row>
    <row r="92" spans="1:13" ht="15.75">
      <c r="A92" s="67"/>
      <c r="B92" s="290">
        <v>19</v>
      </c>
      <c r="C92" s="1710"/>
      <c r="D92" s="1710"/>
      <c r="E92" s="755"/>
      <c r="F92" s="755"/>
      <c r="G92" s="30" t="str">
        <f>IF(E92&lt;1," ",IF(F92&lt;1," ",(F92-E92)/E92))</f>
        <v xml:space="preserve"> </v>
      </c>
      <c r="H92" s="755"/>
      <c r="I92" s="30" t="str">
        <f>IF(F92&lt;1," ",IF(H92&lt;1," ",(H92-F92)/F92))</f>
        <v xml:space="preserve"> </v>
      </c>
      <c r="J92" s="755"/>
      <c r="K92" s="30" t="str">
        <f>IF(H92&lt;1," ",IF(J92&lt;1," ",(J92-H92)/H92))</f>
        <v xml:space="preserve"> </v>
      </c>
      <c r="L92" s="755"/>
      <c r="M92" s="310" t="str">
        <f>IF(J92&lt;1," ",IF(L92&lt;1," ",(L92-J92)/J92))</f>
        <v xml:space="preserve"> </v>
      </c>
    </row>
    <row r="93" spans="1:13" ht="15.75">
      <c r="A93" s="67"/>
      <c r="B93" s="290">
        <v>20</v>
      </c>
      <c r="C93" s="1713"/>
      <c r="D93" s="1713"/>
      <c r="E93" s="755"/>
      <c r="F93" s="756"/>
      <c r="G93" s="30" t="str">
        <f>IF(E93&lt;1," ",IF(F93&lt;1," ",(F93-E93)/E93))</f>
        <v xml:space="preserve"> </v>
      </c>
      <c r="H93" s="756"/>
      <c r="I93" s="30" t="str">
        <f>IF(F93&lt;1," ",IF(H93&lt;1," ",(H93-F93)/F93))</f>
        <v xml:space="preserve"> </v>
      </c>
      <c r="J93" s="756"/>
      <c r="K93" s="30" t="str">
        <f>IF(H93&lt;1," ",IF(J93&lt;1," ",(J93-H93)/H93))</f>
        <v xml:space="preserve"> </v>
      </c>
      <c r="L93" s="755"/>
      <c r="M93" s="310" t="str">
        <f>IF(J93&lt;1," ",IF(L93&lt;1," ",(L93-J93)/J93))</f>
        <v xml:space="preserve"> </v>
      </c>
    </row>
    <row r="94" spans="1:13" ht="50.25" customHeight="1" thickBot="1">
      <c r="A94" s="67"/>
      <c r="B94" s="1852" t="s">
        <v>558</v>
      </c>
      <c r="C94" s="1852"/>
      <c r="D94" s="1852"/>
      <c r="E94" s="1343">
        <f>IF(SUM(E74:E93)=E63,SUM(E74:E93),"Total must equal amount in Cell E63 above")</f>
        <v>0</v>
      </c>
      <c r="F94" s="1343" t="str">
        <f>IF(SUM(F74:F93)=F63,SUM(F74:F93),"Total must equal amount in Cell E63 above")</f>
        <v>Total must equal amount in Cell E63 above</v>
      </c>
      <c r="G94" s="1441"/>
      <c r="H94" s="1343" t="str">
        <f>IF(SUM(H74:H93)=H63,SUM(H74:H93),"Total must equal amount in Cell E63 above")</f>
        <v>Total must equal amount in Cell E63 above</v>
      </c>
      <c r="I94" s="1441"/>
      <c r="J94" s="1343">
        <f>IF(SUM(J74:J93)=J63,SUM(J74:J93),"Total must equal amount in Cell E63 above")</f>
        <v>0</v>
      </c>
      <c r="K94" s="1318"/>
      <c r="L94" s="1343">
        <f>IF(SUM(L74:L93)=L63,SUM(L74:L93),"Total must equal amount in Cell E63 above")</f>
        <v>0</v>
      </c>
      <c r="M94" s="1290"/>
    </row>
    <row r="95" spans="1:13" ht="16.5" thickTop="1">
      <c r="A95" s="331"/>
      <c r="B95" s="224"/>
      <c r="C95" s="224"/>
      <c r="D95" s="224"/>
      <c r="E95" s="224"/>
      <c r="F95" s="225"/>
      <c r="G95" s="225"/>
      <c r="H95" s="225"/>
      <c r="I95" s="225"/>
      <c r="J95" s="225"/>
      <c r="K95" s="225"/>
      <c r="M95" s="1290"/>
    </row>
    <row r="96" spans="1:13" ht="15.75">
      <c r="A96" s="331" t="s">
        <v>559</v>
      </c>
      <c r="B96" s="224"/>
      <c r="C96" s="224"/>
      <c r="D96" s="224"/>
      <c r="E96" s="224"/>
      <c r="F96" s="225"/>
      <c r="G96" s="225"/>
      <c r="H96" s="225"/>
      <c r="I96" s="225"/>
      <c r="J96" s="225"/>
      <c r="K96" s="225"/>
      <c r="M96" s="1290"/>
    </row>
    <row r="97" spans="1:13" ht="16.5">
      <c r="A97" s="283"/>
      <c r="B97" s="165"/>
      <c r="C97" s="363" t="s">
        <v>323</v>
      </c>
      <c r="D97" s="363"/>
      <c r="E97" s="363"/>
      <c r="F97" s="363"/>
      <c r="G97" s="363"/>
      <c r="H97" s="363"/>
      <c r="I97" s="363"/>
      <c r="J97" s="363"/>
      <c r="K97" s="1300"/>
      <c r="L97" s="456"/>
      <c r="M97" s="1299"/>
    </row>
    <row r="98" spans="1:13" ht="15.75">
      <c r="A98" s="331"/>
      <c r="B98" s="290">
        <v>1</v>
      </c>
      <c r="C98" s="1712" t="s">
        <v>324</v>
      </c>
      <c r="D98" s="1712"/>
      <c r="E98" s="821">
        <f>'Budget-Restricted MYP'!F88</f>
        <v>289980</v>
      </c>
      <c r="F98" s="710">
        <f>'1st Interim-Restricted MYP'!G88</f>
        <v>256817</v>
      </c>
      <c r="G98" s="717"/>
      <c r="H98" s="717">
        <v>256812</v>
      </c>
      <c r="I98" s="494"/>
      <c r="J98" s="723">
        <v>263181</v>
      </c>
      <c r="K98" s="487">
        <f t="shared" ref="K98:K107" si="3">IF(H98&lt;1," ",IF(J98&lt;1," ",(J98-H98)/H98))</f>
        <v>2.4800242979300034E-2</v>
      </c>
      <c r="L98" s="707">
        <v>271365.90000000002</v>
      </c>
      <c r="M98" s="486">
        <f t="shared" ref="M98:M107" si="4">IF(J98&lt;1," ",IF(L98&lt;1," ",(L98-J98)/J98))</f>
        <v>3.109988942970816E-2</v>
      </c>
    </row>
    <row r="99" spans="1:13" ht="15.75">
      <c r="A99" s="283"/>
      <c r="B99" s="290">
        <v>2</v>
      </c>
      <c r="C99" s="1710" t="s">
        <v>325</v>
      </c>
      <c r="D99" s="1710"/>
      <c r="E99" s="821">
        <f>'Budget-Restricted MYP'!F89</f>
        <v>112409</v>
      </c>
      <c r="F99" s="710">
        <f>'1st Interim-Restricted MYP'!G89</f>
        <v>90314</v>
      </c>
      <c r="G99" s="717">
        <v>72676</v>
      </c>
      <c r="H99" s="717">
        <v>83143</v>
      </c>
      <c r="I99" s="494"/>
      <c r="J99" s="723">
        <v>85204.946400000001</v>
      </c>
      <c r="K99" s="487">
        <f t="shared" si="3"/>
        <v>2.480000000000001E-2</v>
      </c>
      <c r="L99" s="707">
        <v>87854.820233039994</v>
      </c>
      <c r="M99" s="486">
        <f t="shared" si="4"/>
        <v>3.1099999999999926E-2</v>
      </c>
    </row>
    <row r="100" spans="1:13" ht="15.75">
      <c r="A100" s="283"/>
      <c r="B100" s="290">
        <v>3</v>
      </c>
      <c r="C100" s="1710" t="s">
        <v>326</v>
      </c>
      <c r="D100" s="1710"/>
      <c r="E100" s="821">
        <f>'Budget-Restricted MYP'!F90</f>
        <v>142965</v>
      </c>
      <c r="F100" s="710">
        <f>'1st Interim-Restricted MYP'!G101</f>
        <v>0</v>
      </c>
      <c r="G100" s="717">
        <v>44291.71</v>
      </c>
      <c r="H100" s="717">
        <v>135817</v>
      </c>
      <c r="I100" s="494"/>
      <c r="J100" s="723">
        <v>139185.2616</v>
      </c>
      <c r="K100" s="487">
        <f t="shared" si="3"/>
        <v>2.4799999999999985E-2</v>
      </c>
      <c r="L100" s="707">
        <v>143513.92323575998</v>
      </c>
      <c r="M100" s="486">
        <f t="shared" si="4"/>
        <v>3.1099999999999892E-2</v>
      </c>
    </row>
    <row r="101" spans="1:13" ht="15.75">
      <c r="A101" s="283"/>
      <c r="B101" s="290">
        <v>4</v>
      </c>
      <c r="C101" s="1710" t="s">
        <v>588</v>
      </c>
      <c r="D101" s="1710"/>
      <c r="E101" s="821">
        <f>'Budget-Restricted MYP'!F102</f>
        <v>0</v>
      </c>
      <c r="F101" s="710">
        <f>'1st Interim-Restricted MYP'!G102</f>
        <v>0</v>
      </c>
      <c r="G101" s="717">
        <v>809178.31</v>
      </c>
      <c r="H101" s="717">
        <v>2182872</v>
      </c>
      <c r="I101" s="494"/>
      <c r="J101" s="723">
        <v>129932</v>
      </c>
      <c r="K101" s="487">
        <f t="shared" si="3"/>
        <v>-0.94047658314367499</v>
      </c>
      <c r="L101" s="707">
        <v>0</v>
      </c>
      <c r="M101" s="486" t="str">
        <f t="shared" si="4"/>
        <v xml:space="preserve"> </v>
      </c>
    </row>
    <row r="102" spans="1:13" ht="15.75">
      <c r="A102" s="283"/>
      <c r="B102" s="290">
        <v>5</v>
      </c>
      <c r="C102" s="1710" t="s">
        <v>563</v>
      </c>
      <c r="D102" s="1710"/>
      <c r="E102" s="821">
        <f>'Budget-Restricted MYP'!F103</f>
        <v>0</v>
      </c>
      <c r="F102" s="710">
        <f>'1st Interim-Restricted MYP'!G103</f>
        <v>0</v>
      </c>
      <c r="G102" s="717">
        <v>1485</v>
      </c>
      <c r="H102" s="717">
        <v>0</v>
      </c>
      <c r="I102" s="494"/>
      <c r="J102" s="723">
        <v>0</v>
      </c>
      <c r="K102" s="487" t="str">
        <f t="shared" si="3"/>
        <v xml:space="preserve"> </v>
      </c>
      <c r="L102" s="707">
        <v>0</v>
      </c>
      <c r="M102" s="486" t="str">
        <f t="shared" si="4"/>
        <v xml:space="preserve"> </v>
      </c>
    </row>
    <row r="103" spans="1:13" ht="15.75">
      <c r="A103" s="283"/>
      <c r="B103" s="291">
        <v>6</v>
      </c>
      <c r="C103" s="1713" t="s">
        <v>564</v>
      </c>
      <c r="D103" s="1713"/>
      <c r="E103" s="821">
        <f>'Budget-Restricted MYP'!F104</f>
        <v>0</v>
      </c>
      <c r="F103" s="710">
        <f>'1st Interim-Restricted MYP'!G104</f>
        <v>0</v>
      </c>
      <c r="G103" s="717"/>
      <c r="H103" s="717">
        <v>0</v>
      </c>
      <c r="I103" s="494"/>
      <c r="J103" s="723">
        <v>0</v>
      </c>
      <c r="K103" s="487" t="str">
        <f t="shared" si="3"/>
        <v xml:space="preserve"> </v>
      </c>
      <c r="L103" s="707">
        <v>0</v>
      </c>
      <c r="M103" s="486" t="str">
        <f t="shared" si="4"/>
        <v xml:space="preserve"> </v>
      </c>
    </row>
    <row r="104" spans="1:13" ht="15.75">
      <c r="A104" s="283"/>
      <c r="B104" s="291">
        <v>7</v>
      </c>
      <c r="C104" s="1713" t="s">
        <v>325</v>
      </c>
      <c r="D104" s="1713"/>
      <c r="E104" s="821">
        <f>'Budget-Restricted MYP'!F105</f>
        <v>0</v>
      </c>
      <c r="F104" s="710">
        <f>'1st Interim-Restricted MYP'!G105</f>
        <v>0</v>
      </c>
      <c r="G104" s="717"/>
      <c r="H104" s="717"/>
      <c r="I104" s="494"/>
      <c r="J104" s="723">
        <v>0</v>
      </c>
      <c r="K104" s="487" t="str">
        <f t="shared" si="3"/>
        <v xml:space="preserve"> </v>
      </c>
      <c r="L104" s="707">
        <v>0</v>
      </c>
      <c r="M104" s="486" t="str">
        <f t="shared" si="4"/>
        <v xml:space="preserve"> </v>
      </c>
    </row>
    <row r="105" spans="1:13" ht="15.75">
      <c r="A105" s="67"/>
      <c r="B105" s="291">
        <v>8</v>
      </c>
      <c r="C105" s="1713" t="s">
        <v>565</v>
      </c>
      <c r="D105" s="1713"/>
      <c r="E105" s="821">
        <f>'Budget-Restricted MYP'!F106</f>
        <v>0</v>
      </c>
      <c r="F105" s="710">
        <f>'1st Interim-Restricted MYP'!G106</f>
        <v>0</v>
      </c>
      <c r="G105" s="718">
        <v>-10618.86</v>
      </c>
      <c r="H105" s="718">
        <v>-10618.86</v>
      </c>
      <c r="I105" s="494"/>
      <c r="J105" s="725">
        <v>0</v>
      </c>
      <c r="K105" s="487" t="str">
        <f t="shared" si="3"/>
        <v xml:space="preserve"> </v>
      </c>
      <c r="L105" s="714">
        <v>0</v>
      </c>
      <c r="M105" s="486" t="str">
        <f t="shared" si="4"/>
        <v xml:space="preserve"> </v>
      </c>
    </row>
    <row r="106" spans="1:13" ht="16.5" thickBot="1">
      <c r="A106" s="67"/>
      <c r="B106" s="935">
        <v>9</v>
      </c>
      <c r="C106" s="1764" t="s">
        <v>589</v>
      </c>
      <c r="D106" s="1764"/>
      <c r="E106" s="821">
        <f>'Budget-Restricted MYP'!F107</f>
        <v>0</v>
      </c>
      <c r="F106" s="710">
        <f>'1st Interim-Restricted MYP'!G107</f>
        <v>0</v>
      </c>
      <c r="G106" s="719">
        <v>24405.9</v>
      </c>
      <c r="H106" s="719"/>
      <c r="I106" s="320"/>
      <c r="J106" s="831">
        <v>0</v>
      </c>
      <c r="K106" s="488" t="str">
        <f t="shared" si="3"/>
        <v xml:space="preserve"> </v>
      </c>
      <c r="L106" s="708">
        <v>0</v>
      </c>
      <c r="M106" s="489" t="str">
        <f t="shared" si="4"/>
        <v xml:space="preserve"> </v>
      </c>
    </row>
    <row r="107" spans="1:13" ht="17.25" thickTop="1" thickBot="1">
      <c r="A107" s="67"/>
      <c r="B107" s="936" t="s">
        <v>103</v>
      </c>
      <c r="C107" s="1700" t="s">
        <v>309</v>
      </c>
      <c r="D107" s="1701"/>
      <c r="E107" s="897">
        <f>SUM(E98:E106)</f>
        <v>545354</v>
      </c>
      <c r="F107" s="897">
        <f>SUM(F98:F106)</f>
        <v>347131</v>
      </c>
      <c r="G107" s="897">
        <f>SUM(G98:G106)</f>
        <v>941418.06</v>
      </c>
      <c r="H107" s="807">
        <f>SUM(H98:H106)</f>
        <v>2648025.14</v>
      </c>
      <c r="I107" s="611"/>
      <c r="J107" s="807">
        <f>SUM(J98:J106)</f>
        <v>617503.20799999998</v>
      </c>
      <c r="K107" s="585">
        <f t="shared" si="3"/>
        <v>-0.76680613840395784</v>
      </c>
      <c r="L107" s="807">
        <f>SUM(L98:L106)</f>
        <v>502734.6434688</v>
      </c>
      <c r="M107" s="588">
        <f t="shared" si="4"/>
        <v>-0.18585905796816521</v>
      </c>
    </row>
    <row r="108" spans="1:13" ht="16.5" thickTop="1">
      <c r="A108" s="67"/>
      <c r="B108" s="946"/>
      <c r="C108" s="965"/>
      <c r="D108" s="965"/>
      <c r="E108" s="168"/>
      <c r="F108" s="168"/>
      <c r="G108" s="51"/>
      <c r="H108" s="168"/>
      <c r="I108" s="51"/>
      <c r="J108" s="168"/>
      <c r="K108" s="51"/>
      <c r="L108" s="51"/>
      <c r="M108" s="879"/>
    </row>
    <row r="109" spans="1:13" ht="15.75">
      <c r="A109" s="67"/>
      <c r="B109" s="350" t="s">
        <v>332</v>
      </c>
      <c r="C109" s="166"/>
      <c r="D109" s="973"/>
      <c r="E109" s="1123">
        <f>'Budget-Restricted MYP'!F110</f>
        <v>49</v>
      </c>
      <c r="F109" s="1099">
        <f>'1st Interim-Restricted MYP'!G110</f>
        <v>65</v>
      </c>
      <c r="G109" s="579"/>
      <c r="H109" s="972">
        <f>'2nd Interim-Assumptions'!G17</f>
        <v>65</v>
      </c>
      <c r="I109" s="484"/>
      <c r="J109" s="972">
        <f>'2nd Interim-Assumptions'!H17</f>
        <v>65</v>
      </c>
      <c r="K109" s="484"/>
      <c r="L109" s="972">
        <f>'2nd Interim-Assumptions'!J17</f>
        <v>65</v>
      </c>
      <c r="M109" s="351"/>
    </row>
    <row r="110" spans="1:13" ht="15.75">
      <c r="A110" s="283"/>
      <c r="B110" s="350" t="s">
        <v>333</v>
      </c>
      <c r="C110" s="166"/>
      <c r="D110" s="973"/>
      <c r="E110" s="1123">
        <f>'Budget-Restricted MYP'!F111</f>
        <v>40742.212123199999</v>
      </c>
      <c r="F110" s="1100">
        <f>'1st Interim-Restricted MYP'!G111</f>
        <v>45564.985283999995</v>
      </c>
      <c r="G110" s="580"/>
      <c r="H110" s="953">
        <f>(1.04446*'2nd Interim-ADA'!O76)*H109</f>
        <v>43880.636864999993</v>
      </c>
      <c r="I110" s="1225">
        <f>IF(F110&lt;1," ",IF(H110&lt;1," ",(H110-F110)/F110))</f>
        <v>-3.6965850169855222E-2</v>
      </c>
      <c r="J110" s="953">
        <f>(1.04446*'2nd Interim-ADA'!R76)*J109</f>
        <v>44196.3249</v>
      </c>
      <c r="K110" s="269">
        <f>IF(H110&lt;1," ",IF(J110&lt;1," ",(J110-H110)/H110))</f>
        <v>7.1942446043166955E-3</v>
      </c>
      <c r="L110" s="953">
        <f>(1.04446*'2nd Interim-ADA'!U76)*L109</f>
        <v>44196.3249</v>
      </c>
      <c r="M110" s="306">
        <f>IF(J110&lt;1," ",IF(L110&lt;1," ",(L110-J110)/J110))</f>
        <v>0</v>
      </c>
    </row>
    <row r="111" spans="1:13" ht="6.75" customHeight="1">
      <c r="A111" s="67"/>
      <c r="B111" s="360"/>
      <c r="C111" s="966"/>
      <c r="D111" s="966"/>
      <c r="E111" s="967"/>
      <c r="F111" s="968"/>
      <c r="G111" s="51"/>
      <c r="H111" s="51"/>
      <c r="I111" s="968"/>
      <c r="J111" s="51"/>
      <c r="K111" s="968"/>
      <c r="L111" s="51"/>
      <c r="M111" s="879"/>
    </row>
    <row r="112" spans="1:13" ht="15.75">
      <c r="A112" s="283"/>
      <c r="B112" s="165"/>
      <c r="C112" s="165" t="s">
        <v>334</v>
      </c>
      <c r="D112" s="165"/>
      <c r="E112" s="165"/>
      <c r="F112" s="1706"/>
      <c r="G112" s="1706"/>
      <c r="H112" s="1706"/>
      <c r="I112" s="1706"/>
      <c r="J112" s="1706"/>
      <c r="K112" s="1706"/>
      <c r="L112" s="51"/>
      <c r="M112" s="604"/>
    </row>
    <row r="113" spans="1:13" ht="15.75">
      <c r="A113" s="283"/>
      <c r="B113" s="290">
        <v>1</v>
      </c>
      <c r="C113" s="1710" t="s">
        <v>335</v>
      </c>
      <c r="D113" s="1711"/>
      <c r="E113" s="1129">
        <f>'Budget-Restricted MYP'!F114</f>
        <v>10125</v>
      </c>
      <c r="F113" s="1160">
        <f>'1st Interim-Restricted MYP'!G114</f>
        <v>10125</v>
      </c>
      <c r="G113" s="1163">
        <v>2784.69</v>
      </c>
      <c r="H113" s="717">
        <v>10125</v>
      </c>
      <c r="I113" s="320"/>
      <c r="J113" s="723">
        <v>10376.099999999999</v>
      </c>
      <c r="K113" s="488">
        <f t="shared" ref="K113:K131" si="5">IF(H113&lt;1," ",IF(J113&lt;1," ",(J113-H113)/H113))</f>
        <v>2.4799999999999857E-2</v>
      </c>
      <c r="L113" s="712">
        <v>10698.796709999997</v>
      </c>
      <c r="M113" s="605">
        <f t="shared" ref="M113:M131" si="6">IF(J113&lt;1," ",IF(L113&lt;1," ",(L113-J113)/J113))</f>
        <v>3.1099999999999847E-2</v>
      </c>
    </row>
    <row r="114" spans="1:13" ht="15.75">
      <c r="A114" s="283"/>
      <c r="B114" s="290">
        <v>2</v>
      </c>
      <c r="C114" s="1710" t="s">
        <v>336</v>
      </c>
      <c r="D114" s="1711"/>
      <c r="E114" s="1129">
        <f>'Budget-Restricted MYP'!F115</f>
        <v>897990.66</v>
      </c>
      <c r="F114" s="1160">
        <f>'1st Interim-Restricted MYP'!G115</f>
        <v>735187.59</v>
      </c>
      <c r="G114" s="1150"/>
      <c r="H114" s="718">
        <v>735187.59</v>
      </c>
      <c r="I114" s="320"/>
      <c r="J114" s="725">
        <f>H114*1.0248</f>
        <v>753420.24223199987</v>
      </c>
      <c r="K114" s="488">
        <f t="shared" si="5"/>
        <v>2.4799999999999874E-2</v>
      </c>
      <c r="L114" s="714">
        <f>J114*1.0311</f>
        <v>776851.61176541494</v>
      </c>
      <c r="M114" s="489">
        <f t="shared" si="6"/>
        <v>3.1099999999999833E-2</v>
      </c>
    </row>
    <row r="115" spans="1:13" ht="15.75">
      <c r="A115" s="283"/>
      <c r="B115" s="290">
        <v>3</v>
      </c>
      <c r="C115" s="1710" t="s">
        <v>590</v>
      </c>
      <c r="D115" s="1711"/>
      <c r="E115" s="1129">
        <f>'Budget-Restricted MYP'!F116</f>
        <v>151432.5</v>
      </c>
      <c r="F115" s="1160">
        <f>'1st Interim-Restricted MYP'!G116</f>
        <v>151432.5</v>
      </c>
      <c r="G115" s="1150"/>
      <c r="H115" s="718">
        <v>-151432.5</v>
      </c>
      <c r="I115" s="320"/>
      <c r="J115" s="725">
        <v>0</v>
      </c>
      <c r="K115" s="488" t="str">
        <f t="shared" si="5"/>
        <v xml:space="preserve"> </v>
      </c>
      <c r="L115" s="714">
        <v>0</v>
      </c>
      <c r="M115" s="489" t="str">
        <f t="shared" si="6"/>
        <v xml:space="preserve"> </v>
      </c>
    </row>
    <row r="116" spans="1:13" ht="15.75">
      <c r="A116" s="283"/>
      <c r="B116" s="290">
        <v>4</v>
      </c>
      <c r="C116" s="1710" t="s">
        <v>338</v>
      </c>
      <c r="D116" s="1711"/>
      <c r="E116" s="1129">
        <f>'Budget-Restricted MYP'!F117</f>
        <v>287068.5</v>
      </c>
      <c r="F116" s="1160">
        <f>'1st Interim-Restricted MYP'!G117</f>
        <v>0</v>
      </c>
      <c r="G116" s="1163">
        <v>3174</v>
      </c>
      <c r="H116" s="717"/>
      <c r="I116" s="320"/>
      <c r="J116" s="723">
        <v>0</v>
      </c>
      <c r="K116" s="488" t="str">
        <f t="shared" si="5"/>
        <v xml:space="preserve"> </v>
      </c>
      <c r="L116" s="707">
        <v>0</v>
      </c>
      <c r="M116" s="489" t="str">
        <f t="shared" si="6"/>
        <v xml:space="preserve"> </v>
      </c>
    </row>
    <row r="117" spans="1:13" ht="15.75">
      <c r="A117" s="67"/>
      <c r="B117" s="290">
        <v>5</v>
      </c>
      <c r="C117" s="1710" t="s">
        <v>339</v>
      </c>
      <c r="D117" s="1711"/>
      <c r="E117" s="1129">
        <f>'Budget-Restricted MYP'!F118</f>
        <v>31896.5</v>
      </c>
      <c r="F117" s="1160">
        <f>'1st Interim-Restricted MYP'!G118</f>
        <v>0</v>
      </c>
      <c r="G117" s="1164"/>
      <c r="H117" s="735">
        <v>34716</v>
      </c>
      <c r="I117" s="320"/>
      <c r="J117" s="832">
        <v>0</v>
      </c>
      <c r="K117" s="488" t="str">
        <f t="shared" si="5"/>
        <v xml:space="preserve"> </v>
      </c>
      <c r="L117" s="837">
        <v>0</v>
      </c>
      <c r="M117" s="489" t="str">
        <f t="shared" si="6"/>
        <v xml:space="preserve"> </v>
      </c>
    </row>
    <row r="118" spans="1:13" ht="15.75">
      <c r="A118" s="284"/>
      <c r="B118" s="291">
        <v>6</v>
      </c>
      <c r="C118" s="1713" t="s">
        <v>567</v>
      </c>
      <c r="D118" s="1750"/>
      <c r="E118" s="1129">
        <f>'Budget-Restricted MYP'!F119</f>
        <v>0</v>
      </c>
      <c r="F118" s="1160">
        <f>'1st Interim-Restricted MYP'!G119</f>
        <v>0</v>
      </c>
      <c r="G118" s="1149">
        <v>926</v>
      </c>
      <c r="H118" s="736"/>
      <c r="I118" s="494"/>
      <c r="J118" s="833">
        <v>0</v>
      </c>
      <c r="K118" s="487" t="str">
        <f t="shared" si="5"/>
        <v xml:space="preserve"> </v>
      </c>
      <c r="L118" s="838">
        <v>0</v>
      </c>
      <c r="M118" s="486" t="str">
        <f t="shared" si="6"/>
        <v xml:space="preserve"> </v>
      </c>
    </row>
    <row r="119" spans="1:13" ht="15.75">
      <c r="A119" s="284"/>
      <c r="B119" s="291">
        <v>7</v>
      </c>
      <c r="C119" s="1713" t="s">
        <v>568</v>
      </c>
      <c r="D119" s="1750"/>
      <c r="E119" s="1129">
        <f>'Budget-Restricted MYP'!F120</f>
        <v>0</v>
      </c>
      <c r="F119" s="1160">
        <f>'1st Interim-Restricted MYP'!G120</f>
        <v>365951</v>
      </c>
      <c r="G119" s="1150">
        <v>164003</v>
      </c>
      <c r="H119" s="718">
        <v>361027</v>
      </c>
      <c r="I119" s="494"/>
      <c r="J119" s="725">
        <v>369980.46959999995</v>
      </c>
      <c r="K119" s="487">
        <f t="shared" si="5"/>
        <v>2.4799999999999871E-2</v>
      </c>
      <c r="L119" s="714">
        <v>381486.8622045599</v>
      </c>
      <c r="M119" s="486">
        <f t="shared" si="6"/>
        <v>3.1099999999999871E-2</v>
      </c>
    </row>
    <row r="120" spans="1:13" ht="15.75">
      <c r="A120" s="284"/>
      <c r="B120" s="291">
        <v>8</v>
      </c>
      <c r="C120" s="1713" t="s">
        <v>591</v>
      </c>
      <c r="D120" s="1750"/>
      <c r="E120" s="1129">
        <f>'Budget-Restricted MYP'!F121</f>
        <v>0</v>
      </c>
      <c r="F120" s="1160">
        <f>'1st Interim-Restricted MYP'!G121</f>
        <v>168955</v>
      </c>
      <c r="G120" s="1150">
        <v>180218</v>
      </c>
      <c r="H120" s="718">
        <v>180218</v>
      </c>
      <c r="I120" s="494"/>
      <c r="J120" s="725">
        <v>0</v>
      </c>
      <c r="K120" s="487" t="str">
        <f t="shared" si="5"/>
        <v xml:space="preserve"> </v>
      </c>
      <c r="L120" s="714">
        <v>0</v>
      </c>
      <c r="M120" s="486" t="str">
        <f t="shared" si="6"/>
        <v xml:space="preserve"> </v>
      </c>
    </row>
    <row r="121" spans="1:13" ht="15.75">
      <c r="A121" s="284"/>
      <c r="B121" s="291">
        <v>9</v>
      </c>
      <c r="C121" s="1710" t="s">
        <v>592</v>
      </c>
      <c r="D121" s="1711"/>
      <c r="E121" s="1129">
        <f>'Budget-Restricted MYP'!F122</f>
        <v>0</v>
      </c>
      <c r="F121" s="1160">
        <f>'1st Interim-Restricted MYP'!G122</f>
        <v>0</v>
      </c>
      <c r="G121" s="1150"/>
      <c r="H121" s="718">
        <v>112000</v>
      </c>
      <c r="I121" s="494"/>
      <c r="J121" s="725">
        <v>0</v>
      </c>
      <c r="K121" s="487" t="str">
        <f t="shared" si="5"/>
        <v xml:space="preserve"> </v>
      </c>
      <c r="L121" s="714">
        <v>0</v>
      </c>
      <c r="M121" s="486" t="str">
        <f t="shared" si="6"/>
        <v xml:space="preserve"> </v>
      </c>
    </row>
    <row r="122" spans="1:13" ht="15.75">
      <c r="A122" s="284"/>
      <c r="B122" s="146">
        <v>10</v>
      </c>
      <c r="C122" s="1713"/>
      <c r="D122" s="1750"/>
      <c r="E122" s="1129">
        <f>'Budget-Restricted MYP'!F123</f>
        <v>0</v>
      </c>
      <c r="F122" s="1160">
        <f>'1st Interim-Restricted MYP'!G123</f>
        <v>0</v>
      </c>
      <c r="G122" s="1150"/>
      <c r="H122" s="718"/>
      <c r="I122" s="494"/>
      <c r="J122" s="725"/>
      <c r="K122" s="487" t="str">
        <f t="shared" si="5"/>
        <v xml:space="preserve"> </v>
      </c>
      <c r="L122" s="714"/>
      <c r="M122" s="486" t="str">
        <f t="shared" si="6"/>
        <v xml:space="preserve"> </v>
      </c>
    </row>
    <row r="123" spans="1:13" ht="15.75">
      <c r="A123" s="67"/>
      <c r="B123" s="146">
        <v>11</v>
      </c>
      <c r="C123" s="1713"/>
      <c r="D123" s="1750"/>
      <c r="E123" s="1129">
        <f>'Budget-Restricted MYP'!F124</f>
        <v>0</v>
      </c>
      <c r="F123" s="1160">
        <f>'1st Interim-Restricted MYP'!G124</f>
        <v>0</v>
      </c>
      <c r="G123" s="1151"/>
      <c r="H123" s="728"/>
      <c r="I123" s="494"/>
      <c r="J123" s="728"/>
      <c r="K123" s="487" t="str">
        <f t="shared" si="5"/>
        <v xml:space="preserve"> </v>
      </c>
      <c r="L123" s="839"/>
      <c r="M123" s="486" t="str">
        <f t="shared" si="6"/>
        <v xml:space="preserve"> </v>
      </c>
    </row>
    <row r="124" spans="1:13" ht="15.75">
      <c r="A124" s="67"/>
      <c r="B124" s="146">
        <v>12</v>
      </c>
      <c r="C124" s="1713"/>
      <c r="D124" s="1750"/>
      <c r="E124" s="1129">
        <f>'Budget-Restricted MYP'!F125</f>
        <v>0</v>
      </c>
      <c r="F124" s="1160">
        <f>'1st Interim-Restricted MYP'!G125</f>
        <v>0</v>
      </c>
      <c r="G124" s="1152"/>
      <c r="H124" s="729"/>
      <c r="I124" s="494"/>
      <c r="J124" s="729"/>
      <c r="K124" s="487" t="str">
        <f t="shared" si="5"/>
        <v xml:space="preserve"> </v>
      </c>
      <c r="L124" s="840"/>
      <c r="M124" s="486" t="str">
        <f t="shared" si="6"/>
        <v xml:space="preserve"> </v>
      </c>
    </row>
    <row r="125" spans="1:13" ht="15.75">
      <c r="A125" s="67"/>
      <c r="B125" s="146">
        <v>13</v>
      </c>
      <c r="C125" s="1713"/>
      <c r="D125" s="1750"/>
      <c r="E125" s="1129">
        <f>'Budget-Restricted MYP'!F126</f>
        <v>0</v>
      </c>
      <c r="F125" s="1160">
        <f>'1st Interim-Restricted MYP'!G126</f>
        <v>0</v>
      </c>
      <c r="G125" s="1153"/>
      <c r="H125" s="737"/>
      <c r="I125" s="494"/>
      <c r="J125" s="834"/>
      <c r="K125" s="487" t="str">
        <f t="shared" si="5"/>
        <v xml:space="preserve"> </v>
      </c>
      <c r="L125" s="743"/>
      <c r="M125" s="486" t="str">
        <f t="shared" si="6"/>
        <v xml:space="preserve"> </v>
      </c>
    </row>
    <row r="126" spans="1:13" ht="15.75">
      <c r="A126" s="67"/>
      <c r="B126" s="146">
        <v>14</v>
      </c>
      <c r="C126" s="1713"/>
      <c r="D126" s="1750"/>
      <c r="E126" s="1129">
        <f>'Budget-Restricted MYP'!F127</f>
        <v>0</v>
      </c>
      <c r="F126" s="1160">
        <f>'1st Interim-Restricted MYP'!G127</f>
        <v>0</v>
      </c>
      <c r="G126" s="747"/>
      <c r="H126" s="738"/>
      <c r="I126" s="494"/>
      <c r="J126" s="751"/>
      <c r="K126" s="487" t="str">
        <f t="shared" si="5"/>
        <v xml:space="preserve"> </v>
      </c>
      <c r="L126" s="744"/>
      <c r="M126" s="486" t="str">
        <f t="shared" si="6"/>
        <v xml:space="preserve"> </v>
      </c>
    </row>
    <row r="127" spans="1:13" ht="15.75">
      <c r="A127" s="67"/>
      <c r="B127" s="146">
        <v>15</v>
      </c>
      <c r="C127" s="1713"/>
      <c r="D127" s="1750"/>
      <c r="E127" s="1129">
        <f>'Budget-Restricted MYP'!F128</f>
        <v>0</v>
      </c>
      <c r="F127" s="1160">
        <f>'1st Interim-Restricted MYP'!G128</f>
        <v>0</v>
      </c>
      <c r="G127" s="1153"/>
      <c r="H127" s="737"/>
      <c r="I127" s="494"/>
      <c r="J127" s="834"/>
      <c r="K127" s="487" t="str">
        <f t="shared" si="5"/>
        <v xml:space="preserve"> </v>
      </c>
      <c r="L127" s="743"/>
      <c r="M127" s="486" t="str">
        <f t="shared" si="6"/>
        <v xml:space="preserve"> </v>
      </c>
    </row>
    <row r="128" spans="1:13" ht="15.75">
      <c r="A128" s="67"/>
      <c r="B128" s="146">
        <v>16</v>
      </c>
      <c r="C128" s="1713"/>
      <c r="D128" s="1750"/>
      <c r="E128" s="1129">
        <f>'Budget-Restricted MYP'!F129</f>
        <v>0</v>
      </c>
      <c r="F128" s="1160">
        <f>'1st Interim-Restricted MYP'!G129</f>
        <v>0</v>
      </c>
      <c r="G128" s="1154"/>
      <c r="H128" s="739"/>
      <c r="I128" s="494"/>
      <c r="J128" s="835"/>
      <c r="K128" s="487" t="str">
        <f t="shared" si="5"/>
        <v xml:space="preserve"> </v>
      </c>
      <c r="L128" s="745"/>
      <c r="M128" s="486" t="str">
        <f t="shared" si="6"/>
        <v xml:space="preserve"> </v>
      </c>
    </row>
    <row r="129" spans="1:14" ht="15.75">
      <c r="A129" s="67"/>
      <c r="B129" s="146">
        <v>17</v>
      </c>
      <c r="C129" s="1713"/>
      <c r="D129" s="1750"/>
      <c r="E129" s="1129">
        <f>'Budget-Restricted MYP'!F130</f>
        <v>0</v>
      </c>
      <c r="F129" s="1160">
        <f>'1st Interim-Restricted MYP'!G130</f>
        <v>0</v>
      </c>
      <c r="G129" s="1155"/>
      <c r="H129" s="740"/>
      <c r="I129" s="494"/>
      <c r="J129" s="836"/>
      <c r="K129" s="487" t="str">
        <f t="shared" si="5"/>
        <v xml:space="preserve"> </v>
      </c>
      <c r="L129" s="746"/>
      <c r="M129" s="486" t="str">
        <f t="shared" si="6"/>
        <v xml:space="preserve"> </v>
      </c>
    </row>
    <row r="130" spans="1:14" ht="16.5" thickBot="1">
      <c r="A130" s="67"/>
      <c r="B130" s="896">
        <v>18</v>
      </c>
      <c r="C130" s="1755"/>
      <c r="D130" s="1756"/>
      <c r="E130" s="1129">
        <f>'Budget-Restricted MYP'!F131</f>
        <v>0</v>
      </c>
      <c r="F130" s="1160">
        <f>'1st Interim-Restricted MYP'!G131</f>
        <v>0</v>
      </c>
      <c r="G130" s="1156"/>
      <c r="H130" s="734"/>
      <c r="I130" s="629"/>
      <c r="J130" s="734"/>
      <c r="K130" s="602" t="str">
        <f t="shared" si="5"/>
        <v xml:space="preserve"> </v>
      </c>
      <c r="L130" s="841"/>
      <c r="M130" s="603" t="str">
        <f t="shared" si="6"/>
        <v xml:space="preserve"> </v>
      </c>
    </row>
    <row r="131" spans="1:14" ht="17.25" thickTop="1" thickBot="1">
      <c r="A131" s="67"/>
      <c r="B131" s="900"/>
      <c r="C131" s="1700" t="s">
        <v>315</v>
      </c>
      <c r="D131" s="1701"/>
      <c r="E131" s="1142">
        <f>SUM(E113:E130)</f>
        <v>1378513.1600000001</v>
      </c>
      <c r="F131" s="1142">
        <f>SUM(F113:F130)</f>
        <v>1431651.0899999999</v>
      </c>
      <c r="G131" s="1142">
        <f>SUM(G113:G130)</f>
        <v>351105.69</v>
      </c>
      <c r="H131" s="807">
        <f>SUM(H113:H130)</f>
        <v>1281841.0899999999</v>
      </c>
      <c r="I131" s="611"/>
      <c r="J131" s="807">
        <f>SUM(J113:J130)</f>
        <v>1133776.8118319998</v>
      </c>
      <c r="K131" s="585">
        <f t="shared" si="5"/>
        <v>-0.11550907466072886</v>
      </c>
      <c r="L131" s="807">
        <f>SUM(L113:L130)</f>
        <v>1169037.2706799749</v>
      </c>
      <c r="M131" s="588">
        <f t="shared" si="6"/>
        <v>3.109999999999994E-2</v>
      </c>
    </row>
    <row r="132" spans="1:14" ht="9" customHeight="1" thickTop="1">
      <c r="A132" s="67"/>
      <c r="B132" s="152"/>
      <c r="C132" s="1830"/>
      <c r="D132" s="1830"/>
      <c r="E132" s="655"/>
      <c r="F132" s="866"/>
      <c r="G132" s="457"/>
      <c r="H132" s="457"/>
      <c r="I132" s="866"/>
      <c r="J132" s="457"/>
      <c r="K132" s="866"/>
      <c r="L132" s="457"/>
      <c r="M132" s="880"/>
    </row>
    <row r="133" spans="1:14" ht="15.75">
      <c r="A133" s="283"/>
      <c r="B133" s="165"/>
      <c r="C133" s="165" t="s">
        <v>341</v>
      </c>
      <c r="D133" s="165"/>
      <c r="E133" s="165"/>
      <c r="F133" s="1706"/>
      <c r="G133" s="1706"/>
      <c r="H133" s="1706"/>
      <c r="I133" s="1706"/>
      <c r="J133" s="1706"/>
      <c r="K133" s="1706"/>
      <c r="L133" s="51"/>
      <c r="M133" s="604"/>
    </row>
    <row r="134" spans="1:14" ht="15.75">
      <c r="A134" s="67"/>
      <c r="B134" s="290">
        <v>1</v>
      </c>
      <c r="C134" s="1710" t="s">
        <v>342</v>
      </c>
      <c r="D134" s="1711"/>
      <c r="E134" s="1136">
        <f>'Budget-Restricted MYP'!F135</f>
        <v>7500</v>
      </c>
      <c r="F134" s="1132">
        <f>'1st Interim-Restricted MYP'!G135</f>
        <v>0</v>
      </c>
      <c r="G134" s="1157">
        <v>75</v>
      </c>
      <c r="H134" s="731">
        <v>0</v>
      </c>
      <c r="I134" s="494"/>
      <c r="J134" s="751">
        <v>0</v>
      </c>
      <c r="K134" s="30" t="str">
        <f t="shared" ref="K134:K140" si="7">IF(H134&lt;1," ",IF(J134&lt;1," ",(J134-H134)/H134))</f>
        <v xml:space="preserve"> </v>
      </c>
      <c r="L134" s="842">
        <v>0</v>
      </c>
      <c r="M134" s="641" t="str">
        <f t="shared" ref="M134:M140" si="8">IF(J134&lt;1," ",IF(L134&lt;1," ",(L134-J134)/J134))</f>
        <v xml:space="preserve"> </v>
      </c>
    </row>
    <row r="135" spans="1:14" ht="15.75">
      <c r="A135" s="67"/>
      <c r="B135" s="290">
        <v>2</v>
      </c>
      <c r="C135" s="1710"/>
      <c r="D135" s="1711"/>
      <c r="E135" s="1136">
        <f>'Budget-Restricted MYP'!F136</f>
        <v>0</v>
      </c>
      <c r="F135" s="1132">
        <f>'1st Interim-Restricted MYP'!G136</f>
        <v>0</v>
      </c>
      <c r="G135" s="1158"/>
      <c r="H135" s="749"/>
      <c r="I135" s="628"/>
      <c r="J135" s="749"/>
      <c r="K135" s="79" t="str">
        <f t="shared" si="7"/>
        <v xml:space="preserve"> </v>
      </c>
      <c r="L135" s="843"/>
      <c r="M135" s="642" t="str">
        <f t="shared" si="8"/>
        <v xml:space="preserve"> </v>
      </c>
    </row>
    <row r="136" spans="1:14" ht="15.75">
      <c r="A136" s="67"/>
      <c r="B136" s="290">
        <v>3</v>
      </c>
      <c r="C136" s="1710"/>
      <c r="D136" s="1711"/>
      <c r="E136" s="1136">
        <f>'Budget-Restricted MYP'!F137</f>
        <v>0</v>
      </c>
      <c r="F136" s="1132">
        <f>'1st Interim-Restricted MYP'!G137</f>
        <v>0</v>
      </c>
      <c r="G136" s="1159"/>
      <c r="H136" s="734"/>
      <c r="I136" s="629"/>
      <c r="J136" s="752"/>
      <c r="K136" s="333" t="str">
        <f t="shared" si="7"/>
        <v xml:space="preserve"> </v>
      </c>
      <c r="L136" s="844"/>
      <c r="M136" s="643" t="str">
        <f t="shared" si="8"/>
        <v xml:space="preserve"> </v>
      </c>
    </row>
    <row r="137" spans="1:14" ht="15.75">
      <c r="A137" s="67"/>
      <c r="B137" s="290">
        <v>4</v>
      </c>
      <c r="C137" s="1710"/>
      <c r="D137" s="1711"/>
      <c r="E137" s="1136">
        <f>'Budget-Restricted MYP'!F138</f>
        <v>0</v>
      </c>
      <c r="F137" s="1132">
        <f>'1st Interim-Restricted MYP'!G138</f>
        <v>0</v>
      </c>
      <c r="G137" s="747"/>
      <c r="H137" s="731"/>
      <c r="I137" s="494"/>
      <c r="J137" s="751"/>
      <c r="K137" s="30" t="str">
        <f t="shared" si="7"/>
        <v xml:space="preserve"> </v>
      </c>
      <c r="L137" s="845"/>
      <c r="M137" s="644" t="str">
        <f t="shared" si="8"/>
        <v xml:space="preserve"> </v>
      </c>
    </row>
    <row r="138" spans="1:14" ht="15.75">
      <c r="A138" s="67"/>
      <c r="B138" s="290">
        <v>5</v>
      </c>
      <c r="C138" s="1710"/>
      <c r="D138" s="1711"/>
      <c r="E138" s="1136">
        <f>'Budget-Restricted MYP'!F139</f>
        <v>0</v>
      </c>
      <c r="F138" s="1132">
        <f>'1st Interim-Restricted MYP'!G139</f>
        <v>0</v>
      </c>
      <c r="G138" s="747"/>
      <c r="H138" s="731"/>
      <c r="I138" s="494"/>
      <c r="J138" s="751"/>
      <c r="K138" s="30" t="str">
        <f t="shared" si="7"/>
        <v xml:space="preserve"> </v>
      </c>
      <c r="L138" s="845"/>
      <c r="M138" s="644" t="str">
        <f t="shared" si="8"/>
        <v xml:space="preserve"> </v>
      </c>
    </row>
    <row r="139" spans="1:14" ht="16.5" thickBot="1">
      <c r="A139" s="67"/>
      <c r="B139" s="935">
        <v>6</v>
      </c>
      <c r="C139" s="1755"/>
      <c r="D139" s="1756"/>
      <c r="E139" s="1136">
        <f>'Budget-Restricted MYP'!F140</f>
        <v>0</v>
      </c>
      <c r="F139" s="1132">
        <f>'1st Interim-Restricted MYP'!G140</f>
        <v>0</v>
      </c>
      <c r="G139" s="1156"/>
      <c r="H139" s="734"/>
      <c r="I139" s="320"/>
      <c r="J139" s="752"/>
      <c r="K139" s="95" t="str">
        <f t="shared" si="7"/>
        <v xml:space="preserve"> </v>
      </c>
      <c r="L139" s="844"/>
      <c r="M139" s="643" t="str">
        <f t="shared" si="8"/>
        <v xml:space="preserve"> </v>
      </c>
    </row>
    <row r="140" spans="1:14" ht="17.25" thickTop="1" thickBot="1">
      <c r="A140" s="67"/>
      <c r="B140" s="926"/>
      <c r="C140" s="1700" t="s">
        <v>319</v>
      </c>
      <c r="D140" s="1701"/>
      <c r="E140" s="1142">
        <f>SUM(E134:E139)</f>
        <v>7500</v>
      </c>
      <c r="F140" s="1142">
        <f>SUM(F134:F139)</f>
        <v>0</v>
      </c>
      <c r="G140" s="1142">
        <f>SUM(G134:G139)</f>
        <v>75</v>
      </c>
      <c r="H140" s="807">
        <f>SUM(H134:H139)</f>
        <v>0</v>
      </c>
      <c r="I140" s="611"/>
      <c r="J140" s="807">
        <f>SUM(J134:J139)</f>
        <v>0</v>
      </c>
      <c r="K140" s="585" t="str">
        <f t="shared" si="7"/>
        <v xml:space="preserve"> </v>
      </c>
      <c r="L140" s="807">
        <f>SUM(L134:L139)</f>
        <v>0</v>
      </c>
      <c r="M140" s="588" t="str">
        <f t="shared" si="8"/>
        <v xml:space="preserve"> </v>
      </c>
    </row>
    <row r="141" spans="1:14" ht="10.5" customHeight="1" thickTop="1">
      <c r="A141" s="286"/>
      <c r="B141" s="1"/>
      <c r="C141" s="1"/>
      <c r="D141" s="998"/>
      <c r="F141" s="1349"/>
      <c r="G141" s="158"/>
      <c r="H141" s="1349"/>
      <c r="I141" s="158"/>
      <c r="J141" s="1349"/>
      <c r="K141" s="1419"/>
      <c r="L141" s="1370"/>
      <c r="M141" s="470"/>
      <c r="N141"/>
    </row>
    <row r="142" spans="1:14" ht="15.75">
      <c r="A142" s="331" t="s">
        <v>343</v>
      </c>
      <c r="B142" s="1"/>
      <c r="C142" s="1"/>
      <c r="D142" s="998"/>
      <c r="F142" s="1349"/>
      <c r="G142" s="158"/>
      <c r="H142" s="1349"/>
      <c r="I142" s="158"/>
      <c r="J142" s="1349"/>
      <c r="K142" s="679"/>
      <c r="L142" s="151"/>
      <c r="M142" s="470"/>
      <c r="N142"/>
    </row>
    <row r="143" spans="1:14" ht="15.75">
      <c r="A143" s="286"/>
      <c r="B143" s="1757" t="s">
        <v>344</v>
      </c>
      <c r="C143" s="1757"/>
      <c r="D143" s="1757"/>
      <c r="E143" s="1429">
        <f>'Budget-Restricted MYP'!F144</f>
        <v>0</v>
      </c>
      <c r="F143" s="1429">
        <f>'1st Interim-Restricted MYP'!G144</f>
        <v>0</v>
      </c>
      <c r="G143" s="1362"/>
      <c r="H143" s="1362"/>
      <c r="I143" s="1421" t="str">
        <f>IF(E143=0,"",IF(H143=0,"",(H143-E143)/E143))</f>
        <v/>
      </c>
      <c r="J143" s="1362"/>
      <c r="K143" s="1421" t="str">
        <f>IF(H143=0,"",IF(J143=0,"",(J143-H143)/H143))</f>
        <v/>
      </c>
      <c r="L143" s="1442"/>
      <c r="M143" s="1352" t="str">
        <f>IF(J143=0,"",IF(L143=0,"",(L143-J143)/J143))</f>
        <v/>
      </c>
    </row>
    <row r="144" spans="1:14" ht="15.75">
      <c r="A144" s="286"/>
      <c r="B144" s="1757" t="s">
        <v>345</v>
      </c>
      <c r="C144" s="1757"/>
      <c r="D144" s="1757"/>
      <c r="E144" s="1363"/>
      <c r="F144" s="1357"/>
      <c r="G144" s="1357"/>
      <c r="H144" s="1357"/>
      <c r="I144" s="1357"/>
      <c r="J144" s="1357"/>
      <c r="K144" s="1357"/>
      <c r="L144" s="1357"/>
      <c r="M144" s="1356"/>
    </row>
    <row r="145" spans="1:13" ht="15.75">
      <c r="A145" s="286"/>
      <c r="B145" s="1759" t="s">
        <v>346</v>
      </c>
      <c r="C145" s="1675"/>
      <c r="D145" s="1760"/>
      <c r="E145" s="1354">
        <f>E24</f>
        <v>497550</v>
      </c>
      <c r="F145" s="1354">
        <f>F24</f>
        <v>0</v>
      </c>
      <c r="G145" s="1354">
        <f>G24</f>
        <v>0</v>
      </c>
      <c r="H145" s="1354">
        <f>H24</f>
        <v>0</v>
      </c>
      <c r="I145" s="1421" t="str">
        <f>IF(E145=0,"",IF(H145=0,"",(H145-E145)/E145))</f>
        <v/>
      </c>
      <c r="J145" s="1354">
        <f>J24</f>
        <v>0</v>
      </c>
      <c r="K145" s="1421" t="str">
        <f>IF(H145=0,"",IF(J145=0,"",(J145-H145)/H145))</f>
        <v/>
      </c>
      <c r="L145" s="1443">
        <f>L24</f>
        <v>0</v>
      </c>
      <c r="M145" s="1353" t="str">
        <f>IF(J145=0,"",IF(L145=0,"",(L145-J145)/J145))</f>
        <v/>
      </c>
    </row>
    <row r="146" spans="1:13" ht="15.75">
      <c r="A146" s="286"/>
      <c r="B146" s="1757" t="s">
        <v>347</v>
      </c>
      <c r="C146" s="1757"/>
      <c r="D146" s="1757"/>
      <c r="E146" s="1354">
        <f>'Budget-Restricted MYP'!F147</f>
        <v>0</v>
      </c>
      <c r="F146" s="1588">
        <f>'1st Interim-Restricted MYP'!G147</f>
        <v>0</v>
      </c>
      <c r="G146" s="845"/>
      <c r="H146" s="845"/>
      <c r="I146" s="1421" t="str">
        <f>IF(E146=0,"",IF(H146=0,"",(H146-E146)/E146))</f>
        <v/>
      </c>
      <c r="J146" s="1267"/>
      <c r="K146" s="1421" t="str">
        <f>IF(H146=0,"",IF(J146=0,"",(J146-H146)/H146))</f>
        <v/>
      </c>
      <c r="L146" s="1266"/>
      <c r="M146" s="324" t="str">
        <f>IF(J146=0,"",IF(L146=0,"",(L146-J146)/J146))</f>
        <v/>
      </c>
    </row>
    <row r="147" spans="1:13" ht="15.75">
      <c r="A147" s="286"/>
      <c r="B147" s="1757" t="s">
        <v>348</v>
      </c>
      <c r="C147" s="1757"/>
      <c r="D147" s="1757"/>
      <c r="E147" s="1430">
        <f>'Budget-Restricted MYP'!F148</f>
        <v>0</v>
      </c>
      <c r="F147" s="1588">
        <f>'1st Interim-Restricted MYP'!G148</f>
        <v>0</v>
      </c>
      <c r="G147" s="845">
        <v>0</v>
      </c>
      <c r="H147" s="845"/>
      <c r="I147" s="1426" t="str">
        <f>IF(E147=0,"",IF(H147=0,"",(H147-E147)/E147))</f>
        <v/>
      </c>
      <c r="J147" s="751"/>
      <c r="K147" s="1426" t="str">
        <f>IF(H147=0,"",IF(J147=0,"",(J147-H147)/H147))</f>
        <v/>
      </c>
      <c r="L147" s="731"/>
      <c r="M147" s="1359" t="str">
        <f>IF(J147=0,"",IF(L147=0,"",(L147-J147)/J147))</f>
        <v/>
      </c>
    </row>
    <row r="148" spans="1:13" ht="16.5" thickBot="1">
      <c r="A148" s="286"/>
      <c r="B148" s="146"/>
      <c r="C148" s="1675" t="s">
        <v>349</v>
      </c>
      <c r="D148" s="1760"/>
      <c r="E148" s="1360">
        <f>SUM(E145:E147)</f>
        <v>497550</v>
      </c>
      <c r="F148" s="1360">
        <f>SUM(F145:F147)</f>
        <v>0</v>
      </c>
      <c r="G148" s="1360">
        <f>SUM(G145:G147)</f>
        <v>0</v>
      </c>
      <c r="H148" s="1360">
        <f>SUM(H145:H147)</f>
        <v>0</v>
      </c>
      <c r="I148" s="1427" t="str">
        <f>IF(E148=0,"",IF(H148=0,"",(H148-E148)/E148))</f>
        <v/>
      </c>
      <c r="J148" s="1360">
        <f>SUM(J145:J147)</f>
        <v>0</v>
      </c>
      <c r="K148" s="1427" t="str">
        <f>IF(H148=0,"",IF(J148=0,"",(J148-H148)/H148))</f>
        <v/>
      </c>
      <c r="L148" s="1444">
        <f>SUM(L145:L147)</f>
        <v>0</v>
      </c>
      <c r="M148" s="1345" t="str">
        <f>IF(J148=0,"",IF(L148=0,"",(L148-J148)/J148))</f>
        <v/>
      </c>
    </row>
    <row r="149" spans="1:13" ht="17.25" thickTop="1" thickBot="1">
      <c r="A149" s="287"/>
      <c r="B149" s="1758" t="s">
        <v>350</v>
      </c>
      <c r="C149" s="1758"/>
      <c r="D149" s="1758"/>
      <c r="E149" s="1589">
        <f>'Budget-Restricted MYP'!F150</f>
        <v>0</v>
      </c>
      <c r="F149" s="1590">
        <f>'1st Interim-Restricted MYP'!G150</f>
        <v>0</v>
      </c>
      <c r="G149" s="1268"/>
      <c r="H149" s="1268"/>
      <c r="I149" s="1428" t="str">
        <f>IF(E149=0,"",IF(H149=0,"",(H149-E149)/E149))</f>
        <v/>
      </c>
      <c r="J149" s="1269"/>
      <c r="K149" s="1428" t="str">
        <f>IF(H149=0,"",IF(J149=0,"",(J149-H149)/H149))</f>
        <v/>
      </c>
      <c r="L149" s="1268"/>
      <c r="M149" s="1361" t="str">
        <f>IF(J149=0,"",IF(L149=0,"",(L149-J149)/J149))</f>
        <v/>
      </c>
    </row>
    <row r="150" spans="1:13" ht="15.75">
      <c r="A150" s="2"/>
      <c r="B150" s="2"/>
      <c r="C150" s="2"/>
      <c r="D150" s="2"/>
      <c r="E150" s="2"/>
      <c r="F150" s="2"/>
      <c r="G150" s="31"/>
      <c r="H150" s="31"/>
      <c r="I150" s="2"/>
      <c r="J150" s="31"/>
      <c r="K150" s="2"/>
      <c r="L150" s="31"/>
      <c r="M150" s="2"/>
    </row>
    <row r="151" spans="1:13" ht="15.75">
      <c r="A151" s="2"/>
      <c r="B151" s="2"/>
      <c r="C151" s="2"/>
      <c r="D151" s="2"/>
      <c r="E151" s="2"/>
      <c r="F151" s="2"/>
      <c r="G151" s="31"/>
      <c r="H151" s="31"/>
      <c r="I151" s="2"/>
      <c r="J151" s="31"/>
      <c r="K151" s="2"/>
      <c r="L151" s="31"/>
      <c r="M151" s="2"/>
    </row>
    <row r="152" spans="1:13" ht="15.75">
      <c r="A152" s="2"/>
      <c r="B152" s="2"/>
      <c r="C152" s="2"/>
      <c r="D152" s="2"/>
      <c r="E152" s="2"/>
      <c r="F152" s="2"/>
      <c r="G152" s="31"/>
      <c r="H152" s="31"/>
      <c r="I152" s="2"/>
      <c r="J152" s="31"/>
      <c r="K152" s="2"/>
      <c r="L152" s="31"/>
      <c r="M152" s="2"/>
    </row>
    <row r="153" spans="1:13" ht="15.75">
      <c r="A153" s="2"/>
      <c r="B153" s="2"/>
      <c r="C153" s="2"/>
      <c r="D153" s="2"/>
      <c r="E153" s="2"/>
      <c r="F153" s="2"/>
      <c r="G153" s="31"/>
      <c r="H153" s="31"/>
      <c r="I153" s="2"/>
      <c r="J153" s="31"/>
      <c r="K153" s="2"/>
      <c r="L153" s="31"/>
      <c r="M153" s="2"/>
    </row>
    <row r="154" spans="1:13" ht="15.75">
      <c r="A154" s="2"/>
      <c r="B154" s="2"/>
      <c r="C154" s="2"/>
      <c r="D154" s="2"/>
      <c r="E154" s="2"/>
      <c r="F154" s="2"/>
      <c r="G154" s="31"/>
      <c r="H154" s="31"/>
      <c r="I154" s="2"/>
      <c r="J154" s="31"/>
      <c r="K154" s="2"/>
      <c r="L154" s="31"/>
      <c r="M154" s="2"/>
    </row>
    <row r="155" spans="1:13" ht="15.75">
      <c r="A155" s="2"/>
      <c r="B155" s="2"/>
      <c r="C155" s="2"/>
      <c r="D155" s="2"/>
      <c r="E155" s="2"/>
      <c r="F155" s="2"/>
      <c r="G155" s="31"/>
      <c r="H155" s="31"/>
      <c r="I155" s="2"/>
      <c r="J155" s="31"/>
      <c r="K155" s="2"/>
      <c r="L155" s="31"/>
      <c r="M155" s="2"/>
    </row>
    <row r="156" spans="1:13" ht="15.75">
      <c r="A156" s="2"/>
      <c r="B156" s="2"/>
      <c r="C156" s="2"/>
      <c r="D156" s="2"/>
      <c r="E156" s="2"/>
      <c r="F156" s="2"/>
      <c r="G156" s="31"/>
      <c r="H156" s="31"/>
      <c r="I156" s="2"/>
      <c r="J156" s="31"/>
      <c r="K156" s="2"/>
      <c r="L156" s="31"/>
      <c r="M156" s="2"/>
    </row>
    <row r="157" spans="1:13" ht="15.75">
      <c r="A157" s="2"/>
      <c r="B157" s="2"/>
      <c r="C157" s="2"/>
      <c r="D157" s="2"/>
      <c r="E157" s="2"/>
      <c r="F157" s="2"/>
      <c r="G157" s="31"/>
      <c r="H157" s="31"/>
      <c r="I157" s="2"/>
      <c r="J157" s="31"/>
      <c r="K157" s="2"/>
      <c r="L157" s="31"/>
      <c r="M157" s="2"/>
    </row>
    <row r="158" spans="1:13" ht="15.75">
      <c r="A158" s="2"/>
      <c r="B158" s="2"/>
      <c r="C158" s="2"/>
      <c r="D158" s="2"/>
      <c r="E158" s="2"/>
      <c r="F158" s="2"/>
      <c r="G158" s="31"/>
      <c r="H158" s="31"/>
      <c r="I158" s="2"/>
      <c r="J158" s="31"/>
      <c r="K158" s="2"/>
      <c r="L158" s="31"/>
      <c r="M158" s="2"/>
    </row>
    <row r="159" spans="1:13" ht="15.75">
      <c r="A159" s="2"/>
      <c r="B159" s="2"/>
      <c r="C159" s="2"/>
      <c r="D159" s="2"/>
      <c r="E159" s="2"/>
      <c r="F159" s="2"/>
      <c r="G159" s="31"/>
      <c r="H159" s="31"/>
      <c r="I159" s="2"/>
      <c r="J159" s="31"/>
      <c r="K159" s="2"/>
      <c r="L159" s="31"/>
      <c r="M159" s="2"/>
    </row>
    <row r="160" spans="1:13" ht="15.75">
      <c r="A160" s="2"/>
      <c r="B160" s="2"/>
      <c r="C160" s="2"/>
      <c r="D160" s="2"/>
      <c r="E160" s="2"/>
      <c r="F160" s="2"/>
      <c r="G160" s="31"/>
      <c r="H160" s="31"/>
      <c r="I160" s="2"/>
      <c r="J160" s="31"/>
      <c r="K160" s="2"/>
      <c r="L160" s="31"/>
      <c r="M160" s="2"/>
    </row>
    <row r="161" spans="1:13" ht="15.75">
      <c r="A161" s="2"/>
      <c r="B161" s="2"/>
      <c r="C161" s="2"/>
      <c r="D161" s="2"/>
      <c r="E161" s="2"/>
      <c r="F161" s="2"/>
      <c r="G161" s="31"/>
      <c r="H161" s="31"/>
      <c r="I161" s="2"/>
      <c r="J161" s="31"/>
      <c r="K161" s="2"/>
      <c r="L161" s="31"/>
      <c r="M161" s="2"/>
    </row>
    <row r="162" spans="1:13" ht="15.75">
      <c r="A162" s="2"/>
      <c r="B162" s="2"/>
      <c r="C162" s="2"/>
      <c r="D162" s="2"/>
      <c r="E162" s="2"/>
      <c r="F162" s="2"/>
      <c r="G162" s="31"/>
      <c r="H162" s="31"/>
      <c r="I162" s="2"/>
      <c r="J162" s="31"/>
      <c r="K162" s="2"/>
      <c r="L162" s="31"/>
      <c r="M162" s="2"/>
    </row>
    <row r="163" spans="1:13" ht="15.75">
      <c r="A163" s="2"/>
      <c r="B163" s="2"/>
      <c r="C163" s="2"/>
      <c r="D163" s="2"/>
      <c r="E163" s="2"/>
      <c r="F163" s="2"/>
      <c r="G163" s="31"/>
      <c r="H163" s="31"/>
      <c r="I163" s="2"/>
      <c r="J163" s="31"/>
      <c r="K163" s="2"/>
      <c r="L163" s="31"/>
      <c r="M163" s="2"/>
    </row>
    <row r="164" spans="1:13" ht="15.75">
      <c r="A164" s="2"/>
      <c r="B164" s="2"/>
      <c r="C164" s="2"/>
      <c r="D164" s="2"/>
      <c r="E164" s="2"/>
      <c r="F164" s="2"/>
      <c r="G164" s="31"/>
      <c r="H164" s="31"/>
      <c r="I164" s="2"/>
      <c r="J164" s="31"/>
      <c r="K164" s="2"/>
      <c r="L164" s="31"/>
      <c r="M164" s="2"/>
    </row>
    <row r="165" spans="1:13" ht="15.75">
      <c r="A165" s="2"/>
      <c r="B165" s="2"/>
      <c r="C165" s="2"/>
      <c r="D165" s="2"/>
      <c r="E165" s="2"/>
      <c r="F165" s="2"/>
      <c r="G165" s="31"/>
      <c r="H165" s="31"/>
      <c r="I165" s="2"/>
      <c r="J165" s="31"/>
      <c r="K165" s="2"/>
      <c r="L165" s="31"/>
      <c r="M165" s="2"/>
    </row>
    <row r="166" spans="1:13" ht="15.75">
      <c r="A166" s="2"/>
      <c r="B166" s="2"/>
      <c r="C166" s="2"/>
      <c r="D166" s="2"/>
      <c r="E166" s="2"/>
      <c r="F166" s="2"/>
      <c r="G166" s="31"/>
      <c r="H166" s="31"/>
      <c r="I166" s="2"/>
      <c r="J166" s="31"/>
      <c r="K166" s="2"/>
      <c r="L166" s="31"/>
      <c r="M166" s="2"/>
    </row>
    <row r="167" spans="1:13" ht="15.75">
      <c r="A167" s="2"/>
      <c r="B167" s="2"/>
      <c r="C167" s="2"/>
      <c r="D167" s="2"/>
      <c r="E167" s="2"/>
      <c r="F167" s="2"/>
      <c r="G167" s="31"/>
      <c r="H167" s="31"/>
      <c r="I167" s="2"/>
      <c r="J167" s="31"/>
      <c r="K167" s="2"/>
      <c r="L167" s="31"/>
      <c r="M167" s="2"/>
    </row>
    <row r="168" spans="1:13" ht="15.75">
      <c r="A168" s="2"/>
      <c r="B168" s="2"/>
      <c r="C168" s="2"/>
      <c r="D168" s="2"/>
      <c r="E168" s="2"/>
      <c r="F168" s="2"/>
      <c r="G168" s="31"/>
      <c r="H168" s="31"/>
      <c r="I168" s="2"/>
      <c r="J168" s="31"/>
      <c r="K168" s="2"/>
      <c r="L168" s="31"/>
      <c r="M168" s="2"/>
    </row>
    <row r="169" spans="1:13" ht="15.75">
      <c r="A169" s="2"/>
      <c r="B169" s="2"/>
      <c r="C169" s="2"/>
      <c r="D169" s="2"/>
      <c r="E169" s="2"/>
      <c r="F169" s="2"/>
      <c r="G169" s="31"/>
      <c r="H169" s="31"/>
      <c r="I169" s="2"/>
      <c r="J169" s="31"/>
      <c r="K169" s="2"/>
      <c r="L169" s="31"/>
      <c r="M169" s="2"/>
    </row>
    <row r="170" spans="1:13" ht="15.75">
      <c r="A170" s="2"/>
      <c r="B170" s="2"/>
      <c r="C170" s="2"/>
      <c r="D170" s="2"/>
      <c r="E170" s="2"/>
      <c r="F170" s="2"/>
      <c r="G170" s="31"/>
      <c r="H170" s="31"/>
      <c r="I170" s="2"/>
      <c r="J170" s="31"/>
      <c r="K170" s="2"/>
      <c r="L170" s="31"/>
      <c r="M170" s="2"/>
    </row>
    <row r="171" spans="1:13" ht="15.75">
      <c r="A171" s="2"/>
      <c r="B171" s="2"/>
      <c r="C171" s="2"/>
      <c r="D171" s="2"/>
      <c r="E171" s="2"/>
      <c r="F171" s="2"/>
      <c r="G171" s="31"/>
      <c r="H171" s="31"/>
      <c r="I171" s="2"/>
      <c r="J171" s="31"/>
      <c r="K171" s="2"/>
      <c r="L171" s="31"/>
      <c r="M171" s="2"/>
    </row>
    <row r="172" spans="1:13" ht="15.75">
      <c r="A172" s="2"/>
      <c r="B172" s="2"/>
      <c r="C172" s="2"/>
      <c r="D172" s="2"/>
      <c r="E172" s="2"/>
      <c r="F172" s="2"/>
      <c r="G172" s="31"/>
      <c r="H172" s="31"/>
      <c r="I172" s="2"/>
      <c r="J172" s="31"/>
      <c r="K172" s="2"/>
      <c r="L172" s="31"/>
      <c r="M172" s="2"/>
    </row>
    <row r="173" spans="1:13" ht="15.75">
      <c r="A173" s="2"/>
      <c r="B173" s="2"/>
      <c r="C173" s="2"/>
      <c r="D173" s="2"/>
      <c r="E173" s="2"/>
      <c r="F173" s="2"/>
      <c r="G173" s="31"/>
      <c r="H173" s="31"/>
      <c r="I173" s="2"/>
      <c r="J173" s="31"/>
      <c r="K173" s="2"/>
      <c r="L173" s="31"/>
      <c r="M173" s="2"/>
    </row>
    <row r="174" spans="1:13" ht="15.75">
      <c r="A174" s="2"/>
      <c r="B174" s="2"/>
      <c r="C174" s="2"/>
      <c r="D174" s="2"/>
      <c r="E174" s="2"/>
      <c r="F174" s="2"/>
      <c r="G174" s="31"/>
      <c r="H174" s="31"/>
      <c r="I174" s="2"/>
      <c r="J174" s="31"/>
      <c r="K174" s="2"/>
      <c r="L174" s="31"/>
      <c r="M174" s="2"/>
    </row>
    <row r="175" spans="1:13" ht="15.75">
      <c r="A175" s="2"/>
      <c r="B175" s="2"/>
      <c r="C175" s="2"/>
      <c r="D175" s="2"/>
      <c r="E175" s="2"/>
      <c r="F175" s="2"/>
      <c r="G175" s="31"/>
      <c r="H175" s="31"/>
      <c r="I175" s="2"/>
      <c r="J175" s="31"/>
      <c r="K175" s="2"/>
      <c r="L175" s="31"/>
      <c r="M175" s="2"/>
    </row>
    <row r="176" spans="1:13" ht="15.75">
      <c r="A176" s="2"/>
      <c r="B176" s="2"/>
      <c r="C176" s="2"/>
      <c r="D176" s="2"/>
      <c r="E176" s="2"/>
      <c r="F176" s="2"/>
      <c r="G176" s="31"/>
      <c r="H176" s="31"/>
      <c r="I176" s="2"/>
      <c r="J176" s="31"/>
      <c r="K176" s="2"/>
      <c r="L176" s="31"/>
      <c r="M176" s="2"/>
    </row>
    <row r="177" spans="1:13" ht="15.75">
      <c r="A177" s="2"/>
      <c r="B177" s="2"/>
      <c r="C177" s="2"/>
      <c r="D177" s="2"/>
      <c r="E177" s="2"/>
      <c r="F177" s="2"/>
      <c r="G177" s="31"/>
      <c r="H177" s="31"/>
      <c r="I177" s="2"/>
      <c r="J177" s="31"/>
      <c r="K177" s="2"/>
      <c r="L177" s="31"/>
      <c r="M177" s="2"/>
    </row>
    <row r="178" spans="1:13" ht="15.75">
      <c r="A178" s="2"/>
      <c r="B178" s="2"/>
      <c r="C178" s="2"/>
      <c r="D178" s="2"/>
      <c r="E178" s="2"/>
      <c r="F178" s="2"/>
      <c r="G178" s="31"/>
      <c r="H178" s="31"/>
      <c r="I178" s="2"/>
      <c r="J178" s="31"/>
      <c r="K178" s="2"/>
      <c r="L178" s="31"/>
      <c r="M178" s="2"/>
    </row>
    <row r="179" spans="1:13" ht="15.75">
      <c r="A179" s="2"/>
      <c r="B179" s="2"/>
      <c r="C179" s="2"/>
      <c r="D179" s="2"/>
      <c r="E179" s="2"/>
      <c r="F179" s="2"/>
      <c r="G179" s="31"/>
      <c r="H179" s="31"/>
      <c r="I179" s="2"/>
      <c r="J179" s="31"/>
      <c r="K179" s="2"/>
      <c r="L179" s="31"/>
      <c r="M179" s="2"/>
    </row>
    <row r="180" spans="1:13" ht="15.75">
      <c r="A180" s="2"/>
      <c r="B180" s="2"/>
      <c r="C180" s="2"/>
      <c r="D180" s="2"/>
      <c r="E180" s="2"/>
      <c r="F180" s="2"/>
      <c r="G180" s="31"/>
      <c r="H180" s="31"/>
      <c r="I180" s="2"/>
      <c r="J180" s="31"/>
      <c r="K180" s="2"/>
      <c r="L180" s="31"/>
      <c r="M180" s="2"/>
    </row>
    <row r="181" spans="1:13" ht="15.75">
      <c r="A181" s="2"/>
      <c r="B181" s="2"/>
      <c r="C181" s="2"/>
      <c r="D181" s="2"/>
      <c r="E181" s="2"/>
      <c r="F181" s="2"/>
      <c r="G181" s="31"/>
      <c r="H181" s="31"/>
      <c r="I181" s="2"/>
      <c r="J181" s="31"/>
      <c r="K181" s="2"/>
      <c r="L181" s="31"/>
      <c r="M181" s="2"/>
    </row>
    <row r="182" spans="1:13" ht="15.75">
      <c r="A182" s="2"/>
      <c r="B182" s="2"/>
      <c r="C182" s="2"/>
      <c r="D182" s="2"/>
      <c r="E182" s="2"/>
      <c r="F182" s="2"/>
      <c r="G182" s="31"/>
      <c r="H182" s="31"/>
      <c r="I182" s="2"/>
      <c r="J182" s="31"/>
      <c r="K182" s="2"/>
      <c r="L182" s="31"/>
      <c r="M182" s="2"/>
    </row>
    <row r="183" spans="1:13" ht="15.75">
      <c r="A183" s="2"/>
      <c r="B183" s="2"/>
      <c r="C183" s="2"/>
      <c r="D183" s="2"/>
      <c r="E183" s="2"/>
      <c r="F183" s="2"/>
      <c r="G183" s="31"/>
      <c r="H183" s="31"/>
      <c r="I183" s="2"/>
      <c r="J183" s="31"/>
      <c r="K183" s="2"/>
      <c r="L183" s="31"/>
      <c r="M183" s="2"/>
    </row>
    <row r="184" spans="1:13" ht="15.75">
      <c r="A184" s="2"/>
      <c r="B184" s="2"/>
      <c r="C184" s="2"/>
      <c r="D184" s="2"/>
      <c r="E184" s="2"/>
      <c r="F184" s="2"/>
      <c r="G184" s="31"/>
      <c r="H184" s="31"/>
      <c r="I184" s="2"/>
      <c r="J184" s="31"/>
      <c r="K184" s="2"/>
      <c r="L184" s="31"/>
      <c r="M184" s="2"/>
    </row>
    <row r="185" spans="1:13" ht="15.75">
      <c r="A185" s="2"/>
      <c r="B185" s="2"/>
      <c r="C185" s="2"/>
      <c r="D185" s="2"/>
      <c r="E185" s="2"/>
      <c r="F185" s="2"/>
      <c r="G185" s="31"/>
      <c r="H185" s="31"/>
      <c r="I185" s="2"/>
      <c r="J185" s="31"/>
      <c r="K185" s="2"/>
      <c r="L185" s="31"/>
      <c r="M185" s="2"/>
    </row>
    <row r="186" spans="1:13" ht="15.75">
      <c r="A186" s="2"/>
      <c r="B186" s="2"/>
      <c r="C186" s="2"/>
      <c r="D186" s="2"/>
      <c r="E186" s="2"/>
      <c r="F186" s="2"/>
      <c r="G186" s="31"/>
      <c r="H186" s="31"/>
      <c r="I186" s="2"/>
      <c r="J186" s="31"/>
      <c r="K186" s="2"/>
      <c r="L186" s="31"/>
      <c r="M186" s="2"/>
    </row>
    <row r="187" spans="1:13" ht="15.75">
      <c r="A187" s="2"/>
      <c r="B187" s="2"/>
      <c r="C187" s="2"/>
      <c r="D187" s="2"/>
      <c r="E187" s="2"/>
      <c r="F187" s="2"/>
      <c r="G187" s="31"/>
      <c r="H187" s="31"/>
      <c r="I187" s="2"/>
      <c r="J187" s="31"/>
      <c r="K187" s="2"/>
      <c r="L187" s="31"/>
      <c r="M187" s="2"/>
    </row>
    <row r="188" spans="1:13" ht="15.75">
      <c r="A188" s="2"/>
      <c r="B188" s="2"/>
      <c r="C188" s="2"/>
      <c r="D188" s="2"/>
      <c r="E188" s="2"/>
      <c r="F188" s="2"/>
      <c r="G188" s="31"/>
      <c r="H188" s="31"/>
      <c r="I188" s="2"/>
      <c r="J188" s="31"/>
      <c r="K188" s="2"/>
      <c r="L188" s="31"/>
      <c r="M188" s="2"/>
    </row>
    <row r="189" spans="1:13" ht="15.75">
      <c r="A189" s="2"/>
      <c r="B189" s="2"/>
      <c r="C189" s="2"/>
      <c r="D189" s="2"/>
      <c r="E189" s="2"/>
      <c r="F189" s="2"/>
      <c r="G189" s="31"/>
      <c r="H189" s="31"/>
      <c r="I189" s="2"/>
      <c r="J189" s="31"/>
      <c r="K189" s="2"/>
      <c r="L189" s="31"/>
      <c r="M189" s="2"/>
    </row>
    <row r="190" spans="1:13" ht="15.75">
      <c r="A190" s="2"/>
      <c r="B190" s="2"/>
      <c r="C190" s="2"/>
      <c r="D190" s="2"/>
      <c r="E190" s="2"/>
      <c r="F190" s="2"/>
      <c r="G190" s="31"/>
      <c r="H190" s="31"/>
      <c r="I190" s="2"/>
      <c r="J190" s="31"/>
      <c r="K190" s="2"/>
      <c r="L190" s="31"/>
      <c r="M190" s="2"/>
    </row>
    <row r="191" spans="1:13" ht="15.75">
      <c r="A191" s="2"/>
      <c r="B191" s="2"/>
      <c r="C191" s="2"/>
      <c r="D191" s="2"/>
      <c r="E191" s="2"/>
      <c r="F191" s="2"/>
      <c r="G191" s="31"/>
      <c r="H191" s="31"/>
      <c r="I191" s="2"/>
      <c r="J191" s="31"/>
      <c r="K191" s="2"/>
      <c r="L191" s="31"/>
      <c r="M191" s="2"/>
    </row>
    <row r="192" spans="1:13" ht="15.75">
      <c r="A192" s="2"/>
      <c r="B192" s="2"/>
      <c r="C192" s="2"/>
      <c r="D192" s="2"/>
      <c r="E192" s="2"/>
      <c r="F192" s="2"/>
      <c r="G192" s="31"/>
      <c r="H192" s="31"/>
      <c r="I192" s="2"/>
      <c r="J192" s="31"/>
      <c r="K192" s="2"/>
      <c r="L192" s="31"/>
      <c r="M192" s="2"/>
    </row>
    <row r="193" spans="1:13" ht="15.75">
      <c r="A193" s="2"/>
      <c r="B193" s="2"/>
      <c r="C193" s="2"/>
      <c r="D193" s="2"/>
      <c r="E193" s="2"/>
      <c r="F193" s="2"/>
      <c r="G193" s="31"/>
      <c r="H193" s="31"/>
      <c r="I193" s="2"/>
      <c r="J193" s="31"/>
      <c r="K193" s="2"/>
      <c r="L193" s="31"/>
      <c r="M193" s="2"/>
    </row>
    <row r="194" spans="1:13" ht="15.75">
      <c r="A194" s="2"/>
      <c r="B194" s="2"/>
      <c r="C194" s="2"/>
      <c r="D194" s="2"/>
      <c r="E194" s="2"/>
      <c r="F194" s="2"/>
      <c r="G194" s="31"/>
      <c r="H194" s="31"/>
      <c r="I194" s="2"/>
      <c r="J194" s="31"/>
      <c r="K194" s="2"/>
      <c r="L194" s="31"/>
      <c r="M194" s="2"/>
    </row>
    <row r="195" spans="1:13" ht="15.75">
      <c r="A195" s="2"/>
      <c r="B195" s="2"/>
      <c r="C195" s="2"/>
      <c r="D195" s="2"/>
      <c r="E195" s="2"/>
      <c r="F195" s="2"/>
      <c r="G195" s="31"/>
      <c r="H195" s="31"/>
      <c r="I195" s="2"/>
      <c r="J195" s="31"/>
      <c r="K195" s="2"/>
      <c r="L195" s="31"/>
      <c r="M195" s="2"/>
    </row>
    <row r="196" spans="1:13" ht="15.75">
      <c r="A196" s="2"/>
      <c r="B196" s="2"/>
      <c r="C196" s="2"/>
      <c r="D196" s="2"/>
      <c r="E196" s="2"/>
      <c r="F196" s="2"/>
      <c r="G196" s="31"/>
      <c r="H196" s="31"/>
      <c r="I196" s="2"/>
      <c r="J196" s="31"/>
      <c r="K196" s="2"/>
      <c r="L196" s="31"/>
      <c r="M196" s="2"/>
    </row>
    <row r="197" spans="1:13" ht="15.75">
      <c r="A197" s="2"/>
      <c r="B197" s="2"/>
      <c r="C197" s="2"/>
      <c r="D197" s="2"/>
      <c r="E197" s="2"/>
      <c r="F197" s="2"/>
      <c r="G197" s="31"/>
      <c r="H197" s="31"/>
      <c r="I197" s="2"/>
      <c r="J197" s="31"/>
      <c r="K197" s="2"/>
      <c r="L197" s="31"/>
      <c r="M197" s="2"/>
    </row>
    <row r="198" spans="1:13" ht="15.75">
      <c r="A198" s="2"/>
      <c r="B198" s="2"/>
      <c r="C198" s="2"/>
      <c r="D198" s="2"/>
      <c r="E198" s="2"/>
      <c r="F198" s="2"/>
      <c r="G198" s="31"/>
      <c r="H198" s="31"/>
      <c r="I198" s="2"/>
      <c r="J198" s="31"/>
      <c r="K198" s="2"/>
      <c r="L198" s="31"/>
      <c r="M198" s="2"/>
    </row>
    <row r="199" spans="1:13" ht="15.75">
      <c r="A199" s="2"/>
      <c r="B199" s="2"/>
      <c r="C199" s="2"/>
      <c r="D199" s="2"/>
      <c r="E199" s="2"/>
      <c r="F199" s="2"/>
      <c r="G199" s="31"/>
      <c r="H199" s="31"/>
      <c r="I199" s="2"/>
      <c r="J199" s="31"/>
      <c r="K199" s="2"/>
      <c r="L199" s="31"/>
      <c r="M199" s="2"/>
    </row>
    <row r="200" spans="1:13" ht="15.75">
      <c r="A200" s="2"/>
      <c r="B200" s="2"/>
      <c r="C200" s="2"/>
      <c r="D200" s="2"/>
      <c r="E200" s="2"/>
      <c r="F200" s="2"/>
      <c r="G200" s="31"/>
      <c r="H200" s="31"/>
      <c r="I200" s="2"/>
      <c r="J200" s="31"/>
      <c r="K200" s="2"/>
      <c r="L200" s="31"/>
      <c r="M200" s="2"/>
    </row>
    <row r="201" spans="1:13" ht="15.75">
      <c r="A201" s="2"/>
      <c r="B201" s="2"/>
      <c r="C201" s="2"/>
      <c r="D201" s="2"/>
      <c r="E201" s="2"/>
      <c r="F201" s="2"/>
      <c r="G201" s="31"/>
      <c r="H201" s="31"/>
      <c r="I201" s="2"/>
      <c r="J201" s="31"/>
      <c r="K201" s="2"/>
      <c r="L201" s="31"/>
      <c r="M201" s="2"/>
    </row>
    <row r="202" spans="1:13" ht="15.75">
      <c r="A202" s="2"/>
      <c r="B202" s="2"/>
      <c r="C202" s="2"/>
      <c r="D202" s="2"/>
      <c r="E202" s="2"/>
      <c r="F202" s="2"/>
      <c r="G202" s="31"/>
      <c r="H202" s="31"/>
      <c r="I202" s="2"/>
      <c r="J202" s="31"/>
      <c r="K202" s="2"/>
      <c r="L202" s="31"/>
      <c r="M202" s="2"/>
    </row>
    <row r="203" spans="1:13" ht="15.75">
      <c r="A203" s="2"/>
      <c r="B203" s="2"/>
      <c r="C203" s="2"/>
      <c r="D203" s="2"/>
      <c r="E203" s="2"/>
      <c r="F203" s="2"/>
      <c r="G203" s="31"/>
      <c r="H203" s="31"/>
      <c r="I203" s="2"/>
      <c r="J203" s="31"/>
      <c r="K203" s="2"/>
      <c r="L203" s="31"/>
      <c r="M203" s="2"/>
    </row>
    <row r="204" spans="1:13" ht="15.75">
      <c r="A204" s="2"/>
      <c r="B204" s="2"/>
      <c r="C204" s="2"/>
      <c r="D204" s="2"/>
      <c r="E204" s="2"/>
      <c r="F204" s="2"/>
      <c r="G204" s="31"/>
      <c r="H204" s="31"/>
      <c r="I204" s="2"/>
      <c r="J204" s="31"/>
      <c r="K204" s="2"/>
      <c r="L204" s="31"/>
      <c r="M204" s="2"/>
    </row>
    <row r="205" spans="1:13" ht="15.75">
      <c r="A205" s="2"/>
      <c r="B205" s="2"/>
      <c r="C205" s="2"/>
      <c r="D205" s="2"/>
      <c r="E205" s="2"/>
      <c r="F205" s="2"/>
      <c r="G205" s="31"/>
      <c r="H205" s="31"/>
      <c r="I205" s="2"/>
      <c r="J205" s="31"/>
      <c r="K205" s="2"/>
      <c r="L205" s="31"/>
      <c r="M205" s="2"/>
    </row>
    <row r="206" spans="1:13" ht="15.75">
      <c r="A206" s="2"/>
      <c r="B206" s="2"/>
      <c r="C206" s="2"/>
      <c r="D206" s="2"/>
      <c r="E206" s="2"/>
      <c r="F206" s="2"/>
      <c r="G206" s="31"/>
      <c r="H206" s="31"/>
      <c r="I206" s="2"/>
      <c r="J206" s="31"/>
      <c r="K206" s="2"/>
      <c r="L206" s="31"/>
      <c r="M206" s="2"/>
    </row>
    <row r="207" spans="1:13" ht="15.75">
      <c r="A207" s="2"/>
      <c r="B207" s="2"/>
      <c r="C207" s="2"/>
      <c r="D207" s="2"/>
      <c r="E207" s="2"/>
      <c r="F207" s="2"/>
      <c r="G207" s="31"/>
      <c r="H207" s="31"/>
      <c r="I207" s="2"/>
      <c r="J207" s="31"/>
      <c r="K207" s="2"/>
      <c r="L207" s="31"/>
      <c r="M207" s="2"/>
    </row>
    <row r="208" spans="1:13" ht="15.75">
      <c r="A208" s="2"/>
      <c r="B208" s="2"/>
      <c r="C208" s="2"/>
      <c r="D208" s="2"/>
      <c r="E208" s="2"/>
      <c r="F208" s="2"/>
      <c r="G208" s="31"/>
      <c r="H208" s="31"/>
      <c r="I208" s="2"/>
      <c r="J208" s="31"/>
      <c r="K208" s="2"/>
      <c r="L208" s="31"/>
      <c r="M208" s="2"/>
    </row>
    <row r="209" spans="1:13" ht="15.75">
      <c r="A209" s="2"/>
      <c r="B209" s="2"/>
      <c r="C209" s="2"/>
      <c r="D209" s="2"/>
      <c r="E209" s="2"/>
      <c r="F209" s="2"/>
      <c r="G209" s="31"/>
      <c r="H209" s="31"/>
      <c r="I209" s="2"/>
      <c r="J209" s="31"/>
      <c r="K209" s="2"/>
      <c r="L209" s="31"/>
      <c r="M209" s="2"/>
    </row>
    <row r="210" spans="1:13" ht="15.75">
      <c r="A210" s="2"/>
      <c r="B210" s="2"/>
      <c r="C210" s="2"/>
      <c r="D210" s="2"/>
      <c r="E210" s="2"/>
      <c r="F210" s="2"/>
      <c r="G210" s="31"/>
      <c r="H210" s="31"/>
      <c r="I210" s="2"/>
      <c r="J210" s="31"/>
      <c r="K210" s="2"/>
      <c r="L210" s="31"/>
      <c r="M210" s="2"/>
    </row>
    <row r="211" spans="1:13" ht="15.75">
      <c r="A211" s="2"/>
      <c r="B211" s="2"/>
      <c r="C211" s="2"/>
      <c r="D211" s="2"/>
      <c r="E211" s="2"/>
      <c r="F211" s="2"/>
      <c r="G211" s="31"/>
      <c r="H211" s="31"/>
      <c r="I211" s="2"/>
      <c r="J211" s="31"/>
      <c r="K211" s="2"/>
      <c r="L211" s="31"/>
      <c r="M211" s="2"/>
    </row>
    <row r="212" spans="1:13" ht="15.75">
      <c r="A212" s="2"/>
      <c r="B212" s="2"/>
      <c r="C212" s="2"/>
      <c r="D212" s="2"/>
      <c r="E212" s="2"/>
      <c r="F212" s="2"/>
      <c r="G212" s="31"/>
      <c r="H212" s="31"/>
      <c r="I212" s="2"/>
      <c r="J212" s="31"/>
      <c r="K212" s="2"/>
      <c r="L212" s="31"/>
      <c r="M212" s="2"/>
    </row>
    <row r="213" spans="1:13" ht="15.75">
      <c r="A213" s="2"/>
      <c r="B213" s="2"/>
      <c r="C213" s="2"/>
      <c r="D213" s="2"/>
      <c r="E213" s="2"/>
      <c r="F213" s="2"/>
      <c r="G213" s="31"/>
      <c r="H213" s="31"/>
      <c r="I213" s="2"/>
      <c r="J213" s="31"/>
      <c r="K213" s="2"/>
      <c r="L213" s="31"/>
      <c r="M213" s="2"/>
    </row>
    <row r="214" spans="1:13" ht="15.75">
      <c r="A214" s="2"/>
      <c r="B214" s="2"/>
      <c r="C214" s="2"/>
      <c r="D214" s="2"/>
      <c r="E214" s="2"/>
      <c r="F214" s="2"/>
      <c r="G214" s="31"/>
      <c r="H214" s="31"/>
      <c r="I214" s="2"/>
      <c r="J214" s="31"/>
      <c r="K214" s="2"/>
      <c r="L214" s="31"/>
      <c r="M214" s="2"/>
    </row>
    <row r="215" spans="1:13" ht="15.75">
      <c r="A215" s="2"/>
      <c r="B215" s="2"/>
      <c r="C215" s="2"/>
      <c r="D215" s="2"/>
      <c r="E215" s="2"/>
      <c r="F215" s="2"/>
      <c r="G215" s="31"/>
      <c r="H215" s="31"/>
      <c r="I215" s="2"/>
      <c r="J215" s="31"/>
      <c r="K215" s="2"/>
      <c r="L215" s="31"/>
      <c r="M215" s="2"/>
    </row>
    <row r="216" spans="1:13" ht="15.75">
      <c r="A216" s="2"/>
      <c r="B216" s="2"/>
      <c r="C216" s="2"/>
      <c r="D216" s="2"/>
      <c r="E216" s="2"/>
      <c r="F216" s="2"/>
      <c r="G216" s="31"/>
      <c r="H216" s="31"/>
      <c r="I216" s="2"/>
      <c r="J216" s="31"/>
      <c r="K216" s="2"/>
      <c r="L216" s="31"/>
      <c r="M216" s="2"/>
    </row>
    <row r="217" spans="1:13" ht="15.75">
      <c r="A217" s="2"/>
      <c r="B217" s="2"/>
      <c r="C217" s="2"/>
      <c r="D217" s="2"/>
      <c r="E217" s="2"/>
      <c r="F217" s="2"/>
      <c r="G217" s="31"/>
      <c r="H217" s="31"/>
      <c r="I217" s="2"/>
      <c r="J217" s="31"/>
      <c r="K217" s="2"/>
      <c r="L217" s="31"/>
      <c r="M217" s="2"/>
    </row>
    <row r="218" spans="1:13" ht="15.75">
      <c r="A218" s="2"/>
      <c r="B218" s="2"/>
      <c r="C218" s="2"/>
      <c r="D218" s="2"/>
      <c r="E218" s="2"/>
      <c r="F218" s="2"/>
      <c r="G218" s="31"/>
      <c r="H218" s="31"/>
      <c r="I218" s="2"/>
      <c r="J218" s="31"/>
      <c r="K218" s="2"/>
      <c r="L218" s="31"/>
      <c r="M218" s="2"/>
    </row>
    <row r="219" spans="1:13" ht="15.75">
      <c r="A219" s="2"/>
      <c r="B219" s="2"/>
      <c r="C219" s="2"/>
      <c r="D219" s="2"/>
      <c r="E219" s="2"/>
      <c r="F219" s="2"/>
      <c r="G219" s="31"/>
      <c r="H219" s="31"/>
      <c r="I219" s="2"/>
      <c r="J219" s="31"/>
      <c r="K219" s="2"/>
      <c r="L219" s="31"/>
      <c r="M219" s="2"/>
    </row>
    <row r="220" spans="1:13" ht="15.75">
      <c r="A220" s="2"/>
      <c r="B220" s="2"/>
      <c r="C220" s="2"/>
      <c r="D220" s="2"/>
      <c r="E220" s="2"/>
      <c r="F220" s="2"/>
      <c r="G220" s="31"/>
      <c r="H220" s="31"/>
      <c r="I220" s="2"/>
      <c r="J220" s="31"/>
      <c r="K220" s="2"/>
      <c r="L220" s="31"/>
      <c r="M220" s="2"/>
    </row>
    <row r="221" spans="1:13" ht="15.75">
      <c r="A221" s="2"/>
      <c r="B221" s="2"/>
      <c r="C221" s="2"/>
      <c r="D221" s="2"/>
      <c r="E221" s="2"/>
      <c r="F221" s="2"/>
      <c r="G221" s="31"/>
      <c r="H221" s="31"/>
      <c r="I221" s="2"/>
      <c r="J221" s="31"/>
      <c r="K221" s="2"/>
      <c r="L221" s="31"/>
      <c r="M221" s="2"/>
    </row>
    <row r="222" spans="1:13" ht="15.75">
      <c r="A222" s="2"/>
      <c r="B222" s="2"/>
      <c r="C222" s="2"/>
      <c r="D222" s="2"/>
      <c r="E222" s="2"/>
      <c r="F222" s="2"/>
      <c r="G222" s="31"/>
      <c r="H222" s="31"/>
      <c r="I222" s="2"/>
      <c r="J222" s="31"/>
      <c r="K222" s="2"/>
      <c r="L222" s="31"/>
      <c r="M222" s="2"/>
    </row>
    <row r="223" spans="1:13" ht="15.75">
      <c r="A223" s="2"/>
      <c r="B223" s="2"/>
      <c r="C223" s="2"/>
      <c r="D223" s="2"/>
      <c r="E223" s="2"/>
      <c r="F223" s="2"/>
      <c r="G223" s="31"/>
      <c r="H223" s="31"/>
      <c r="I223" s="2"/>
      <c r="J223" s="31"/>
      <c r="K223" s="2"/>
      <c r="L223" s="31"/>
      <c r="M223" s="2"/>
    </row>
    <row r="224" spans="1:13" ht="15.75">
      <c r="A224" s="2"/>
      <c r="B224" s="2"/>
      <c r="C224" s="2"/>
      <c r="D224" s="2"/>
      <c r="E224" s="2"/>
      <c r="F224" s="2"/>
      <c r="G224" s="31"/>
      <c r="H224" s="31"/>
      <c r="I224" s="2"/>
      <c r="J224" s="31"/>
      <c r="K224" s="2"/>
      <c r="L224" s="31"/>
      <c r="M224" s="2"/>
    </row>
    <row r="225" spans="1:13" ht="15.75">
      <c r="A225" s="2"/>
      <c r="B225" s="2"/>
      <c r="C225" s="2"/>
      <c r="D225" s="2"/>
      <c r="E225" s="2"/>
      <c r="F225" s="2"/>
      <c r="G225" s="31"/>
      <c r="H225" s="31"/>
      <c r="I225" s="2"/>
      <c r="J225" s="31"/>
      <c r="K225" s="2"/>
      <c r="L225" s="31"/>
      <c r="M225" s="2"/>
    </row>
    <row r="226" spans="1:13" ht="15.75">
      <c r="A226" s="2"/>
      <c r="B226" s="2"/>
      <c r="C226" s="2"/>
      <c r="D226" s="2"/>
      <c r="E226" s="2"/>
      <c r="F226" s="2"/>
      <c r="G226" s="31"/>
      <c r="H226" s="31"/>
      <c r="I226" s="2"/>
      <c r="J226" s="31"/>
      <c r="K226" s="2"/>
      <c r="L226" s="31"/>
      <c r="M226" s="2"/>
    </row>
    <row r="227" spans="1:13" ht="15.75">
      <c r="A227" s="2"/>
      <c r="B227" s="2"/>
      <c r="C227" s="2"/>
      <c r="D227" s="2"/>
      <c r="E227" s="2"/>
      <c r="F227" s="2"/>
      <c r="G227" s="31"/>
      <c r="H227" s="31"/>
      <c r="I227" s="2"/>
      <c r="J227" s="31"/>
      <c r="K227" s="2"/>
      <c r="L227" s="31"/>
      <c r="M227" s="2"/>
    </row>
    <row r="228" spans="1:13" ht="15.75">
      <c r="A228" s="2"/>
      <c r="B228" s="2"/>
      <c r="C228" s="2"/>
      <c r="D228" s="2"/>
      <c r="E228" s="2"/>
      <c r="F228" s="2"/>
      <c r="G228" s="31"/>
      <c r="H228" s="31"/>
      <c r="I228" s="2"/>
      <c r="J228" s="31"/>
      <c r="K228" s="2"/>
      <c r="L228" s="31"/>
      <c r="M228" s="2"/>
    </row>
    <row r="229" spans="1:13" ht="15.75">
      <c r="A229" s="2"/>
      <c r="B229" s="2"/>
      <c r="C229" s="2"/>
      <c r="D229" s="2"/>
      <c r="E229" s="2"/>
      <c r="F229" s="2"/>
      <c r="G229" s="31"/>
      <c r="H229" s="31"/>
      <c r="I229" s="2"/>
      <c r="J229" s="31"/>
      <c r="K229" s="2"/>
      <c r="L229" s="31"/>
      <c r="M229" s="2"/>
    </row>
    <row r="230" spans="1:13" ht="15.75">
      <c r="A230" s="2"/>
      <c r="B230" s="2"/>
      <c r="C230" s="2"/>
      <c r="D230" s="2"/>
      <c r="E230" s="2"/>
      <c r="F230" s="2"/>
      <c r="G230" s="31"/>
      <c r="H230" s="31"/>
      <c r="I230" s="2"/>
      <c r="J230" s="31"/>
      <c r="K230" s="2"/>
      <c r="L230" s="31"/>
      <c r="M230" s="2"/>
    </row>
    <row r="231" spans="1:13" ht="15.75">
      <c r="A231" s="2"/>
      <c r="B231" s="2"/>
      <c r="C231" s="2"/>
      <c r="D231" s="2"/>
      <c r="E231" s="2"/>
      <c r="F231" s="2"/>
      <c r="G231" s="31"/>
      <c r="H231" s="31"/>
      <c r="I231" s="2"/>
      <c r="J231" s="31"/>
      <c r="K231" s="2"/>
      <c r="L231" s="31"/>
      <c r="M231" s="2"/>
    </row>
    <row r="232" spans="1:13" ht="15.75">
      <c r="A232" s="2"/>
      <c r="B232" s="2"/>
      <c r="C232" s="2"/>
      <c r="D232" s="2"/>
      <c r="E232" s="2"/>
      <c r="F232" s="2"/>
      <c r="G232" s="31"/>
      <c r="H232" s="31"/>
      <c r="I232" s="2"/>
      <c r="J232" s="31"/>
      <c r="K232" s="2"/>
      <c r="L232" s="31"/>
      <c r="M232" s="2"/>
    </row>
    <row r="233" spans="1:13" ht="15.75">
      <c r="A233" s="2"/>
      <c r="B233" s="2"/>
      <c r="C233" s="2"/>
      <c r="D233" s="2"/>
      <c r="E233" s="2"/>
      <c r="F233" s="2"/>
      <c r="G233" s="31"/>
      <c r="H233" s="31"/>
      <c r="I233" s="2"/>
      <c r="J233" s="31"/>
      <c r="K233" s="2"/>
      <c r="L233" s="31"/>
      <c r="M233" s="2"/>
    </row>
    <row r="234" spans="1:13" ht="15.75">
      <c r="A234" s="2"/>
      <c r="B234" s="2"/>
      <c r="C234" s="2"/>
      <c r="D234" s="2"/>
      <c r="E234" s="2"/>
      <c r="F234" s="2"/>
      <c r="G234" s="31"/>
      <c r="H234" s="31"/>
      <c r="I234" s="2"/>
      <c r="J234" s="31"/>
      <c r="K234" s="2"/>
      <c r="L234" s="31"/>
      <c r="M234" s="2"/>
    </row>
    <row r="235" spans="1:13" ht="15.75">
      <c r="A235" s="2"/>
      <c r="B235" s="2"/>
      <c r="C235" s="2"/>
      <c r="D235" s="2"/>
      <c r="E235" s="2"/>
      <c r="F235" s="2"/>
      <c r="G235" s="31"/>
      <c r="H235" s="31"/>
    </row>
    <row r="236" spans="1:13" ht="15.75">
      <c r="A236" s="2"/>
      <c r="B236" s="2"/>
      <c r="C236" s="2"/>
      <c r="D236" s="2"/>
      <c r="E236" s="2"/>
      <c r="F236" s="2"/>
      <c r="G236" s="31"/>
      <c r="H236" s="31"/>
    </row>
    <row r="237" spans="1:13" ht="15.75">
      <c r="A237" s="2"/>
      <c r="B237" s="2"/>
      <c r="C237" s="2"/>
      <c r="D237" s="2"/>
      <c r="E237" s="2"/>
      <c r="F237" s="2"/>
      <c r="G237" s="31"/>
      <c r="H237" s="31"/>
    </row>
    <row r="238" spans="1:13" ht="15.75">
      <c r="A238" s="2"/>
      <c r="B238" s="2"/>
      <c r="C238" s="2"/>
      <c r="D238" s="2"/>
      <c r="E238" s="2"/>
      <c r="F238" s="2"/>
      <c r="G238" s="31"/>
      <c r="H238" s="31"/>
    </row>
    <row r="239" spans="1:13" ht="15.75">
      <c r="A239" s="2"/>
      <c r="B239" s="2"/>
      <c r="C239" s="2"/>
      <c r="D239" s="2"/>
      <c r="E239" s="2"/>
      <c r="F239" s="2"/>
      <c r="G239" s="31"/>
      <c r="H239" s="31"/>
    </row>
    <row r="240" spans="1:13" ht="15.75">
      <c r="A240" s="2"/>
      <c r="B240" s="2"/>
      <c r="C240" s="2"/>
      <c r="D240" s="2"/>
      <c r="E240" s="2"/>
      <c r="F240" s="2"/>
      <c r="G240" s="31"/>
      <c r="H240" s="31"/>
    </row>
    <row r="241" spans="1:8" ht="15.75">
      <c r="A241" s="2"/>
      <c r="B241" s="2"/>
      <c r="C241" s="2"/>
      <c r="D241" s="2"/>
      <c r="E241" s="2"/>
      <c r="F241" s="2"/>
      <c r="G241" s="31"/>
      <c r="H241" s="31"/>
    </row>
    <row r="242" spans="1:8" ht="15.75">
      <c r="A242" s="2"/>
      <c r="B242" s="2"/>
      <c r="C242" s="2"/>
      <c r="D242" s="2"/>
      <c r="E242" s="2"/>
      <c r="F242" s="2"/>
      <c r="G242" s="31"/>
      <c r="H242" s="31"/>
    </row>
    <row r="243" spans="1:8" ht="15.75">
      <c r="A243" s="2"/>
      <c r="B243" s="2"/>
      <c r="C243" s="2"/>
      <c r="D243" s="2"/>
      <c r="E243" s="2"/>
      <c r="F243" s="2"/>
      <c r="G243" s="31"/>
      <c r="H243" s="31"/>
    </row>
    <row r="244" spans="1:8" ht="15.75">
      <c r="A244" s="2"/>
      <c r="B244" s="2"/>
      <c r="C244" s="2"/>
      <c r="D244" s="2"/>
      <c r="E244" s="2"/>
      <c r="F244" s="2"/>
      <c r="G244" s="31"/>
      <c r="H244" s="31"/>
    </row>
    <row r="245" spans="1:8" ht="15.75">
      <c r="A245" s="2"/>
      <c r="B245" s="2"/>
      <c r="C245" s="2"/>
      <c r="D245" s="2"/>
      <c r="E245" s="2"/>
      <c r="F245" s="2"/>
      <c r="G245" s="31"/>
      <c r="H245" s="31"/>
    </row>
    <row r="246" spans="1:8" ht="15.75">
      <c r="A246" s="2"/>
      <c r="B246" s="2"/>
      <c r="C246" s="2"/>
      <c r="D246" s="2"/>
      <c r="E246" s="2"/>
      <c r="F246" s="2"/>
      <c r="G246" s="31"/>
      <c r="H246" s="31"/>
    </row>
    <row r="247" spans="1:8" ht="15.75">
      <c r="A247" s="2"/>
      <c r="B247" s="2"/>
      <c r="C247" s="2"/>
      <c r="D247" s="2"/>
      <c r="E247" s="2"/>
      <c r="F247" s="2"/>
      <c r="G247" s="31"/>
      <c r="H247" s="31"/>
    </row>
    <row r="248" spans="1:8" ht="15.75">
      <c r="A248" s="2"/>
      <c r="B248" s="2"/>
      <c r="C248" s="2"/>
      <c r="D248" s="2"/>
      <c r="E248" s="2"/>
      <c r="F248" s="2"/>
      <c r="G248" s="31"/>
      <c r="H248" s="31"/>
    </row>
    <row r="249" spans="1:8" ht="15.75">
      <c r="A249" s="2"/>
      <c r="B249" s="2"/>
      <c r="C249" s="2"/>
      <c r="D249" s="2"/>
      <c r="E249" s="2"/>
      <c r="F249" s="2"/>
      <c r="G249" s="31"/>
      <c r="H249" s="31"/>
    </row>
    <row r="250" spans="1:8" ht="15.75">
      <c r="A250" s="2"/>
      <c r="B250" s="2"/>
      <c r="C250" s="2"/>
      <c r="D250" s="2"/>
      <c r="E250" s="2"/>
      <c r="F250" s="2"/>
      <c r="G250" s="31"/>
      <c r="H250" s="31"/>
    </row>
    <row r="251" spans="1:8" ht="15.75">
      <c r="A251" s="2"/>
      <c r="B251" s="2"/>
      <c r="C251" s="2"/>
      <c r="D251" s="2"/>
      <c r="E251" s="2"/>
      <c r="F251" s="2"/>
      <c r="G251" s="31"/>
      <c r="H251" s="31"/>
    </row>
    <row r="252" spans="1:8" ht="15.75">
      <c r="A252" s="2"/>
      <c r="B252" s="2"/>
      <c r="C252" s="2"/>
      <c r="D252" s="2"/>
      <c r="E252" s="2"/>
      <c r="F252" s="2"/>
      <c r="G252" s="31"/>
      <c r="H252" s="31"/>
    </row>
    <row r="253" spans="1:8" ht="15.75">
      <c r="A253" s="2"/>
      <c r="B253" s="2"/>
      <c r="C253" s="2"/>
      <c r="D253" s="2"/>
      <c r="E253" s="2"/>
      <c r="F253" s="2"/>
      <c r="G253" s="31"/>
      <c r="H253" s="31"/>
    </row>
    <row r="254" spans="1:8" ht="15.75">
      <c r="A254" s="2"/>
      <c r="B254" s="2"/>
      <c r="C254" s="2"/>
      <c r="D254" s="2"/>
      <c r="E254" s="2"/>
      <c r="F254" s="2"/>
      <c r="G254" s="31"/>
      <c r="H254" s="31"/>
    </row>
    <row r="255" spans="1:8" ht="15.75">
      <c r="A255" s="2"/>
      <c r="B255" s="2"/>
      <c r="C255" s="2"/>
      <c r="D255" s="2"/>
      <c r="E255" s="2"/>
      <c r="F255" s="2"/>
      <c r="G255" s="31"/>
      <c r="H255" s="31"/>
    </row>
    <row r="256" spans="1:8" ht="15.75">
      <c r="A256" s="2"/>
      <c r="B256" s="2"/>
      <c r="C256" s="2"/>
      <c r="D256" s="2"/>
      <c r="E256" s="2"/>
      <c r="F256" s="2"/>
      <c r="G256" s="31"/>
      <c r="H256" s="31"/>
    </row>
    <row r="257" spans="1:8" ht="15.75">
      <c r="A257" s="2"/>
      <c r="B257" s="2"/>
      <c r="C257" s="2"/>
      <c r="D257" s="2"/>
      <c r="E257" s="2"/>
      <c r="F257" s="2"/>
      <c r="G257" s="31"/>
      <c r="H257" s="31"/>
    </row>
    <row r="258" spans="1:8" ht="15.75">
      <c r="A258" s="2"/>
      <c r="B258" s="2"/>
      <c r="C258" s="2"/>
      <c r="D258" s="2"/>
      <c r="E258" s="2"/>
      <c r="F258" s="2"/>
      <c r="G258" s="31"/>
      <c r="H258" s="31"/>
    </row>
    <row r="259" spans="1:8" ht="15.75">
      <c r="A259" s="2"/>
      <c r="B259" s="2"/>
      <c r="C259" s="2"/>
      <c r="D259" s="2"/>
      <c r="E259" s="2"/>
      <c r="F259" s="2"/>
      <c r="G259" s="31"/>
      <c r="H259" s="31"/>
    </row>
    <row r="260" spans="1:8" ht="15.75">
      <c r="A260" s="2"/>
      <c r="B260" s="2"/>
      <c r="C260" s="2"/>
      <c r="D260" s="2"/>
      <c r="E260" s="2"/>
      <c r="F260" s="2"/>
      <c r="G260" s="31"/>
      <c r="H260" s="31"/>
    </row>
    <row r="261" spans="1:8" ht="15.75">
      <c r="A261" s="2"/>
      <c r="B261" s="2"/>
      <c r="C261" s="2"/>
      <c r="D261" s="2"/>
      <c r="E261" s="2"/>
      <c r="F261" s="2"/>
      <c r="G261" s="31"/>
      <c r="H261" s="31"/>
    </row>
    <row r="262" spans="1:8" ht="15.75">
      <c r="A262" s="2"/>
      <c r="B262" s="2"/>
      <c r="C262" s="2"/>
      <c r="D262" s="2"/>
      <c r="E262" s="2"/>
      <c r="F262" s="2"/>
      <c r="G262" s="31"/>
      <c r="H262" s="31"/>
    </row>
  </sheetData>
  <sheetProtection password="CC5F" sheet="1" objects="1" scenarios="1"/>
  <mergeCells count="69">
    <mergeCell ref="C148:D148"/>
    <mergeCell ref="B149:D149"/>
    <mergeCell ref="B143:D143"/>
    <mergeCell ref="B144:D144"/>
    <mergeCell ref="B145:D145"/>
    <mergeCell ref="B146:D146"/>
    <mergeCell ref="B147:D147"/>
    <mergeCell ref="C138:D138"/>
    <mergeCell ref="C139:D139"/>
    <mergeCell ref="C140:D140"/>
    <mergeCell ref="C128:D128"/>
    <mergeCell ref="C129:D129"/>
    <mergeCell ref="C130:D130"/>
    <mergeCell ref="C135:D135"/>
    <mergeCell ref="C136:D136"/>
    <mergeCell ref="C137:D137"/>
    <mergeCell ref="C134:D134"/>
    <mergeCell ref="C113:D113"/>
    <mergeCell ref="C114:D114"/>
    <mergeCell ref="C117:D117"/>
    <mergeCell ref="C118:D118"/>
    <mergeCell ref="C119:D119"/>
    <mergeCell ref="C115:D115"/>
    <mergeCell ref="C116:D116"/>
    <mergeCell ref="B94:D94"/>
    <mergeCell ref="C104:D104"/>
    <mergeCell ref="C105:D105"/>
    <mergeCell ref="C106:D106"/>
    <mergeCell ref="F112:K112"/>
    <mergeCell ref="A1:C1"/>
    <mergeCell ref="A2:C2"/>
    <mergeCell ref="A3:C3"/>
    <mergeCell ref="A8:C8"/>
    <mergeCell ref="C131:D131"/>
    <mergeCell ref="C74:D74"/>
    <mergeCell ref="C88:D88"/>
    <mergeCell ref="C89:D89"/>
    <mergeCell ref="C90:D90"/>
    <mergeCell ref="C100:D100"/>
    <mergeCell ref="C101:D101"/>
    <mergeCell ref="C102:D102"/>
    <mergeCell ref="C103:D103"/>
    <mergeCell ref="C98:D98"/>
    <mergeCell ref="C99:D99"/>
    <mergeCell ref="C107:D107"/>
    <mergeCell ref="F133:K133"/>
    <mergeCell ref="F47:J47"/>
    <mergeCell ref="F48:J48"/>
    <mergeCell ref="F58:J58"/>
    <mergeCell ref="B71:D71"/>
    <mergeCell ref="C123:D123"/>
    <mergeCell ref="C124:D124"/>
    <mergeCell ref="C122:D122"/>
    <mergeCell ref="C125:D125"/>
    <mergeCell ref="C126:D126"/>
    <mergeCell ref="C127:D127"/>
    <mergeCell ref="C132:D132"/>
    <mergeCell ref="C120:D120"/>
    <mergeCell ref="C121:D121"/>
    <mergeCell ref="C92:D92"/>
    <mergeCell ref="C93:D93"/>
    <mergeCell ref="F38:J38"/>
    <mergeCell ref="F40:J40"/>
    <mergeCell ref="F41:J41"/>
    <mergeCell ref="A28:C28"/>
    <mergeCell ref="F11:J11"/>
    <mergeCell ref="F12:J12"/>
    <mergeCell ref="F27:J27"/>
    <mergeCell ref="F28:J28"/>
  </mergeCells>
  <conditionalFormatting sqref="A1:A3">
    <cfRule type="containsText" dxfId="38" priority="3" stopIfTrue="1" operator="containsText" text="Enter">
      <formula>NOT(ISERROR(SEARCH("Enter",A1)))</formula>
    </cfRule>
  </conditionalFormatting>
  <conditionalFormatting sqref="D2:D3">
    <cfRule type="containsText" dxfId="37" priority="4" stopIfTrue="1" operator="containsText" text="Enter">
      <formula>NOT(ISERROR(SEARCH("Enter",D2)))</formula>
    </cfRule>
  </conditionalFormatting>
  <conditionalFormatting sqref="L94 J94 H94 E94:F94">
    <cfRule type="containsText" dxfId="36" priority="1" stopIfTrue="1" operator="containsText" text="Total must equal amount in Cell E63 Above">
      <formula>NOT(ISERROR(SEARCH("Total must equal amount in Cell E63 Above",E94)))</formula>
    </cfRule>
  </conditionalFormatting>
  <printOptions horizontalCentered="1"/>
  <pageMargins left="0.25" right="0.25" top="0.75" bottom="0.75" header="0.3" footer="0.3"/>
  <pageSetup scale="52" orientation="landscape" horizontalDpi="200" verticalDpi="200" r:id="rId1"/>
  <headerFooter alignWithMargins="0">
    <oddHeader>&amp;RPage &amp;P of &amp;N</oddHeader>
    <oddFooter>Page &amp;P of &amp;N</oddFooter>
  </headerFooter>
  <rowBreaks count="2" manualBreakCount="2">
    <brk id="46" max="16383" man="1"/>
    <brk id="95" max="16383" man="1"/>
  </rowBreaks>
  <customProperties>
    <customPr name="DrillPoint.FROID" r:id="rId2"/>
    <customPr name="DrillPoint.Mode" r:id="rId3"/>
    <customPr name="DrillPoint.Subsheet" r:id="rId4"/>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
    <tabColor theme="5"/>
    <pageSetUpPr fitToPage="1"/>
  </sheetPr>
  <dimension ref="A1:AM86"/>
  <sheetViews>
    <sheetView showGridLines="0" zoomScale="93" zoomScaleNormal="93" zoomScaleSheetLayoutView="75" workbookViewId="0">
      <pane xSplit="4" ySplit="10" topLeftCell="E38" activePane="bottomRight" state="frozen"/>
      <selection pane="topRight" activeCell="J13" sqref="J13"/>
      <selection pane="bottomLeft" activeCell="J13" sqref="J13"/>
      <selection pane="bottomRight" activeCell="E45" sqref="E45"/>
    </sheetView>
  </sheetViews>
  <sheetFormatPr defaultColWidth="10.28515625" defaultRowHeight="15.75"/>
  <cols>
    <col min="1" max="1" width="5.28515625" style="2" customWidth="1"/>
    <col min="2" max="2" width="5.140625" style="2" customWidth="1"/>
    <col min="3" max="3" width="81" style="2" customWidth="1"/>
    <col min="4" max="4" width="10.28515625" style="2"/>
    <col min="5" max="8" width="14.5703125" style="2" customWidth="1"/>
    <col min="9" max="9" width="10.5703125" style="2" customWidth="1"/>
    <col min="10" max="10" width="14.5703125" style="2" customWidth="1"/>
    <col min="11" max="11" width="10.5703125" style="2" customWidth="1"/>
    <col min="12" max="12" width="14.5703125" style="2" customWidth="1"/>
    <col min="13" max="13" width="10.5703125" style="2" customWidth="1"/>
    <col min="14" max="14" width="3.28515625" style="2" customWidth="1"/>
    <col min="15" max="16384" width="10.28515625" style="2"/>
  </cols>
  <sheetData>
    <row r="1" spans="1:39">
      <c r="A1" s="1636" t="str">
        <f>IF('INTERIM-CERTIFICATION'!$M$1="","CHARTER NAME: Enter Charter Name on INTERIM-CERTIFICATION Worksheet",(CONCATENATE("CHARTER NAME: ",'INTERIM-CERTIFICATION'!$M$1)))</f>
        <v>CHARTER NAME: Encore High School -</v>
      </c>
      <c r="B1" s="1636"/>
      <c r="C1" s="1636"/>
      <c r="D1" s="11"/>
      <c r="E1" s="11"/>
      <c r="F1" s="11"/>
      <c r="G1" s="11"/>
      <c r="H1" s="11"/>
      <c r="I1" s="157"/>
      <c r="J1" s="11"/>
      <c r="K1" s="156"/>
      <c r="L1" s="1"/>
      <c r="M1" s="158"/>
      <c r="N1" s="46"/>
      <c r="O1" s="1215"/>
      <c r="P1" s="1215"/>
      <c r="Q1" s="1215"/>
      <c r="R1" s="1215"/>
      <c r="S1" s="1215"/>
      <c r="T1" s="1215"/>
    </row>
    <row r="2" spans="1:39">
      <c r="A2" s="1636" t="str">
        <f>IF('INTERIM-CERTIFICATION'!$M$2="","CDS #: Enter Charter CDS # on INTERIM-CERTIFICATION Worksheet",(_xlfn.CONCAT("CDS #: ",'INTERIM-CERTIFICATION'!$M$2)))</f>
        <v>CDS #: 35-75044-01166707</v>
      </c>
      <c r="B2" s="1636"/>
      <c r="C2" s="1636"/>
      <c r="D2" s="1449"/>
      <c r="E2" s="1449"/>
      <c r="F2" s="1449"/>
      <c r="G2" s="11"/>
      <c r="H2" s="81"/>
      <c r="I2" s="157"/>
      <c r="J2" s="81"/>
      <c r="K2" s="157"/>
      <c r="L2" s="1"/>
      <c r="M2" s="158"/>
      <c r="N2" s="46"/>
      <c r="O2" s="1215"/>
      <c r="P2" s="1215"/>
      <c r="Q2" s="1215"/>
      <c r="R2" s="1215"/>
      <c r="S2" s="1215"/>
      <c r="T2" s="1215"/>
    </row>
    <row r="3" spans="1:39">
      <c r="A3" s="1636" t="str">
        <f>IF('INTERIM-CERTIFICATION'!$M$5="","CHARTER #: Enter Charter # on INTERIM-CERTIFICATION Worksheet",(_xlfn.CONCAT("CHARTER #: ",'INTERIM-CERTIFICATION'!$M$5)))</f>
        <v>CHARTER #: 971</v>
      </c>
      <c r="B3" s="1636"/>
      <c r="C3" s="1636"/>
      <c r="D3" s="1450"/>
      <c r="E3" s="1450"/>
      <c r="F3" s="1450"/>
      <c r="G3" s="11"/>
      <c r="H3" s="11"/>
      <c r="I3" s="156"/>
      <c r="J3" s="11"/>
      <c r="K3" s="156"/>
      <c r="L3" s="1"/>
      <c r="M3" s="158"/>
      <c r="N3" s="46"/>
      <c r="O3" s="1215"/>
      <c r="P3" s="1215"/>
      <c r="Q3" s="1215"/>
      <c r="R3" s="1215"/>
      <c r="S3" s="1215"/>
      <c r="T3" s="1215"/>
    </row>
    <row r="4" spans="1:39">
      <c r="B4" s="52"/>
      <c r="C4" s="52"/>
      <c r="D4" s="159" t="str">
        <f>'2nd Interim-ADA'!J4</f>
        <v>Fiscal Year 2021-22 Second Interim Report</v>
      </c>
      <c r="E4" s="159"/>
      <c r="F4" s="159"/>
      <c r="G4" s="52"/>
      <c r="H4" s="52"/>
      <c r="I4" s="52"/>
      <c r="J4" s="52"/>
      <c r="K4" s="52"/>
      <c r="L4" s="52"/>
      <c r="M4" s="52"/>
      <c r="N4" s="1534"/>
      <c r="O4" s="1215"/>
      <c r="P4" s="1215"/>
      <c r="Q4" s="1215"/>
      <c r="R4" s="1215"/>
      <c r="S4" s="1215"/>
      <c r="T4" s="1215"/>
    </row>
    <row r="5" spans="1:39">
      <c r="A5" s="11"/>
      <c r="B5" s="11"/>
      <c r="C5" s="52"/>
      <c r="D5" s="159" t="s">
        <v>351</v>
      </c>
      <c r="E5" s="159"/>
      <c r="F5" s="159"/>
      <c r="G5" s="52"/>
      <c r="H5" s="52"/>
      <c r="I5" s="160"/>
      <c r="J5" s="52"/>
      <c r="K5" s="160"/>
      <c r="L5" s="1"/>
      <c r="M5" s="161"/>
      <c r="N5" s="1535"/>
      <c r="O5" s="1215"/>
      <c r="P5" s="1215"/>
      <c r="Q5" s="1215"/>
      <c r="R5" s="1215"/>
      <c r="S5" s="1215"/>
      <c r="T5" s="1215"/>
    </row>
    <row r="6" spans="1:39" ht="16.5" thickBot="1">
      <c r="A6" s="11"/>
      <c r="B6" s="11"/>
      <c r="C6" s="11"/>
      <c r="D6" s="11"/>
      <c r="E6" s="11"/>
      <c r="F6" s="11"/>
      <c r="G6" s="11"/>
      <c r="H6" s="11"/>
      <c r="I6" s="156"/>
      <c r="J6" s="11"/>
      <c r="K6" s="156"/>
      <c r="L6" s="1"/>
      <c r="M6" s="158"/>
      <c r="N6" s="46"/>
      <c r="O6" s="1215"/>
      <c r="P6" s="1215"/>
      <c r="Q6" s="1215"/>
      <c r="R6" s="1215"/>
      <c r="S6" s="1215"/>
      <c r="T6" s="1215"/>
    </row>
    <row r="7" spans="1:39" ht="16.5" thickTop="1">
      <c r="A7" s="1451"/>
      <c r="B7" s="12"/>
      <c r="C7" s="12"/>
      <c r="D7" s="1452"/>
      <c r="E7" s="1453"/>
      <c r="F7" s="1453" t="s">
        <v>593</v>
      </c>
      <c r="G7" s="1453" t="s">
        <v>582</v>
      </c>
      <c r="H7" s="1453" t="str">
        <f>$G$7</f>
        <v>Second Interim</v>
      </c>
      <c r="I7" s="1454"/>
      <c r="J7" s="1453" t="str">
        <f>$G$7</f>
        <v>Second Interim</v>
      </c>
      <c r="K7" s="1454"/>
      <c r="L7" s="1453" t="str">
        <f>$G$7</f>
        <v>Second Interim</v>
      </c>
      <c r="M7" s="1454"/>
      <c r="N7" s="1536"/>
      <c r="O7" s="1215"/>
      <c r="P7" s="1216"/>
      <c r="Q7" s="3"/>
      <c r="R7" s="3"/>
      <c r="S7" s="3"/>
      <c r="T7" s="3"/>
      <c r="U7" s="1"/>
      <c r="V7" s="1"/>
      <c r="W7" s="1"/>
      <c r="X7" s="1"/>
      <c r="Y7" s="1"/>
      <c r="Z7" s="1"/>
      <c r="AA7" s="1"/>
      <c r="AB7" s="1"/>
      <c r="AC7" s="1"/>
      <c r="AD7" s="1"/>
      <c r="AE7" s="1"/>
      <c r="AF7" s="1"/>
      <c r="AG7" s="1"/>
      <c r="AH7" s="1"/>
      <c r="AI7" s="1"/>
      <c r="AJ7" s="1"/>
      <c r="AK7" s="1"/>
      <c r="AL7" s="1"/>
      <c r="AM7" s="1"/>
    </row>
    <row r="8" spans="1:39">
      <c r="A8" s="1853" t="s">
        <v>228</v>
      </c>
      <c r="B8" s="1697"/>
      <c r="C8" s="1697"/>
      <c r="D8" s="53"/>
      <c r="E8" s="13" t="s">
        <v>230</v>
      </c>
      <c r="F8" s="13" t="s">
        <v>594</v>
      </c>
      <c r="G8" s="213" t="s">
        <v>550</v>
      </c>
      <c r="H8" s="13" t="s">
        <v>232</v>
      </c>
      <c r="I8" s="162" t="s">
        <v>231</v>
      </c>
      <c r="J8" s="13" t="s">
        <v>232</v>
      </c>
      <c r="K8" s="162" t="s">
        <v>231</v>
      </c>
      <c r="L8" s="13" t="s">
        <v>232</v>
      </c>
      <c r="M8" s="162" t="s">
        <v>231</v>
      </c>
      <c r="N8" s="1536"/>
      <c r="O8" s="1215"/>
      <c r="P8" s="1216"/>
      <c r="Q8" s="3"/>
      <c r="R8" s="3"/>
      <c r="S8" s="3"/>
      <c r="T8" s="3"/>
      <c r="U8" s="1"/>
      <c r="V8" s="1"/>
      <c r="W8" s="1"/>
      <c r="X8" s="1"/>
      <c r="Y8" s="1"/>
      <c r="Z8" s="1"/>
      <c r="AA8" s="1"/>
      <c r="AB8" s="1"/>
      <c r="AC8" s="1"/>
      <c r="AD8" s="1"/>
      <c r="AE8" s="1"/>
      <c r="AF8" s="1"/>
      <c r="AG8" s="1"/>
      <c r="AH8" s="1"/>
      <c r="AI8" s="1"/>
      <c r="AJ8" s="1"/>
      <c r="AK8" s="1"/>
      <c r="AL8" s="1"/>
      <c r="AM8" s="1"/>
    </row>
    <row r="9" spans="1:39">
      <c r="A9" s="1455"/>
      <c r="B9" s="1"/>
      <c r="C9" s="1"/>
      <c r="D9" s="53"/>
      <c r="E9" s="13" t="s">
        <v>234</v>
      </c>
      <c r="F9" s="13" t="s">
        <v>234</v>
      </c>
      <c r="G9" s="13" t="str">
        <f>'2nd Interim-Unrestricted MYP'!G9</f>
        <v>thru January 31,</v>
      </c>
      <c r="H9" s="13" t="s">
        <v>234</v>
      </c>
      <c r="I9" s="162" t="s">
        <v>161</v>
      </c>
      <c r="J9" s="13" t="s">
        <v>234</v>
      </c>
      <c r="K9" s="162" t="s">
        <v>161</v>
      </c>
      <c r="L9" s="13" t="s">
        <v>234</v>
      </c>
      <c r="M9" s="162" t="s">
        <v>161</v>
      </c>
      <c r="N9" s="1536"/>
      <c r="O9" s="1215"/>
      <c r="P9" s="1216"/>
      <c r="Q9" s="3"/>
      <c r="R9" s="3"/>
      <c r="S9" s="3"/>
      <c r="T9" s="3"/>
      <c r="U9" s="1"/>
      <c r="V9" s="1"/>
      <c r="W9" s="1"/>
      <c r="X9" s="1"/>
      <c r="Y9" s="1"/>
      <c r="Z9" s="1"/>
      <c r="AA9" s="1"/>
      <c r="AB9" s="1"/>
      <c r="AC9" s="1"/>
      <c r="AD9" s="1"/>
      <c r="AE9" s="1"/>
      <c r="AF9" s="1"/>
      <c r="AG9" s="1"/>
      <c r="AH9" s="1"/>
      <c r="AI9" s="1"/>
      <c r="AJ9" s="1"/>
      <c r="AK9" s="1"/>
      <c r="AL9" s="1"/>
      <c r="AM9" s="1"/>
    </row>
    <row r="10" spans="1:39" ht="16.5" thickBot="1">
      <c r="A10" s="1456" t="str">
        <f>Instructions!H1</f>
        <v>Rev. 5/28/2021</v>
      </c>
      <c r="B10" s="163"/>
      <c r="C10" s="163"/>
      <c r="D10" s="54"/>
      <c r="E10" s="207" t="str">
        <f>'Budget-Unrestricted MYP'!F10</f>
        <v>2021-22</v>
      </c>
      <c r="F10" s="14" t="str">
        <f>E10</f>
        <v>2021-22</v>
      </c>
      <c r="G10" s="206">
        <f>'2nd Interim-Unrestricted MYP'!G10</f>
        <v>2022</v>
      </c>
      <c r="H10" s="14" t="str">
        <f>F10</f>
        <v>2021-22</v>
      </c>
      <c r="I10" s="164"/>
      <c r="J10" s="14" t="str">
        <f>'Budget-Unrestricted MYP'!H10</f>
        <v>2022-23</v>
      </c>
      <c r="K10" s="164"/>
      <c r="L10" s="14" t="str">
        <f>'Budget-Unrestricted MYP'!J10</f>
        <v>2023-24</v>
      </c>
      <c r="M10" s="164"/>
      <c r="N10" s="1536"/>
      <c r="O10" s="1215"/>
      <c r="P10" s="1216"/>
      <c r="Q10" s="3"/>
      <c r="R10" s="3"/>
      <c r="S10" s="3"/>
      <c r="T10" s="3"/>
      <c r="U10" s="1"/>
      <c r="V10" s="1"/>
      <c r="W10" s="1"/>
      <c r="X10" s="1"/>
      <c r="Y10" s="1"/>
      <c r="Z10" s="1"/>
      <c r="AA10" s="1"/>
      <c r="AB10" s="1"/>
      <c r="AC10" s="1"/>
      <c r="AD10" s="1"/>
      <c r="AE10" s="1"/>
      <c r="AF10" s="1"/>
      <c r="AG10" s="1"/>
      <c r="AH10" s="1"/>
      <c r="AI10" s="1"/>
      <c r="AJ10" s="1"/>
      <c r="AK10" s="1"/>
      <c r="AL10" s="1"/>
      <c r="AM10" s="1"/>
    </row>
    <row r="11" spans="1:39" ht="16.5" thickTop="1">
      <c r="A11" s="305" t="s">
        <v>235</v>
      </c>
      <c r="B11" s="1"/>
      <c r="C11" s="1"/>
      <c r="D11" s="336"/>
      <c r="E11" s="12"/>
      <c r="F11" s="12"/>
      <c r="G11" s="12"/>
      <c r="H11" s="1457"/>
      <c r="I11" s="1458"/>
      <c r="J11" s="1457"/>
      <c r="K11" s="1458"/>
      <c r="L11" s="1457"/>
      <c r="M11" s="1459"/>
      <c r="N11" s="1537"/>
      <c r="O11" s="1215"/>
      <c r="P11" s="1215"/>
      <c r="Q11" s="1215"/>
      <c r="R11" s="1215"/>
      <c r="S11" s="1215"/>
      <c r="T11" s="1215"/>
    </row>
    <row r="12" spans="1:39">
      <c r="A12" s="305"/>
      <c r="B12" s="146" t="s">
        <v>236</v>
      </c>
      <c r="C12" s="140"/>
      <c r="D12" s="140"/>
      <c r="E12" s="364"/>
      <c r="F12" s="364"/>
      <c r="G12" s="364"/>
      <c r="H12" s="1460"/>
      <c r="I12" s="1461"/>
      <c r="J12" s="1460"/>
      <c r="K12" s="1461"/>
      <c r="L12" s="1460"/>
      <c r="M12" s="1462"/>
      <c r="N12" s="1537"/>
      <c r="O12" s="1215"/>
      <c r="P12" s="1215"/>
      <c r="Q12" s="1215"/>
      <c r="R12" s="1215"/>
      <c r="S12" s="1215"/>
      <c r="T12" s="1215"/>
    </row>
    <row r="13" spans="1:39">
      <c r="A13" s="305"/>
      <c r="B13" s="146"/>
      <c r="C13" s="279" t="s">
        <v>237</v>
      </c>
      <c r="D13" s="345">
        <v>8011</v>
      </c>
      <c r="E13" s="1463">
        <f>'2nd Interim-Unrestricted MYP'!E13+'2nd Interim-Restricted MYP'!E13</f>
        <v>6570869</v>
      </c>
      <c r="F13" s="1463">
        <f>'2nd Interim-Unrestricted MYP'!F13+'2nd Interim-Restricted MYP'!F13</f>
        <v>7115528</v>
      </c>
      <c r="G13" s="1463">
        <f>'2nd Interim-Unrestricted MYP'!G13+'2nd Interim-Restricted MYP'!G13</f>
        <v>3159014</v>
      </c>
      <c r="H13" s="1464">
        <f>'2nd Interim-Unrestricted MYP'!H13+'2nd Interim-Restricted MYP'!H13</f>
        <v>4141940</v>
      </c>
      <c r="I13" s="1465">
        <f>IF(E13&lt;1," ",IF(H13&lt;1," ",(H13-E13)/E13))</f>
        <v>-0.3696511070301356</v>
      </c>
      <c r="J13" s="1185">
        <f>'2nd Interim-Unrestricted MYP'!J13+'2nd Interim-Restricted MYP'!J13</f>
        <v>5150394</v>
      </c>
      <c r="K13" s="1465">
        <f>IF(H13&lt;1," ",IF(J13&lt;1," ",(J13-H13)/H13))</f>
        <v>0.24347383110329943</v>
      </c>
      <c r="L13" s="1185">
        <f>'2nd Interim-Unrestricted MYP'!L13+'2nd Interim-Restricted MYP'!L13</f>
        <v>5379333</v>
      </c>
      <c r="M13" s="1466">
        <f>IF(J13&lt;1," ",IF(L13&lt;1," ",(L13-J13)/J13))</f>
        <v>4.4450774057285716E-2</v>
      </c>
      <c r="N13" s="1537"/>
      <c r="O13" s="1215"/>
      <c r="P13" s="1215"/>
      <c r="Q13" s="1215"/>
      <c r="R13" s="1215"/>
      <c r="S13" s="1215"/>
      <c r="T13" s="1215"/>
    </row>
    <row r="14" spans="1:39">
      <c r="A14" s="305"/>
      <c r="B14" s="146"/>
      <c r="C14" s="279" t="s">
        <v>239</v>
      </c>
      <c r="D14" s="345">
        <v>8012</v>
      </c>
      <c r="E14" s="1463">
        <f>'2nd Interim-Unrestricted MYP'!E14+'2nd Interim-Restricted MYP'!E14</f>
        <v>1743325</v>
      </c>
      <c r="F14" s="1463">
        <f>'2nd Interim-Unrestricted MYP'!F14+'2nd Interim-Restricted MYP'!F14</f>
        <v>0</v>
      </c>
      <c r="G14" s="1463">
        <f>'2nd Interim-Unrestricted MYP'!G14+'2nd Interim-Restricted MYP'!G14</f>
        <v>1218979</v>
      </c>
      <c r="H14" s="1464">
        <f>'2nd Interim-Unrestricted MYP'!H14+'2nd Interim-Restricted MYP'!H14</f>
        <v>2446898</v>
      </c>
      <c r="I14" s="1465">
        <f>IF(E14&lt;1," ",IF(H14&lt;1," ",(H14-E14)/E14))</f>
        <v>0.40358108786370872</v>
      </c>
      <c r="J14" s="1185">
        <f>'2nd Interim-Unrestricted MYP'!J14+'2nd Interim-Restricted MYP'!J14</f>
        <v>1860185</v>
      </c>
      <c r="K14" s="1465">
        <f>IF(H14&lt;1," ",IF(J14&lt;1," ",(J14-H14)/H14))</f>
        <v>-0.23977828254385758</v>
      </c>
      <c r="L14" s="1193">
        <f>'2nd Interim-Unrestricted MYP'!L14+'2nd Interim-Restricted MYP'!L14</f>
        <v>1860185</v>
      </c>
      <c r="M14" s="1466">
        <f>IF(J14&lt;1," ",IF(L14&lt;1," ",(L14-J14)/J14))</f>
        <v>0</v>
      </c>
      <c r="N14" s="1537"/>
      <c r="O14" s="1215"/>
      <c r="P14" s="1215"/>
      <c r="Q14" s="1215"/>
      <c r="R14" s="1215"/>
      <c r="S14" s="1215"/>
      <c r="T14" s="1215"/>
    </row>
    <row r="15" spans="1:39">
      <c r="A15" s="67"/>
      <c r="B15" s="146"/>
      <c r="C15" s="279" t="s">
        <v>240</v>
      </c>
      <c r="D15" s="345">
        <v>8019</v>
      </c>
      <c r="E15" s="1463">
        <f>'2nd Interim-Unrestricted MYP'!E15+'2nd Interim-Restricted MYP'!E15</f>
        <v>0</v>
      </c>
      <c r="F15" s="1463">
        <f>'2nd Interim-Unrestricted MYP'!F15+'2nd Interim-Restricted MYP'!F15</f>
        <v>0</v>
      </c>
      <c r="G15" s="1463">
        <f>'2nd Interim-Unrestricted MYP'!G15+'2nd Interim-Restricted MYP'!G15</f>
        <v>0</v>
      </c>
      <c r="H15" s="1464">
        <f>'2nd Interim-Unrestricted MYP'!H15+'2nd Interim-Restricted MYP'!H15</f>
        <v>0</v>
      </c>
      <c r="I15" s="1465" t="str">
        <f>IF(E15&lt;1," ",IF(H15&lt;1," ",(H15-E15)/E15))</f>
        <v xml:space="preserve"> </v>
      </c>
      <c r="J15" s="1185">
        <f>'2nd Interim-Unrestricted MYP'!J15+'2nd Interim-Restricted MYP'!J15</f>
        <v>0</v>
      </c>
      <c r="K15" s="1465" t="str">
        <f>IF(H15&lt;1," ",IF(J15&lt;1," ",(J15-H15)/H15))</f>
        <v xml:space="preserve"> </v>
      </c>
      <c r="L15" s="1193">
        <f>'2nd Interim-Unrestricted MYP'!L15+'2nd Interim-Restricted MYP'!L15</f>
        <v>0</v>
      </c>
      <c r="M15" s="1466" t="str">
        <f>IF(J15&lt;1," ",IF(L15&lt;1," ",(L15-J15)/J15))</f>
        <v xml:space="preserve"> </v>
      </c>
      <c r="N15" s="1537"/>
      <c r="O15" s="1215"/>
      <c r="P15" s="1215"/>
      <c r="Q15" s="1215"/>
      <c r="R15" s="1215"/>
      <c r="S15" s="1215"/>
      <c r="T15" s="1215"/>
    </row>
    <row r="16" spans="1:39">
      <c r="A16" s="67"/>
      <c r="B16" s="146"/>
      <c r="C16" s="279" t="s">
        <v>241</v>
      </c>
      <c r="D16" s="345">
        <v>8096</v>
      </c>
      <c r="E16" s="1463">
        <f>'2nd Interim-Unrestricted MYP'!E16+'2nd Interim-Restricted MYP'!E16</f>
        <v>295369</v>
      </c>
      <c r="F16" s="1463">
        <f>'2nd Interim-Unrestricted MYP'!F16+'2nd Interim-Restricted MYP'!F16</f>
        <v>0</v>
      </c>
      <c r="G16" s="1463">
        <f>'2nd Interim-Unrestricted MYP'!G16+'2nd Interim-Restricted MYP'!G16</f>
        <v>186402</v>
      </c>
      <c r="H16" s="1464">
        <f>'2nd Interim-Unrestricted MYP'!H16+'2nd Interim-Restricted MYP'!H16</f>
        <v>238148</v>
      </c>
      <c r="I16" s="1465">
        <f>IF(E16&lt;1," ",IF(H16&lt;1," ",(H16-E16)/E16))</f>
        <v>-0.1937271683893706</v>
      </c>
      <c r="J16" s="1193">
        <f>'2nd Interim-Unrestricted MYP'!J16+'2nd Interim-Restricted MYP'!J16</f>
        <v>239861</v>
      </c>
      <c r="K16" s="1358">
        <f>IF(H16&lt;1," ",IF(J16&lt;1," ",(J16-H16)/H16))</f>
        <v>7.1930060298637825E-3</v>
      </c>
      <c r="L16" s="1193">
        <f>'2nd Interim-Unrestricted MYP'!L16+'2nd Interim-Restricted MYP'!L16</f>
        <v>239861</v>
      </c>
      <c r="M16" s="1359">
        <f>IF(J16&lt;1," ",IF(L16&lt;1," ",(L16-J16)/J16))</f>
        <v>0</v>
      </c>
      <c r="N16" s="1538"/>
      <c r="O16" s="1215"/>
      <c r="P16" s="1215"/>
      <c r="Q16" s="1215"/>
      <c r="R16" s="1215"/>
      <c r="S16" s="1215"/>
      <c r="T16" s="1215"/>
    </row>
    <row r="17" spans="1:20">
      <c r="A17" s="67"/>
      <c r="B17" s="146" t="s">
        <v>242</v>
      </c>
      <c r="C17" s="279"/>
      <c r="D17" s="345" t="s">
        <v>243</v>
      </c>
      <c r="E17" s="1463">
        <f>'2nd Interim-Unrestricted MYP'!E17+'2nd Interim-Restricted MYP'!E17</f>
        <v>1235086</v>
      </c>
      <c r="F17" s="1463">
        <f>'2nd Interim-Unrestricted MYP'!F17+'2nd Interim-Restricted MYP'!F17</f>
        <v>1805349</v>
      </c>
      <c r="G17" s="1463">
        <f>'2nd Interim-Unrestricted MYP'!G17+'2nd Interim-Restricted MYP'!G17</f>
        <v>941418.06</v>
      </c>
      <c r="H17" s="1464">
        <f>'2nd Interim-Unrestricted MYP'!H17+'2nd Interim-Restricted MYP'!H17</f>
        <v>2648025.14</v>
      </c>
      <c r="I17" s="1465">
        <f>IF(E17&lt;1," ",IF(H17&lt;1," ",(H17-E17)/E17))</f>
        <v>1.144000612103125</v>
      </c>
      <c r="J17" s="1463">
        <f>'2nd Interim-Unrestricted MYP'!J17+'2nd Interim-Restricted MYP'!J17</f>
        <v>617503.20799999998</v>
      </c>
      <c r="K17" s="1358">
        <f>IF(H17&lt;1," ",IF(J17&lt;1," ",(J17-H17)/H17))</f>
        <v>-0.76680613840395784</v>
      </c>
      <c r="L17" s="1463">
        <f>'2nd Interim-Unrestricted MYP'!L17+'2nd Interim-Restricted MYP'!L17</f>
        <v>502734.6434688</v>
      </c>
      <c r="M17" s="1359">
        <f>IF(J17&lt;1," ",IF(L17&lt;1," ",(L17-J17)/J17))</f>
        <v>-0.18585905796816521</v>
      </c>
      <c r="N17" s="1538"/>
      <c r="O17" s="1215"/>
      <c r="P17" s="1215"/>
      <c r="Q17" s="1215"/>
      <c r="R17" s="1215"/>
      <c r="S17" s="1215"/>
      <c r="T17" s="1215"/>
    </row>
    <row r="18" spans="1:20">
      <c r="A18" s="67"/>
      <c r="B18" s="146" t="s">
        <v>244</v>
      </c>
      <c r="C18" s="140"/>
      <c r="D18" s="140"/>
      <c r="E18" s="1202"/>
      <c r="F18" s="1202"/>
      <c r="G18" s="1202"/>
      <c r="H18" s="1467"/>
      <c r="I18" s="1468"/>
      <c r="J18" s="1202"/>
      <c r="K18" s="1468"/>
      <c r="L18" s="1202"/>
      <c r="M18" s="1469"/>
      <c r="N18" s="1538"/>
      <c r="O18" s="1215"/>
      <c r="P18" s="1215"/>
      <c r="Q18" s="1215"/>
      <c r="R18" s="1215"/>
      <c r="S18" s="1215"/>
      <c r="T18" s="1215"/>
    </row>
    <row r="19" spans="1:20">
      <c r="A19" s="67"/>
      <c r="B19" s="146"/>
      <c r="C19" s="279" t="s">
        <v>245</v>
      </c>
      <c r="D19" s="345">
        <v>8560</v>
      </c>
      <c r="E19" s="1463">
        <f>'2nd Interim-Unrestricted MYP'!E19+'2nd Interim-Restricted MYP'!E19</f>
        <v>124721.05751999999</v>
      </c>
      <c r="F19" s="1463">
        <f>'2nd Interim-Unrestricted MYP'!F19+'2nd Interim-Restricted MYP'!F19</f>
        <v>114262.96309679998</v>
      </c>
      <c r="G19" s="1463">
        <f>'2nd Interim-Unrestricted MYP'!G19+'2nd Interim-Restricted MYP'!G19</f>
        <v>66423.75</v>
      </c>
      <c r="H19" s="1464">
        <f>'2nd Interim-Unrestricted MYP'!H19+'2nd Interim-Restricted MYP'!H19</f>
        <v>110039.13552299999</v>
      </c>
      <c r="I19" s="1465">
        <f>IF(E19&lt;1," ",IF(H19&lt;1," ",(H19-E19)/E19))</f>
        <v>-0.11771806853582553</v>
      </c>
      <c r="J19" s="1470">
        <f>'2nd Interim-Unrestricted MYP'!J19+'2nd Interim-Restricted MYP'!J19</f>
        <v>110830.78397999999</v>
      </c>
      <c r="K19" s="1358">
        <f>IF(H19&lt;1," ",IF(J19&lt;1," ",(J19-H19)/H19))</f>
        <v>7.194244604316574E-3</v>
      </c>
      <c r="L19" s="1193">
        <f>'2nd Interim-Unrestricted MYP'!L19+'2nd Interim-Restricted MYP'!L19</f>
        <v>110830.78397999999</v>
      </c>
      <c r="M19" s="1359">
        <f>IF(J19&lt;1," ",IF(L19&lt;1," ",(L19-J19)/J19))</f>
        <v>0</v>
      </c>
      <c r="N19" s="1538"/>
      <c r="O19" s="1215"/>
      <c r="P19" s="1215"/>
      <c r="Q19" s="1215"/>
      <c r="R19" s="1215"/>
      <c r="S19" s="1215"/>
      <c r="T19" s="1215"/>
    </row>
    <row r="20" spans="1:20">
      <c r="A20" s="67"/>
      <c r="B20" s="146"/>
      <c r="C20" s="279" t="s">
        <v>246</v>
      </c>
      <c r="D20" s="345">
        <v>8560</v>
      </c>
      <c r="E20" s="1471">
        <f>'2nd Interim-Unrestricted MYP'!E20+'2nd Interim-Restricted MYP'!E20</f>
        <v>40742.212123199999</v>
      </c>
      <c r="F20" s="1471">
        <f>'2nd Interim-Unrestricted MYP'!F20+'2nd Interim-Restricted MYP'!F20</f>
        <v>45564.985283999995</v>
      </c>
      <c r="G20" s="1471">
        <f>'2nd Interim-Unrestricted MYP'!G20+'2nd Interim-Restricted MYP'!G20</f>
        <v>27072.52</v>
      </c>
      <c r="H20" s="1464">
        <f>'2nd Interim-Unrestricted MYP'!H20+'2nd Interim-Restricted MYP'!H20</f>
        <v>43880.636864999993</v>
      </c>
      <c r="I20" s="1358">
        <f>IF(E20&lt;1," ",IF(H20&lt;1," ",(H20-E20)/E20))</f>
        <v>7.7031279801640137E-2</v>
      </c>
      <c r="J20" s="1470">
        <f>'2nd Interim-Unrestricted MYP'!J20+'2nd Interim-Restricted MYP'!J20</f>
        <v>44196.3249</v>
      </c>
      <c r="K20" s="1358">
        <f>IF(H20&lt;1," ",IF(J20&lt;1," ",(J20-H20)/H20))</f>
        <v>7.1942446043166955E-3</v>
      </c>
      <c r="L20" s="1193">
        <f>'2nd Interim-Unrestricted MYP'!L20+'2nd Interim-Restricted MYP'!L20</f>
        <v>44196.3249</v>
      </c>
      <c r="M20" s="1359">
        <f>IF(J20&lt;1," ",IF(L20&lt;1," ",(L20-J20)/J20))</f>
        <v>0</v>
      </c>
      <c r="N20" s="1538"/>
      <c r="O20" s="1215"/>
      <c r="P20" s="1215"/>
      <c r="Q20" s="1215"/>
      <c r="R20" s="1215"/>
      <c r="S20" s="1215"/>
      <c r="T20" s="1215"/>
    </row>
    <row r="21" spans="1:20">
      <c r="A21" s="67"/>
      <c r="B21" s="146"/>
      <c r="C21" s="279" t="s">
        <v>247</v>
      </c>
      <c r="D21" s="345" t="s">
        <v>248</v>
      </c>
      <c r="E21" s="1463">
        <f>'2nd Interim-Unrestricted MYP'!E21+'2nd Interim-Restricted MYP'!E21</f>
        <v>1411056.1600000001</v>
      </c>
      <c r="F21" s="1463">
        <f>'2nd Interim-Unrestricted MYP'!F21+'2nd Interim-Restricted MYP'!F21</f>
        <v>1464194.0899999999</v>
      </c>
      <c r="G21" s="1463">
        <f>'2nd Interim-Unrestricted MYP'!G21+'2nd Interim-Restricted MYP'!G21</f>
        <v>455437.94</v>
      </c>
      <c r="H21" s="1464">
        <f>'2nd Interim-Unrestricted MYP'!H21+'2nd Interim-Restricted MYP'!H21</f>
        <v>1281841.0899999999</v>
      </c>
      <c r="I21" s="1465">
        <f>IF(E21&lt;1," ",IF(H21&lt;1," ",(H21-E21)/E21))</f>
        <v>-9.1573300668628441E-2</v>
      </c>
      <c r="J21" s="1185">
        <f>'2nd Interim-Unrestricted MYP'!J21+'2nd Interim-Restricted MYP'!J21</f>
        <v>1167126.8782319997</v>
      </c>
      <c r="K21" s="1358">
        <f>IF(H21&lt;1," ",IF(J21&lt;1," ",(J21-H21)/H21))</f>
        <v>-8.9491757334756811E-2</v>
      </c>
      <c r="L21" s="1193">
        <f>'2nd Interim-Unrestricted MYP'!L21+'2nd Interim-Restricted MYP'!L21</f>
        <v>1203424.5241450148</v>
      </c>
      <c r="M21" s="1359">
        <f>IF(J21&lt;1," ",IF(L21&lt;1," ",(L21-J21)/J21))</f>
        <v>3.109999999999994E-2</v>
      </c>
      <c r="N21" s="1538"/>
      <c r="O21" s="1215"/>
      <c r="P21" s="1215"/>
      <c r="Q21" s="1215"/>
      <c r="R21" s="1215"/>
      <c r="S21" s="1215"/>
      <c r="T21" s="1215"/>
    </row>
    <row r="22" spans="1:20">
      <c r="A22" s="67"/>
      <c r="B22" s="146" t="s">
        <v>249</v>
      </c>
      <c r="C22" s="140"/>
      <c r="D22" s="140"/>
      <c r="E22" s="1202"/>
      <c r="F22" s="1202"/>
      <c r="G22" s="1202"/>
      <c r="H22" s="1467"/>
      <c r="I22" s="1468"/>
      <c r="J22" s="1202"/>
      <c r="K22" s="1468"/>
      <c r="L22" s="1202"/>
      <c r="M22" s="1469"/>
      <c r="N22" s="1538"/>
      <c r="O22" s="1215"/>
      <c r="P22" s="1215"/>
      <c r="Q22" s="1215"/>
      <c r="R22" s="1215"/>
      <c r="S22" s="1215"/>
      <c r="T22" s="1215"/>
    </row>
    <row r="23" spans="1:20">
      <c r="A23" s="67"/>
      <c r="B23" s="146"/>
      <c r="C23" s="279" t="s">
        <v>250</v>
      </c>
      <c r="D23" s="345">
        <v>8660</v>
      </c>
      <c r="E23" s="1463">
        <f>'2nd Interim-Unrestricted MYP'!E23+'2nd Interim-Restricted MYP'!E23</f>
        <v>0</v>
      </c>
      <c r="F23" s="1463">
        <f>'2nd Interim-Unrestricted MYP'!F23+'2nd Interim-Restricted MYP'!F23</f>
        <v>0</v>
      </c>
      <c r="G23" s="1463">
        <f>'2nd Interim-Unrestricted MYP'!G23+'2nd Interim-Restricted MYP'!G23</f>
        <v>0</v>
      </c>
      <c r="H23" s="1464">
        <f>'2nd Interim-Unrestricted MYP'!H23+'2nd Interim-Restricted MYP'!H23</f>
        <v>0</v>
      </c>
      <c r="I23" s="1465" t="str">
        <f>IF(E23&lt;1," ",IF(H23&lt;1," ",(H23-E23)/E23))</f>
        <v xml:space="preserve"> </v>
      </c>
      <c r="J23" s="1185">
        <f>'2nd Interim-Unrestricted MYP'!J23+'2nd Interim-Restricted MYP'!J23</f>
        <v>0</v>
      </c>
      <c r="K23" s="1358" t="str">
        <f>IF(H23&lt;1," ",IF(J23&lt;1," ",(J23-H23)/H23))</f>
        <v xml:space="preserve"> </v>
      </c>
      <c r="L23" s="1193">
        <f>'2nd Interim-Unrestricted MYP'!L23+'2nd Interim-Restricted MYP'!L23</f>
        <v>0</v>
      </c>
      <c r="M23" s="1359" t="str">
        <f>IF(J23&lt;1," ",IF(L23&lt;1," ",(L23-J23)/J23))</f>
        <v xml:space="preserve"> </v>
      </c>
      <c r="N23" s="1538"/>
      <c r="O23" s="1215"/>
      <c r="P23" s="1215"/>
      <c r="Q23" s="1215"/>
      <c r="R23" s="1215"/>
      <c r="S23" s="1215"/>
      <c r="T23" s="1215"/>
    </row>
    <row r="24" spans="1:20">
      <c r="A24" s="67"/>
      <c r="B24" s="146"/>
      <c r="C24" s="279" t="s">
        <v>251</v>
      </c>
      <c r="D24" s="345">
        <v>8792</v>
      </c>
      <c r="E24" s="1463">
        <f>'2nd Interim-Unrestricted MYP'!E24+'2nd Interim-Restricted MYP'!E24</f>
        <v>497550</v>
      </c>
      <c r="F24" s="1463">
        <f>'2nd Interim-Unrestricted MYP'!F24+'2nd Interim-Restricted MYP'!F24</f>
        <v>0</v>
      </c>
      <c r="G24" s="1463">
        <f>'2nd Interim-Unrestricted MYP'!G24+'2nd Interim-Restricted MYP'!G24</f>
        <v>0</v>
      </c>
      <c r="H24" s="1472">
        <f>'2nd Interim-Unrestricted MYP'!H24+'2nd Interim-Restricted MYP'!H24</f>
        <v>0</v>
      </c>
      <c r="I24" s="1358" t="str">
        <f>IF(E24&lt;1," ",IF(H24&lt;1," ",(H24-E24)/E24))</f>
        <v xml:space="preserve"> </v>
      </c>
      <c r="J24" s="1185">
        <f>'2nd Interim-Unrestricted MYP'!J24+'2nd Interim-Restricted MYP'!J24</f>
        <v>0</v>
      </c>
      <c r="K24" s="1358" t="str">
        <f>IF(H24&lt;1," ",IF(J24&lt;1," ",(J24-H24)/H24))</f>
        <v xml:space="preserve"> </v>
      </c>
      <c r="L24" s="1193">
        <f>'2nd Interim-Unrestricted MYP'!L24+'2nd Interim-Restricted MYP'!L24</f>
        <v>0</v>
      </c>
      <c r="M24" s="1359" t="str">
        <f>IF(J24&lt;1," ",IF(L24&lt;1," ",(L24-J24)/J24))</f>
        <v xml:space="preserve"> </v>
      </c>
      <c r="N24" s="1538"/>
      <c r="O24" s="1215"/>
      <c r="P24" s="1215"/>
      <c r="Q24" s="1215"/>
      <c r="R24" s="1215"/>
      <c r="S24" s="1215"/>
      <c r="T24" s="1215"/>
    </row>
    <row r="25" spans="1:20" ht="16.5" thickBot="1">
      <c r="A25" s="67"/>
      <c r="B25" s="896"/>
      <c r="C25" s="929" t="s">
        <v>252</v>
      </c>
      <c r="D25" s="930" t="s">
        <v>253</v>
      </c>
      <c r="E25" s="1473">
        <f>'2nd Interim-Unrestricted MYP'!E25+'2nd Interim-Restricted MYP'!E25</f>
        <v>2007500</v>
      </c>
      <c r="F25" s="1194">
        <f>'2nd Interim-Unrestricted MYP'!F25+'2nd Interim-Restricted MYP'!F25</f>
        <v>2012869</v>
      </c>
      <c r="G25" s="1474">
        <f>'2nd Interim-Unrestricted MYP'!G25+'2nd Interim-Restricted MYP'!G25</f>
        <v>2137768.84</v>
      </c>
      <c r="H25" s="1475">
        <f>'2nd Interim-Unrestricted MYP'!H25+'2nd Interim-Restricted MYP'!H25</f>
        <v>2148658</v>
      </c>
      <c r="I25" s="1476">
        <f>IF(E25&lt;1," ",IF(H25&lt;1," ",(H25-E25)/E25))</f>
        <v>7.031531755915317E-2</v>
      </c>
      <c r="J25" s="1473">
        <f>'2nd Interim-Unrestricted MYP'!J25+'2nd Interim-Restricted MYP'!J25</f>
        <v>51944.718399999663</v>
      </c>
      <c r="K25" s="1344">
        <f>IF(H25&lt;1," ",IF(J25&lt;1," ",(J25-H25)/H25))</f>
        <v>-0.97582457589807237</v>
      </c>
      <c r="L25" s="1473">
        <f>'2nd Interim-Unrestricted MYP'!L25+'2nd Interim-Restricted MYP'!L25</f>
        <v>53560.199142239646</v>
      </c>
      <c r="M25" s="1345">
        <f>IF(J25&lt;1," ",IF(L25&lt;1," ",(L25-J25)/J25))</f>
        <v>3.1099999999999867E-2</v>
      </c>
      <c r="N25" s="1538"/>
      <c r="O25" s="1215"/>
      <c r="P25" s="1215"/>
      <c r="Q25" s="1215"/>
      <c r="R25" s="1215"/>
      <c r="S25" s="1215"/>
      <c r="T25" s="1215"/>
    </row>
    <row r="26" spans="1:20" ht="17.25" thickTop="1" thickBot="1">
      <c r="A26" s="67"/>
      <c r="B26" s="909" t="s">
        <v>254</v>
      </c>
      <c r="C26" s="954"/>
      <c r="D26" s="928"/>
      <c r="E26" s="1477">
        <f>SUM(E13:E25)</f>
        <v>13926218.429643201</v>
      </c>
      <c r="F26" s="1477">
        <f>SUM(F13:F25)</f>
        <v>12557768.0383808</v>
      </c>
      <c r="G26" s="1477">
        <f>SUM(G13:G25)</f>
        <v>8192516.1100000003</v>
      </c>
      <c r="H26" s="1477">
        <f>SUM(H13:H25)</f>
        <v>13059430.002388</v>
      </c>
      <c r="I26" s="1478">
        <f>IF(E26&lt;1," ",IF(H26&lt;1," ",(H26-E26)/E26))</f>
        <v>-6.2241478663738574E-2</v>
      </c>
      <c r="J26" s="1477">
        <f>SUM(J13:J25)</f>
        <v>9242041.913511999</v>
      </c>
      <c r="K26" s="1478">
        <f>IF(H26&lt;1," ",IF(J26&lt;1," ",(J26-H26)/H26))</f>
        <v>-0.29230893600853697</v>
      </c>
      <c r="L26" s="1477">
        <f>SUM(L13:L25)</f>
        <v>9394125.4756360557</v>
      </c>
      <c r="M26" s="1479">
        <f>IF(J26&lt;1," ",IF(L26&lt;1," ",(L26-J26)/J26))</f>
        <v>1.6455623502605887E-2</v>
      </c>
      <c r="N26" s="1538"/>
      <c r="O26" s="1215"/>
      <c r="P26" s="1215"/>
      <c r="Q26" s="1215"/>
      <c r="R26" s="1215"/>
      <c r="S26" s="1215"/>
      <c r="T26" s="1215"/>
    </row>
    <row r="27" spans="1:20" ht="16.5" thickTop="1">
      <c r="A27" s="67"/>
      <c r="B27" s="1"/>
      <c r="C27" s="1"/>
      <c r="D27" s="1"/>
      <c r="E27" s="1175"/>
      <c r="F27" s="1175"/>
      <c r="G27" s="1175"/>
      <c r="H27" s="1480"/>
      <c r="I27" s="1481"/>
      <c r="J27" s="1480"/>
      <c r="K27" s="1481"/>
      <c r="L27" s="1480"/>
      <c r="M27" s="1482"/>
      <c r="N27" s="1539"/>
      <c r="O27" s="1215"/>
      <c r="P27" s="1215"/>
      <c r="Q27" s="1215"/>
      <c r="R27" s="1215"/>
      <c r="S27" s="1215"/>
      <c r="T27" s="1215"/>
    </row>
    <row r="28" spans="1:20">
      <c r="A28" s="1739" t="s">
        <v>255</v>
      </c>
      <c r="B28" s="1740"/>
      <c r="C28" s="1740"/>
      <c r="D28" s="154"/>
      <c r="E28" s="1483"/>
      <c r="F28" s="1483"/>
      <c r="G28" s="1483"/>
      <c r="H28" s="1484"/>
      <c r="I28" s="1485"/>
      <c r="J28" s="1484"/>
      <c r="K28" s="1485"/>
      <c r="L28" s="1484"/>
      <c r="M28" s="1486"/>
      <c r="N28" s="1539"/>
      <c r="O28" s="1215"/>
      <c r="P28" s="1215"/>
      <c r="Q28" s="1215"/>
      <c r="R28" s="1215"/>
      <c r="S28" s="1215"/>
      <c r="T28" s="1215"/>
    </row>
    <row r="29" spans="1:20">
      <c r="A29" s="67"/>
      <c r="B29" s="146" t="s">
        <v>256</v>
      </c>
      <c r="C29" s="279"/>
      <c r="D29" s="278" t="s">
        <v>257</v>
      </c>
      <c r="E29" s="1463">
        <f>'2nd Interim-Unrestricted MYP'!E29+'2nd Interim-Restricted MYP'!E29</f>
        <v>3107137.0799999996</v>
      </c>
      <c r="F29" s="1463">
        <f>'2nd Interim-Unrestricted MYP'!F29+'2nd Interim-Restricted MYP'!F29</f>
        <v>2912955.128</v>
      </c>
      <c r="G29" s="1463">
        <f>'2nd Interim-Unrestricted MYP'!G29+'2nd Interim-Restricted MYP'!G29</f>
        <v>1448426.6400000001</v>
      </c>
      <c r="H29" s="1472">
        <f>'2nd Interim-Unrestricted MYP'!H29+'2nd Interim-Restricted MYP'!H29</f>
        <v>2980706</v>
      </c>
      <c r="I29" s="1358">
        <f t="shared" ref="I29:I37" si="0">IF(E29&lt;1," ",IF(H29&lt;1," ",(H29-E29)/E29))</f>
        <v>-4.0690538185074093E-2</v>
      </c>
      <c r="J29" s="1193">
        <f>'2nd Interim-Unrestricted MYP'!J29+'2nd Interim-Restricted MYP'!J29</f>
        <v>2579694.4277389995</v>
      </c>
      <c r="K29" s="1358">
        <f t="shared" ref="K29:K37" si="1">IF(H29&lt;1," ",IF(J29&lt;1," ",(J29-H29)/H29))</f>
        <v>-0.13453576845921755</v>
      </c>
      <c r="L29" s="1193">
        <f>'2nd Interim-Unrestricted MYP'!L29+'2nd Interim-Restricted MYP'!L29</f>
        <v>2640575.21623364</v>
      </c>
      <c r="M29" s="1359">
        <f t="shared" ref="M29:M37" si="2">IF(J29&lt;1," ",IF(L29&lt;1," ",(L29-J29)/J29))</f>
        <v>2.3600000000000041E-2</v>
      </c>
      <c r="N29" s="1538"/>
      <c r="O29" s="1215"/>
      <c r="P29" s="1215"/>
      <c r="Q29" s="1215"/>
      <c r="R29" s="1215"/>
      <c r="S29" s="1215"/>
      <c r="T29" s="1215"/>
    </row>
    <row r="30" spans="1:20">
      <c r="A30" s="67"/>
      <c r="B30" s="146" t="s">
        <v>258</v>
      </c>
      <c r="C30" s="279"/>
      <c r="D30" s="278" t="s">
        <v>259</v>
      </c>
      <c r="E30" s="1463">
        <f>'2nd Interim-Unrestricted MYP'!E30+'2nd Interim-Restricted MYP'!E30</f>
        <v>2000593.7250000001</v>
      </c>
      <c r="F30" s="1463">
        <f>'2nd Interim-Unrestricted MYP'!F30+'2nd Interim-Restricted MYP'!F30</f>
        <v>2347300.4649999999</v>
      </c>
      <c r="G30" s="1463">
        <f>'2nd Interim-Unrestricted MYP'!G30+'2nd Interim-Restricted MYP'!G30</f>
        <v>1127836.3599999999</v>
      </c>
      <c r="H30" s="1472">
        <f>'2nd Interim-Unrestricted MYP'!H30+'2nd Interim-Restricted MYP'!H30</f>
        <v>2208254</v>
      </c>
      <c r="I30" s="1358">
        <f t="shared" si="0"/>
        <v>0.10379932337336502</v>
      </c>
      <c r="J30" s="1193">
        <f>'2nd Interim-Unrestricted MYP'!J30+'2nd Interim-Restricted MYP'!J30</f>
        <v>1296260.0697450007</v>
      </c>
      <c r="K30" s="1358">
        <f t="shared" si="1"/>
        <v>-0.41299322009832173</v>
      </c>
      <c r="L30" s="1193">
        <f>'2nd Interim-Unrestricted MYP'!L30+'2nd Interim-Restricted MYP'!L30</f>
        <v>1326851.8073909823</v>
      </c>
      <c r="M30" s="1359">
        <f t="shared" si="2"/>
        <v>2.359999999999968E-2</v>
      </c>
      <c r="N30" s="1538"/>
      <c r="O30" s="1215"/>
      <c r="P30" s="1215"/>
      <c r="Q30" s="1215"/>
      <c r="R30" s="1215"/>
      <c r="S30" s="1215"/>
      <c r="T30" s="1215"/>
    </row>
    <row r="31" spans="1:20">
      <c r="A31" s="67"/>
      <c r="B31" s="146" t="s">
        <v>260</v>
      </c>
      <c r="C31" s="279"/>
      <c r="D31" s="278" t="s">
        <v>261</v>
      </c>
      <c r="E31" s="1463">
        <f>'2nd Interim-Unrestricted MYP'!E31+'2nd Interim-Restricted MYP'!E31</f>
        <v>1932412.9765118002</v>
      </c>
      <c r="F31" s="1463">
        <f>'2nd Interim-Unrestricted MYP'!F31+'2nd Interim-Restricted MYP'!F31</f>
        <v>2107110.9999999995</v>
      </c>
      <c r="G31" s="1463">
        <f>'2nd Interim-Unrestricted MYP'!G31+'2nd Interim-Restricted MYP'!G31</f>
        <v>994211.7899999998</v>
      </c>
      <c r="H31" s="1472">
        <f>'2nd Interim-Unrestricted MYP'!H31+'2nd Interim-Restricted MYP'!H31</f>
        <v>2012132</v>
      </c>
      <c r="I31" s="1358">
        <f t="shared" si="0"/>
        <v>4.1253616311405991E-2</v>
      </c>
      <c r="J31" s="1193">
        <f>'2nd Interim-Unrestricted MYP'!J31+'2nd Interim-Restricted MYP'!J31</f>
        <v>1459953</v>
      </c>
      <c r="K31" s="1358">
        <f t="shared" si="1"/>
        <v>-0.27442483892706843</v>
      </c>
      <c r="L31" s="1193">
        <f>'2nd Interim-Unrestricted MYP'!L31+'2nd Interim-Restricted MYP'!L31</f>
        <v>1494408</v>
      </c>
      <c r="M31" s="1359">
        <f t="shared" si="2"/>
        <v>2.3600074796928393E-2</v>
      </c>
      <c r="N31" s="1538"/>
      <c r="O31" s="1215"/>
      <c r="P31" s="1215"/>
      <c r="Q31" s="1215"/>
      <c r="R31" s="1215"/>
      <c r="S31" s="1215"/>
      <c r="T31" s="1215"/>
    </row>
    <row r="32" spans="1:20">
      <c r="A32" s="67"/>
      <c r="B32" s="146" t="s">
        <v>262</v>
      </c>
      <c r="C32" s="279"/>
      <c r="D32" s="278" t="s">
        <v>263</v>
      </c>
      <c r="E32" s="1463">
        <f>'2nd Interim-Unrestricted MYP'!E32+'2nd Interim-Restricted MYP'!E32</f>
        <v>741252.35</v>
      </c>
      <c r="F32" s="1463">
        <f>'2nd Interim-Unrestricted MYP'!F32+'2nd Interim-Restricted MYP'!F32</f>
        <v>741149.85</v>
      </c>
      <c r="G32" s="1463">
        <f>'2nd Interim-Unrestricted MYP'!G32+'2nd Interim-Restricted MYP'!G32</f>
        <v>599175.17000000004</v>
      </c>
      <c r="H32" s="1472">
        <f>'2nd Interim-Unrestricted MYP'!H32+'2nd Interim-Restricted MYP'!H32</f>
        <v>772825</v>
      </c>
      <c r="I32" s="1358">
        <f t="shared" si="0"/>
        <v>4.2593659230894886E-2</v>
      </c>
      <c r="J32" s="1193">
        <f>'2nd Interim-Unrestricted MYP'!J32+'2nd Interim-Restricted MYP'!J32</f>
        <v>594039.15320000006</v>
      </c>
      <c r="K32" s="1358">
        <f t="shared" si="1"/>
        <v>-0.23134066159868008</v>
      </c>
      <c r="L32" s="1193">
        <f>'2nd Interim-Unrestricted MYP'!L32+'2nd Interim-Restricted MYP'!L32</f>
        <v>428286.77626399993</v>
      </c>
      <c r="M32" s="1359">
        <f t="shared" si="2"/>
        <v>-0.2790260137620843</v>
      </c>
      <c r="N32" s="1538"/>
      <c r="O32" s="1215"/>
      <c r="P32" s="1215"/>
      <c r="Q32" s="1215"/>
      <c r="R32" s="1215"/>
      <c r="S32" s="1215"/>
      <c r="T32" s="1215"/>
    </row>
    <row r="33" spans="1:20">
      <c r="A33" s="67"/>
      <c r="B33" s="146" t="s">
        <v>264</v>
      </c>
      <c r="C33" s="279"/>
      <c r="D33" s="278" t="s">
        <v>265</v>
      </c>
      <c r="E33" s="1463">
        <f>'2nd Interim-Unrestricted MYP'!E33+'2nd Interim-Restricted MYP'!E33</f>
        <v>4365488.45</v>
      </c>
      <c r="F33" s="1463">
        <f>'2nd Interim-Unrestricted MYP'!F33+'2nd Interim-Restricted MYP'!F33</f>
        <v>4271314.0199999996</v>
      </c>
      <c r="G33" s="1463">
        <f>'2nd Interim-Unrestricted MYP'!G33+'2nd Interim-Restricted MYP'!G33</f>
        <v>2496641.0100000002</v>
      </c>
      <c r="H33" s="1472">
        <f>'2nd Interim-Unrestricted MYP'!H33+'2nd Interim-Restricted MYP'!H33</f>
        <v>4377403</v>
      </c>
      <c r="I33" s="1358">
        <f t="shared" si="0"/>
        <v>2.7292593111773811E-3</v>
      </c>
      <c r="J33" s="1193">
        <f>'2nd Interim-Unrestricted MYP'!J33+'2nd Interim-Restricted MYP'!J33</f>
        <v>4138771.4781999998</v>
      </c>
      <c r="K33" s="1358">
        <f t="shared" si="1"/>
        <v>-5.4514405413438112E-2</v>
      </c>
      <c r="L33" s="1193">
        <f>'2nd Interim-Unrestricted MYP'!L33+'2nd Interim-Restricted MYP'!L33</f>
        <v>3333058.507764</v>
      </c>
      <c r="M33" s="1359">
        <f t="shared" si="2"/>
        <v>-0.1946744280712048</v>
      </c>
      <c r="N33" s="1538"/>
      <c r="O33" s="1215"/>
      <c r="P33" s="1215"/>
      <c r="Q33" s="1215"/>
      <c r="R33" s="1215"/>
      <c r="S33" s="1215"/>
      <c r="T33" s="1215"/>
    </row>
    <row r="34" spans="1:20">
      <c r="A34" s="67"/>
      <c r="B34" s="146" t="s">
        <v>266</v>
      </c>
      <c r="C34" s="279"/>
      <c r="D34" s="278" t="s">
        <v>267</v>
      </c>
      <c r="E34" s="1463">
        <f>'2nd Interim-Unrestricted MYP'!E34+'2nd Interim-Restricted MYP'!E34</f>
        <v>204240.28571428571</v>
      </c>
      <c r="F34" s="1463">
        <f>'2nd Interim-Unrestricted MYP'!F34+'2nd Interim-Restricted MYP'!F34</f>
        <v>204240.28571428571</v>
      </c>
      <c r="G34" s="1463">
        <f>'2nd Interim-Unrestricted MYP'!G34+'2nd Interim-Restricted MYP'!G34</f>
        <v>0</v>
      </c>
      <c r="H34" s="1472">
        <f>'2nd Interim-Unrestricted MYP'!H34+'2nd Interim-Restricted MYP'!H34</f>
        <v>204240</v>
      </c>
      <c r="I34" s="1358">
        <f t="shared" si="0"/>
        <v>-1.398912485413467E-6</v>
      </c>
      <c r="J34" s="1193">
        <f>'2nd Interim-Unrestricted MYP'!J34+'2nd Interim-Restricted MYP'!J34</f>
        <v>208325.09142857144</v>
      </c>
      <c r="K34" s="1358">
        <f t="shared" si="1"/>
        <v>2.0001426892731291E-2</v>
      </c>
      <c r="L34" s="1193">
        <f>'2nd Interim-Unrestricted MYP'!L34+'2nd Interim-Restricted MYP'!L34</f>
        <v>212491.59325714287</v>
      </c>
      <c r="M34" s="1359">
        <f t="shared" si="2"/>
        <v>2.0000000000000018E-2</v>
      </c>
      <c r="N34" s="1538"/>
      <c r="O34" s="1215"/>
      <c r="P34" s="1215"/>
      <c r="Q34" s="1215"/>
      <c r="R34" s="1215"/>
      <c r="S34" s="1215"/>
      <c r="T34" s="1215"/>
    </row>
    <row r="35" spans="1:20">
      <c r="A35" s="67"/>
      <c r="B35" s="146" t="s">
        <v>268</v>
      </c>
      <c r="C35" s="279"/>
      <c r="D35" s="278" t="s">
        <v>269</v>
      </c>
      <c r="E35" s="1463">
        <f>'2nd Interim-Unrestricted MYP'!E35+'2nd Interim-Restricted MYP'!E35</f>
        <v>0</v>
      </c>
      <c r="F35" s="1463">
        <f>'2nd Interim-Unrestricted MYP'!F35+'2nd Interim-Restricted MYP'!F35</f>
        <v>0</v>
      </c>
      <c r="G35" s="1463">
        <f>'2nd Interim-Unrestricted MYP'!G35+'2nd Interim-Restricted MYP'!G35</f>
        <v>0</v>
      </c>
      <c r="H35" s="1472">
        <f>'2nd Interim-Unrestricted MYP'!H35+'2nd Interim-Restricted MYP'!H35</f>
        <v>0</v>
      </c>
      <c r="I35" s="1358" t="str">
        <f t="shared" si="0"/>
        <v xml:space="preserve"> </v>
      </c>
      <c r="J35" s="1193">
        <f>'2nd Interim-Unrestricted MYP'!J35+'2nd Interim-Restricted MYP'!J35</f>
        <v>0</v>
      </c>
      <c r="K35" s="1358" t="str">
        <f t="shared" si="1"/>
        <v xml:space="preserve"> </v>
      </c>
      <c r="L35" s="1193">
        <f>'2nd Interim-Unrestricted MYP'!L35+'2nd Interim-Restricted MYP'!L35</f>
        <v>0</v>
      </c>
      <c r="M35" s="1359" t="str">
        <f t="shared" si="2"/>
        <v xml:space="preserve"> </v>
      </c>
      <c r="N35" s="1538"/>
      <c r="O35" s="1215"/>
      <c r="P35" s="1215"/>
      <c r="Q35" s="1215"/>
      <c r="R35" s="1215"/>
      <c r="S35" s="1215"/>
      <c r="T35" s="1215"/>
    </row>
    <row r="36" spans="1:20" ht="16.5" thickBot="1">
      <c r="A36" s="67"/>
      <c r="B36" s="896" t="s">
        <v>270</v>
      </c>
      <c r="C36" s="929"/>
      <c r="D36" s="626" t="s">
        <v>271</v>
      </c>
      <c r="E36" s="1474">
        <f>'2nd Interim-Unrestricted MYP'!E36+'2nd Interim-Restricted MYP'!E36</f>
        <v>52147</v>
      </c>
      <c r="F36" s="1474">
        <f>'2nd Interim-Unrestricted MYP'!F36+'2nd Interim-Restricted MYP'!F36</f>
        <v>52147.24</v>
      </c>
      <c r="G36" s="1474">
        <f>'2nd Interim-Unrestricted MYP'!G36+'2nd Interim-Restricted MYP'!G36</f>
        <v>0</v>
      </c>
      <c r="H36" s="1487">
        <f>'2nd Interim-Unrestricted MYP'!H36+'2nd Interim-Restricted MYP'!H36</f>
        <v>0</v>
      </c>
      <c r="I36" s="1344" t="str">
        <f t="shared" si="0"/>
        <v xml:space="preserve"> </v>
      </c>
      <c r="J36" s="1194">
        <f>'2nd Interim-Unrestricted MYP'!J36+'2nd Interim-Restricted MYP'!J36</f>
        <v>0</v>
      </c>
      <c r="K36" s="1344" t="str">
        <f t="shared" si="1"/>
        <v xml:space="preserve"> </v>
      </c>
      <c r="L36" s="1194">
        <f>'2nd Interim-Unrestricted MYP'!L36+'2nd Interim-Restricted MYP'!L36</f>
        <v>0</v>
      </c>
      <c r="M36" s="1345" t="str">
        <f t="shared" si="2"/>
        <v xml:space="preserve"> </v>
      </c>
      <c r="N36" s="1538"/>
      <c r="O36" s="1215"/>
      <c r="P36" s="1215"/>
      <c r="Q36" s="1215"/>
      <c r="R36" s="1215"/>
      <c r="S36" s="1215"/>
      <c r="T36" s="1215"/>
    </row>
    <row r="37" spans="1:20" ht="17.25" thickTop="1" thickBot="1">
      <c r="A37" s="67"/>
      <c r="B37" s="909" t="s">
        <v>272</v>
      </c>
      <c r="C37" s="954"/>
      <c r="D37" s="955"/>
      <c r="E37" s="1170">
        <f>SUM(E29:E36)</f>
        <v>12403271.867226085</v>
      </c>
      <c r="F37" s="1170">
        <f>SUM(F29:F36)</f>
        <v>12636217.988714285</v>
      </c>
      <c r="G37" s="1170">
        <f>SUM(G29:G36)</f>
        <v>6666290.9700000007</v>
      </c>
      <c r="H37" s="1170">
        <f>SUM(H29:H36)</f>
        <v>12555560</v>
      </c>
      <c r="I37" s="1478">
        <f t="shared" si="0"/>
        <v>1.2278061337695536E-2</v>
      </c>
      <c r="J37" s="1170">
        <f>SUM(J29:J36)</f>
        <v>10277043.220312573</v>
      </c>
      <c r="K37" s="1478">
        <f t="shared" si="1"/>
        <v>-0.18147472352387523</v>
      </c>
      <c r="L37" s="1170">
        <f>SUM(L29:L36)</f>
        <v>9435671.9009097647</v>
      </c>
      <c r="M37" s="1479">
        <f t="shared" si="2"/>
        <v>-8.1869006616595533E-2</v>
      </c>
      <c r="N37" s="1538"/>
      <c r="O37" s="1215"/>
      <c r="P37" s="1215"/>
      <c r="Q37" s="1215"/>
      <c r="R37" s="1215"/>
      <c r="S37" s="1215"/>
      <c r="T37" s="1215"/>
    </row>
    <row r="38" spans="1:20" ht="17.25" thickTop="1" thickBot="1">
      <c r="A38" s="67"/>
      <c r="B38" s="1"/>
      <c r="C38" s="1"/>
      <c r="D38" s="1488"/>
      <c r="E38" s="1489"/>
      <c r="F38" s="1489"/>
      <c r="G38" s="1489"/>
      <c r="H38" s="1489"/>
      <c r="I38" s="1490"/>
      <c r="J38" s="1489"/>
      <c r="K38" s="1490"/>
      <c r="L38" s="1489"/>
      <c r="M38" s="1491"/>
      <c r="N38" s="1537"/>
      <c r="O38" s="1215"/>
      <c r="P38" s="1215"/>
      <c r="Q38" s="1215"/>
      <c r="R38" s="1215"/>
      <c r="S38" s="1215"/>
      <c r="T38" s="1215"/>
    </row>
    <row r="39" spans="1:20" ht="17.25" thickTop="1" thickBot="1">
      <c r="A39" s="912" t="s">
        <v>273</v>
      </c>
      <c r="B39" s="913"/>
      <c r="C39" s="917"/>
      <c r="D39" s="918"/>
      <c r="E39" s="1492">
        <f>SUM(E26-E37)</f>
        <v>1522946.562417116</v>
      </c>
      <c r="F39" s="1492">
        <f>SUM(F26-F37)</f>
        <v>-78449.95033348538</v>
      </c>
      <c r="G39" s="1492">
        <f>SUM(G26-G37)</f>
        <v>1526225.1399999997</v>
      </c>
      <c r="H39" s="1492">
        <f>SUM(H26-H37)</f>
        <v>503870.00238800049</v>
      </c>
      <c r="I39" s="1493">
        <f>IF(E39&lt;1," ",IF(H39&lt;1," ",(H39-E39)/E39))</f>
        <v>-0.6691479433209444</v>
      </c>
      <c r="J39" s="1492">
        <f>SUM(J26-J37)</f>
        <v>-1035001.3068005741</v>
      </c>
      <c r="K39" s="1493" t="str">
        <f>IF(H39&lt;1," ",IF(J39&lt;1," ",(J39-H39)/H39))</f>
        <v xml:space="preserve"> </v>
      </c>
      <c r="L39" s="1492">
        <f>SUM(L26-L37)</f>
        <v>-41546.425273708999</v>
      </c>
      <c r="M39" s="1494" t="str">
        <f>IF(J39&lt;1," ",IF(L39&lt;1," ",(L39-J39)/J39))</f>
        <v xml:space="preserve"> </v>
      </c>
      <c r="N39" s="1538"/>
      <c r="O39" s="1215"/>
      <c r="P39" s="1215"/>
      <c r="Q39" s="1215"/>
      <c r="R39" s="1215"/>
      <c r="S39" s="1215"/>
      <c r="T39" s="1215"/>
    </row>
    <row r="40" spans="1:20" ht="16.5" thickTop="1">
      <c r="A40" s="67"/>
      <c r="B40" s="1"/>
      <c r="C40" s="1"/>
      <c r="D40" s="343"/>
      <c r="E40" s="1192"/>
      <c r="F40" s="1192"/>
      <c r="G40" s="1192"/>
      <c r="H40" s="1192"/>
      <c r="I40" s="1495"/>
      <c r="J40" s="1192"/>
      <c r="K40" s="1495"/>
      <c r="L40" s="1192"/>
      <c r="M40" s="1496"/>
      <c r="N40" s="1537"/>
      <c r="O40" s="1215"/>
      <c r="P40" s="1215"/>
      <c r="Q40" s="1215"/>
      <c r="R40" s="1215"/>
      <c r="S40" s="1215"/>
      <c r="T40" s="1215"/>
    </row>
    <row r="41" spans="1:20">
      <c r="A41" s="305" t="s">
        <v>274</v>
      </c>
      <c r="B41" s="1"/>
      <c r="C41" s="154"/>
      <c r="D41" s="344"/>
      <c r="E41" s="1483"/>
      <c r="F41" s="1483"/>
      <c r="G41" s="1483"/>
      <c r="H41" s="1483"/>
      <c r="I41" s="1497"/>
      <c r="J41" s="1483"/>
      <c r="K41" s="1497"/>
      <c r="L41" s="1483"/>
      <c r="M41" s="1498"/>
      <c r="N41" s="1537"/>
      <c r="O41" s="1215"/>
      <c r="P41" s="1215"/>
      <c r="Q41" s="1215"/>
      <c r="R41" s="1215"/>
      <c r="S41" s="1215"/>
      <c r="T41" s="1215"/>
    </row>
    <row r="42" spans="1:20">
      <c r="A42" s="67"/>
      <c r="B42" s="146" t="s">
        <v>275</v>
      </c>
      <c r="C42" s="279"/>
      <c r="D42" s="309">
        <v>8900</v>
      </c>
      <c r="E42" s="1193">
        <f>'2nd Interim-Unrestricted MYP'!E42+'2nd Interim-Restricted MYP'!E42</f>
        <v>0</v>
      </c>
      <c r="F42" s="1193">
        <f>'2nd Interim-Unrestricted MYP'!F42+'2nd Interim-Restricted MYP'!F42</f>
        <v>0</v>
      </c>
      <c r="G42" s="1193">
        <f>'2nd Interim-Unrestricted MYP'!G42+'2nd Interim-Restricted MYP'!G42</f>
        <v>0</v>
      </c>
      <c r="H42" s="1193">
        <f>'2nd Interim-Unrestricted MYP'!H42+'2nd Interim-Restricted MYP'!H42</f>
        <v>0</v>
      </c>
      <c r="I42" s="1358" t="str">
        <f>IF(E42&lt;1," ",IF(H42&lt;1," ",(H42-E42)/E42))</f>
        <v xml:space="preserve"> </v>
      </c>
      <c r="J42" s="1193">
        <f>'2nd Interim-Unrestricted MYP'!J42+'2nd Interim-Restricted MYP'!J42</f>
        <v>0</v>
      </c>
      <c r="K42" s="1358" t="str">
        <f>IF(H42&lt;1," ",IF(J42&lt;1," ",(J42-H42)/H42))</f>
        <v xml:space="preserve"> </v>
      </c>
      <c r="L42" s="1193">
        <f>'2nd Interim-Unrestricted MYP'!L42+'2nd Interim-Restricted MYP'!L42</f>
        <v>0</v>
      </c>
      <c r="M42" s="1359" t="str">
        <f>IF(J42&lt;1," ",IF(L42&lt;1," ",(L42-J42)/J42))</f>
        <v xml:space="preserve"> </v>
      </c>
      <c r="N42" s="1538"/>
      <c r="O42" s="1215"/>
      <c r="P42" s="1215"/>
      <c r="Q42" s="1215"/>
      <c r="R42" s="1215"/>
      <c r="S42" s="1215"/>
      <c r="T42" s="1215"/>
    </row>
    <row r="43" spans="1:20" ht="16.5" thickBot="1">
      <c r="A43" s="67"/>
      <c r="B43" s="896" t="s">
        <v>276</v>
      </c>
      <c r="C43" s="929"/>
      <c r="D43" s="925">
        <v>7600</v>
      </c>
      <c r="E43" s="1194">
        <f>'2nd Interim-Unrestricted MYP'!E43+'2nd Interim-Restricted MYP'!E43</f>
        <v>0</v>
      </c>
      <c r="F43" s="1194">
        <f>'2nd Interim-Unrestricted MYP'!F43+'2nd Interim-Restricted MYP'!F43</f>
        <v>0</v>
      </c>
      <c r="G43" s="1194">
        <f>'2nd Interim-Unrestricted MYP'!G43+'2nd Interim-Restricted MYP'!G43</f>
        <v>0</v>
      </c>
      <c r="H43" s="1194">
        <f>'2nd Interim-Unrestricted MYP'!H43+'2nd Interim-Restricted MYP'!H43</f>
        <v>0</v>
      </c>
      <c r="I43" s="1344" t="str">
        <f>IF(E43&lt;1," ",IF(H43&lt;1," ",(H43-E43)/E43))</f>
        <v xml:space="preserve"> </v>
      </c>
      <c r="J43" s="1194">
        <f>'2nd Interim-Unrestricted MYP'!J43+'2nd Interim-Restricted MYP'!J43</f>
        <v>0</v>
      </c>
      <c r="K43" s="1344" t="str">
        <f>IF(H43&lt;1," ",IF(J43&lt;1," ",(J43-H43)/H43))</f>
        <v xml:space="preserve"> </v>
      </c>
      <c r="L43" s="1194">
        <f>'2nd Interim-Unrestricted MYP'!L43+'2nd Interim-Restricted MYP'!L43</f>
        <v>0</v>
      </c>
      <c r="M43" s="1345" t="str">
        <f>IF(J43&lt;1," ",IF(L43&lt;1," ",(L43-J43)/J43))</f>
        <v xml:space="preserve"> </v>
      </c>
      <c r="N43" s="1538"/>
      <c r="O43" s="1215"/>
      <c r="P43" s="1215"/>
      <c r="Q43" s="1215"/>
      <c r="R43" s="1215"/>
      <c r="S43" s="1215"/>
      <c r="T43" s="1215"/>
    </row>
    <row r="44" spans="1:20" ht="17.25" thickTop="1" thickBot="1">
      <c r="A44" s="67"/>
      <c r="B44" s="909" t="s">
        <v>277</v>
      </c>
      <c r="C44" s="954"/>
      <c r="D44" s="955"/>
      <c r="E44" s="1170">
        <f>'2nd Interim-Unrestricted MYP'!E44+'2nd Interim-Restricted MYP'!E44</f>
        <v>0</v>
      </c>
      <c r="F44" s="1170">
        <f>F42-F43</f>
        <v>0</v>
      </c>
      <c r="G44" s="1170">
        <f>G42-G43</f>
        <v>0</v>
      </c>
      <c r="H44" s="1170">
        <f>H42-H43</f>
        <v>0</v>
      </c>
      <c r="I44" s="1478" t="str">
        <f>IF(E44&lt;1," ",IF(H44&lt;1," ",(H44-E44)/E44))</f>
        <v xml:space="preserve"> </v>
      </c>
      <c r="J44" s="1170">
        <f>J42-J43</f>
        <v>0</v>
      </c>
      <c r="K44" s="1478" t="str">
        <f>IF(H44&lt;1," ",IF(J44&lt;1," ",(J44-H44)/H44))</f>
        <v xml:space="preserve"> </v>
      </c>
      <c r="L44" s="1170">
        <f>L42-L43</f>
        <v>0</v>
      </c>
      <c r="M44" s="1479" t="str">
        <f>IF(J44&lt;1," ",IF(L44&lt;1," ",(L44-J44)/J44))</f>
        <v xml:space="preserve"> </v>
      </c>
      <c r="N44" s="1538"/>
      <c r="O44" s="1215"/>
      <c r="P44" s="1215"/>
      <c r="Q44" s="1215"/>
      <c r="R44" s="1215"/>
      <c r="S44" s="1215"/>
      <c r="T44" s="1215"/>
    </row>
    <row r="45" spans="1:20" ht="17.25" thickTop="1" thickBot="1">
      <c r="A45" s="67"/>
      <c r="B45" s="1"/>
      <c r="C45" s="1"/>
      <c r="D45" s="167"/>
      <c r="E45" s="1175"/>
      <c r="F45" s="1175"/>
      <c r="G45" s="1175"/>
      <c r="H45" s="1175"/>
      <c r="I45" s="1347"/>
      <c r="J45" s="1175"/>
      <c r="K45" s="1347"/>
      <c r="L45" s="1175"/>
      <c r="M45" s="1348"/>
      <c r="N45" s="1538"/>
      <c r="O45" s="1215"/>
      <c r="P45" s="1215"/>
      <c r="Q45" s="1215"/>
      <c r="R45" s="1215"/>
      <c r="S45" s="1215"/>
      <c r="T45" s="1215"/>
    </row>
    <row r="46" spans="1:20" ht="17.25" thickTop="1" thickBot="1">
      <c r="A46" s="912" t="s">
        <v>278</v>
      </c>
      <c r="B46" s="913"/>
      <c r="C46" s="917"/>
      <c r="D46" s="918"/>
      <c r="E46" s="1492">
        <f>E39+E44</f>
        <v>1522946.562417116</v>
      </c>
      <c r="F46" s="1492">
        <f>F39+F44</f>
        <v>-78449.95033348538</v>
      </c>
      <c r="G46" s="1492">
        <f>G39+G44</f>
        <v>1526225.1399999997</v>
      </c>
      <c r="H46" s="1492">
        <f>H39+H44</f>
        <v>503870.00238800049</v>
      </c>
      <c r="I46" s="1493">
        <f>IF(E46&lt;1," ",IF(H46&lt;1," ",(H46-E46)/E46))</f>
        <v>-0.6691479433209444</v>
      </c>
      <c r="J46" s="1492">
        <f>J39+J44</f>
        <v>-1035001.3068005741</v>
      </c>
      <c r="K46" s="1493" t="str">
        <f>IF(H46&lt;1," ",IF(J46&lt;1," ",(J46-H46)/H46))</f>
        <v xml:space="preserve"> </v>
      </c>
      <c r="L46" s="1492">
        <f>L39+L44</f>
        <v>-41546.425273708999</v>
      </c>
      <c r="M46" s="1494" t="str">
        <f>IF(J46&lt;1," ",IF(L46&lt;1," ",(L46-J46)/J46))</f>
        <v xml:space="preserve"> </v>
      </c>
      <c r="N46" s="1538"/>
      <c r="O46" s="1215"/>
      <c r="P46" s="1215"/>
      <c r="Q46" s="1215"/>
      <c r="R46" s="1215"/>
      <c r="S46" s="1215"/>
      <c r="T46" s="1215"/>
    </row>
    <row r="47" spans="1:20" ht="16.5" thickTop="1">
      <c r="A47" s="305"/>
      <c r="B47" s="1"/>
      <c r="C47" s="1"/>
      <c r="D47" s="167"/>
      <c r="E47" s="1175"/>
      <c r="F47" s="1175"/>
      <c r="G47" s="1175"/>
      <c r="H47" s="1175"/>
      <c r="I47" s="1499"/>
      <c r="J47" s="1175"/>
      <c r="K47" s="1499"/>
      <c r="L47" s="1175"/>
      <c r="M47" s="1500"/>
      <c r="N47" s="1537"/>
      <c r="O47" s="1215"/>
      <c r="P47" s="1215"/>
      <c r="Q47" s="1215"/>
      <c r="R47" s="1215"/>
      <c r="S47" s="1215"/>
      <c r="T47" s="1215"/>
    </row>
    <row r="48" spans="1:20">
      <c r="A48" s="305" t="s">
        <v>279</v>
      </c>
      <c r="B48" s="1"/>
      <c r="C48" s="154"/>
      <c r="D48" s="344"/>
      <c r="E48" s="1175"/>
      <c r="F48" s="1175"/>
      <c r="G48" s="1175"/>
      <c r="H48" s="1175"/>
      <c r="I48" s="1499"/>
      <c r="J48" s="1321"/>
      <c r="K48" s="1499"/>
      <c r="L48" s="1175"/>
      <c r="M48" s="1500"/>
      <c r="N48" s="1537"/>
      <c r="O48" s="1215"/>
      <c r="P48" s="1215"/>
      <c r="Q48" s="1215"/>
      <c r="R48" s="1215"/>
      <c r="S48" s="1215"/>
      <c r="T48" s="1215"/>
    </row>
    <row r="49" spans="1:39">
      <c r="A49" s="67"/>
      <c r="B49" s="292" t="s">
        <v>280</v>
      </c>
      <c r="C49" s="293"/>
      <c r="D49" s="294">
        <v>9791</v>
      </c>
      <c r="E49" s="1193">
        <f>'2nd Interim-Unrestricted MYP'!E49+'2nd Interim-Restricted MYP'!E49</f>
        <v>2088155.2500000005</v>
      </c>
      <c r="F49" s="1193">
        <f>'2nd Interim-Unrestricted MYP'!F49+'2nd Interim-Restricted MYP'!F49</f>
        <v>2088155.2500000005</v>
      </c>
      <c r="G49" s="1193">
        <f>'2nd Interim-Unrestricted MYP'!G49+'2nd Interim-Restricted MYP'!G49</f>
        <v>2088155.2500000005</v>
      </c>
      <c r="H49" s="1193">
        <f>'2nd Interim-Unrestricted MYP'!H49+'2nd Interim-Restricted MYP'!H49</f>
        <v>2088155.2500000005</v>
      </c>
      <c r="I49" s="1501">
        <f>IF(E49&lt;1," ",IF(H49&lt;1," ",(H49-E49)/E49))</f>
        <v>0</v>
      </c>
      <c r="J49" s="1502"/>
      <c r="K49" s="1503"/>
      <c r="L49" s="1504"/>
      <c r="M49" s="1505"/>
      <c r="N49" s="1537"/>
      <c r="O49" s="1215"/>
      <c r="P49" s="1215"/>
      <c r="Q49" s="1215"/>
      <c r="R49" s="1215"/>
      <c r="S49" s="1215"/>
      <c r="T49" s="1215"/>
    </row>
    <row r="50" spans="1:39">
      <c r="A50" s="67"/>
      <c r="B50" s="314" t="s">
        <v>281</v>
      </c>
      <c r="C50" s="315"/>
      <c r="D50" s="316">
        <v>9792</v>
      </c>
      <c r="E50" s="1506"/>
      <c r="F50" s="1193">
        <f>'2nd Interim-Unrestricted MYP'!F50+'2nd Interim-Restricted MYP'!F50</f>
        <v>37475.299999999988</v>
      </c>
      <c r="G50" s="1193">
        <f>'2nd Interim-Unrestricted MYP'!G50+'2nd Interim-Restricted MYP'!G50</f>
        <v>37475.299999999988</v>
      </c>
      <c r="H50" s="1193">
        <f>'2nd Interim-Unrestricted MYP'!H50+'2nd Interim-Restricted MYP'!H50</f>
        <v>37475.299999999988</v>
      </c>
      <c r="I50" s="1507"/>
      <c r="J50" s="1508"/>
      <c r="K50" s="1509"/>
      <c r="L50" s="1510"/>
      <c r="M50" s="1511"/>
      <c r="N50" s="1537"/>
      <c r="O50" s="1215"/>
      <c r="P50" s="1215"/>
      <c r="Q50" s="1215"/>
      <c r="R50" s="1215"/>
      <c r="S50" s="1215"/>
      <c r="T50" s="1215"/>
    </row>
    <row r="51" spans="1:39">
      <c r="A51" s="67"/>
      <c r="B51" s="314" t="str">
        <f>'Budget-Restricted MYP'!B51</f>
        <v xml:space="preserve">  Beg Fund Balance at Unaudited Actuals</v>
      </c>
      <c r="C51" s="315"/>
      <c r="D51" s="962"/>
      <c r="E51" s="1506"/>
      <c r="F51" s="1193">
        <f>'2nd Interim-Unrestricted MYP'!F51+'2nd Interim-Restricted MYP'!F51</f>
        <v>2125630.5500000003</v>
      </c>
      <c r="G51" s="1193">
        <f>'2nd Interim-Unrestricted MYP'!G51+'2nd Interim-Restricted MYP'!G51</f>
        <v>2125630.5500000003</v>
      </c>
      <c r="H51" s="1193">
        <f>'2nd Interim-Unrestricted MYP'!H51+'2nd Interim-Restricted MYP'!H51</f>
        <v>2125630.5500000003</v>
      </c>
      <c r="I51" s="1507" t="str">
        <f>IF(E51&lt;1," ",IF(H51&lt;1," ",(H51-E51)/E51))</f>
        <v xml:space="preserve"> </v>
      </c>
      <c r="J51" s="1508"/>
      <c r="K51" s="1509"/>
      <c r="L51" s="1510"/>
      <c r="M51" s="1511"/>
      <c r="N51" s="1537"/>
      <c r="O51" s="1215"/>
      <c r="P51" s="1215"/>
      <c r="Q51" s="1215"/>
      <c r="R51" s="1215"/>
      <c r="S51" s="1215"/>
      <c r="T51" s="1215"/>
    </row>
    <row r="52" spans="1:39">
      <c r="A52" s="67"/>
      <c r="B52" s="314" t="s">
        <v>283</v>
      </c>
      <c r="C52" s="315"/>
      <c r="D52" s="316">
        <v>9793</v>
      </c>
      <c r="E52" s="1506"/>
      <c r="F52" s="1193">
        <f>'2nd Interim-Unrestricted MYP'!F52+'2nd Interim-Restricted MYP'!F52</f>
        <v>0</v>
      </c>
      <c r="G52" s="1193">
        <f>'2nd Interim-Unrestricted MYP'!G52+'2nd Interim-Restricted MYP'!G52</f>
        <v>-211835</v>
      </c>
      <c r="H52" s="1193">
        <f>'2nd Interim-Unrestricted MYP'!H52+'2nd Interim-Restricted MYP'!H52</f>
        <v>-211835</v>
      </c>
      <c r="I52" s="1507"/>
      <c r="J52" s="1512"/>
      <c r="K52" s="1509"/>
      <c r="L52" s="1510"/>
      <c r="M52" s="1511"/>
      <c r="N52" s="1537"/>
      <c r="O52" s="1215"/>
      <c r="P52" s="1215"/>
      <c r="Q52" s="1215"/>
      <c r="R52" s="1215"/>
      <c r="S52" s="1215"/>
      <c r="T52" s="1215"/>
    </row>
    <row r="53" spans="1:39">
      <c r="A53" s="67"/>
      <c r="B53" s="314" t="s">
        <v>284</v>
      </c>
      <c r="C53" s="315"/>
      <c r="D53" s="316">
        <v>9795</v>
      </c>
      <c r="E53" s="1506"/>
      <c r="F53" s="1193">
        <f>'2nd Interim-Unrestricted MYP'!F53+'2nd Interim-Restricted MYP'!F53</f>
        <v>0</v>
      </c>
      <c r="G53" s="1193">
        <f>'2nd Interim-Unrestricted MYP'!G53+'2nd Interim-Restricted MYP'!G53</f>
        <v>-2</v>
      </c>
      <c r="H53" s="1193">
        <f>'2nd Interim-Unrestricted MYP'!H53+'2nd Interim-Restricted MYP'!H53</f>
        <v>-2</v>
      </c>
      <c r="I53" s="1507"/>
      <c r="J53" s="1513"/>
      <c r="K53" s="1514"/>
      <c r="L53" s="1515"/>
      <c r="M53" s="1516"/>
      <c r="N53" s="1537"/>
      <c r="O53" s="1215"/>
      <c r="P53" s="1215"/>
      <c r="Q53" s="1215"/>
      <c r="R53" s="1215"/>
      <c r="S53" s="1215"/>
      <c r="T53" s="1215"/>
    </row>
    <row r="54" spans="1:39" ht="16.5" thickBot="1">
      <c r="A54" s="67"/>
      <c r="B54" s="907" t="str">
        <f>'Budget-Restricted MYP'!B54</f>
        <v xml:space="preserve">  Beginning Fund Balance as per Audit Report +/- Restatements</v>
      </c>
      <c r="C54" s="501"/>
      <c r="D54" s="908"/>
      <c r="E54" s="1194">
        <f>'2nd Interim-Unrestricted MYP'!E54+'2nd Interim-Restricted MYP'!E54</f>
        <v>0</v>
      </c>
      <c r="F54" s="1194">
        <f>'2nd Interim-Unrestricted MYP'!F54+'2nd Interim-Restricted MYP'!F54</f>
        <v>2125630.5500000003</v>
      </c>
      <c r="G54" s="1194">
        <f>'2nd Interim-Unrestricted MYP'!G54+'2nd Interim-Restricted MYP'!G54</f>
        <v>1913793.5500000005</v>
      </c>
      <c r="H54" s="1194">
        <f>'2nd Interim-Unrestricted MYP'!H54+'2nd Interim-Restricted MYP'!H54</f>
        <v>1913793.5500000005</v>
      </c>
      <c r="I54" s="1517" t="str">
        <f>IF(E54&lt;1," ",IF(H54&lt;1," ",(H54-E54)/E54))</f>
        <v xml:space="preserve"> </v>
      </c>
      <c r="J54" s="1518">
        <f>H55</f>
        <v>2417663</v>
      </c>
      <c r="K54" s="1519"/>
      <c r="L54" s="1520">
        <f>J55</f>
        <v>1382661.6931994259</v>
      </c>
      <c r="M54" s="1521">
        <f>IF(J54&lt;1," ",IF(L54&lt;1," ",(L54-J54)/J54))</f>
        <v>-0.42809990755559152</v>
      </c>
      <c r="N54" s="1537"/>
      <c r="O54" s="1215"/>
      <c r="P54" s="1216"/>
      <c r="Q54" s="3"/>
      <c r="R54" s="3"/>
      <c r="S54" s="3"/>
      <c r="T54" s="3"/>
      <c r="U54" s="1"/>
      <c r="V54" s="1"/>
      <c r="W54" s="1"/>
      <c r="X54" s="1"/>
      <c r="Y54" s="1"/>
      <c r="Z54" s="1"/>
      <c r="AA54" s="1"/>
      <c r="AB54" s="1"/>
      <c r="AC54" s="1"/>
      <c r="AD54" s="1"/>
      <c r="AE54" s="1"/>
      <c r="AF54" s="1"/>
      <c r="AG54" s="1"/>
      <c r="AH54" s="1"/>
      <c r="AI54" s="1"/>
      <c r="AJ54" s="1"/>
      <c r="AK54" s="1"/>
      <c r="AL54" s="1"/>
      <c r="AM54" s="1"/>
    </row>
    <row r="55" spans="1:39" ht="17.25" thickTop="1" thickBot="1">
      <c r="A55" s="67"/>
      <c r="B55" s="909" t="s">
        <v>286</v>
      </c>
      <c r="C55" s="910"/>
      <c r="D55" s="911">
        <v>9790</v>
      </c>
      <c r="E55" s="1170">
        <f>'2nd Interim-Unrestricted MYP'!E55+'2nd Interim-Restricted MYP'!E55</f>
        <v>3611101.8078057151</v>
      </c>
      <c r="F55" s="1170">
        <f>'2nd Interim-Unrestricted MYP'!F55+'2nd Interim-Restricted MYP'!F55</f>
        <v>2047180</v>
      </c>
      <c r="G55" s="1170">
        <f>'2nd Interim-Unrestricted MYP'!G55+'2nd Interim-Restricted MYP'!G55</f>
        <v>3440019</v>
      </c>
      <c r="H55" s="1170">
        <f>'2nd Interim-Unrestricted MYP'!H55+'2nd Interim-Restricted MYP'!H55</f>
        <v>2417663</v>
      </c>
      <c r="I55" s="1522">
        <f>IF(E55&lt;1," ",IF(H55&lt;1," ",(H55-E55)/E55))</f>
        <v>-0.33049159822245716</v>
      </c>
      <c r="J55" s="1170">
        <f>J54+J46</f>
        <v>1382661.6931994259</v>
      </c>
      <c r="K55" s="1522">
        <f>IF(H55&lt;1," ",IF(J55&lt;1," ",(J55-H55)/H55))</f>
        <v>-0.42809990755559152</v>
      </c>
      <c r="L55" s="1170">
        <f>L46+L54</f>
        <v>1341115.2679257169</v>
      </c>
      <c r="M55" s="1523">
        <f>IF(J55&lt;1," ",IF(L55&lt;1," ",(L55-J55)/J55))</f>
        <v>-3.0048149506168909E-2</v>
      </c>
      <c r="N55" s="1537"/>
      <c r="O55" s="1215"/>
      <c r="P55" s="1215"/>
      <c r="Q55" s="1215"/>
      <c r="R55" s="1215"/>
      <c r="S55" s="1215"/>
      <c r="T55" s="1215"/>
    </row>
    <row r="56" spans="1:39" ht="16.5" thickTop="1">
      <c r="A56" s="67"/>
      <c r="B56" s="1"/>
      <c r="C56" s="1"/>
      <c r="D56" s="167"/>
      <c r="E56" s="1524"/>
      <c r="F56" s="1524"/>
      <c r="G56" s="1524"/>
      <c r="H56" s="1524"/>
      <c r="I56" s="1347"/>
      <c r="J56" s="1524"/>
      <c r="K56" s="1347"/>
      <c r="L56" s="1524"/>
      <c r="M56" s="1348"/>
      <c r="N56" s="1538"/>
      <c r="O56" s="1215"/>
      <c r="P56" s="1215"/>
      <c r="Q56" s="1215"/>
      <c r="R56" s="1215"/>
      <c r="S56" s="1215"/>
      <c r="T56" s="1215"/>
    </row>
    <row r="57" spans="1:39">
      <c r="A57" s="323" t="s">
        <v>287</v>
      </c>
      <c r="B57"/>
      <c r="C57" s="98"/>
      <c r="D57" s="554" t="s">
        <v>103</v>
      </c>
      <c r="E57" s="1525"/>
      <c r="F57" s="1175"/>
      <c r="G57" s="1175"/>
      <c r="H57" s="1175"/>
      <c r="I57" s="1347"/>
      <c r="J57" s="1175"/>
      <c r="K57" s="1347"/>
      <c r="L57" s="1175"/>
      <c r="M57" s="1348"/>
      <c r="N57" s="1538"/>
      <c r="O57" s="1215"/>
      <c r="P57" s="1215"/>
      <c r="Q57" s="1215"/>
      <c r="R57" s="1215"/>
      <c r="S57" s="1215"/>
      <c r="T57" s="1215"/>
    </row>
    <row r="58" spans="1:39">
      <c r="A58" s="67"/>
      <c r="B58" s="507" t="s">
        <v>288</v>
      </c>
      <c r="C58" s="508" t="s">
        <v>289</v>
      </c>
      <c r="D58" s="353"/>
      <c r="E58" s="1526"/>
      <c r="F58" s="1526"/>
      <c r="G58" s="1526"/>
      <c r="H58" s="1526"/>
      <c r="I58" s="1527"/>
      <c r="J58" s="1526"/>
      <c r="K58" s="1527"/>
      <c r="L58" s="1526"/>
      <c r="M58" s="1528"/>
      <c r="N58" s="1537"/>
      <c r="O58" s="1215"/>
      <c r="P58" s="1215"/>
      <c r="Q58" s="1215"/>
      <c r="R58" s="1215"/>
      <c r="S58" s="1215"/>
      <c r="T58" s="1215"/>
    </row>
    <row r="59" spans="1:39">
      <c r="A59" s="67"/>
      <c r="B59" s="1620"/>
      <c r="C59" s="348" t="s">
        <v>290</v>
      </c>
      <c r="D59" s="288">
        <v>9711</v>
      </c>
      <c r="E59" s="1193">
        <f>'2nd Interim-Unrestricted MYP'!E59+'2nd Interim-Restricted MYP'!E59</f>
        <v>0</v>
      </c>
      <c r="F59" s="1193">
        <f>'2nd Interim-Unrestricted MYP'!F59+'2nd Interim-Restricted MYP'!F59</f>
        <v>0</v>
      </c>
      <c r="G59" s="1193">
        <f>'2nd Interim-Unrestricted MYP'!G59+'2nd Interim-Restricted MYP'!G59</f>
        <v>0</v>
      </c>
      <c r="H59" s="1193">
        <f>'2nd Interim-Unrestricted MYP'!H59+'2nd Interim-Restricted MYP'!H59</f>
        <v>0</v>
      </c>
      <c r="I59" s="1358" t="str">
        <f>IF(E59&lt;1," ",IF(H59&lt;1," ",(H59-E59)/E59))</f>
        <v xml:space="preserve"> </v>
      </c>
      <c r="J59" s="1193">
        <f>'2nd Interim-Unrestricted MYP'!J59+'2nd Interim-Restricted MYP'!J59</f>
        <v>0</v>
      </c>
      <c r="K59" s="1358" t="str">
        <f>IF(H59&lt;1," ",IF(J59&lt;1," ",(J59-H59)/H59))</f>
        <v xml:space="preserve"> </v>
      </c>
      <c r="L59" s="1193">
        <f>'2nd Interim-Unrestricted MYP'!L59+'2nd Interim-Restricted MYP'!L59</f>
        <v>0</v>
      </c>
      <c r="M59" s="1359" t="str">
        <f>IF(J59&lt;1," ",IF(L59&lt;1," ",(L59-J59)/J59))</f>
        <v xml:space="preserve"> </v>
      </c>
      <c r="N59" s="1538"/>
      <c r="O59" s="1215"/>
      <c r="P59" s="1215"/>
      <c r="Q59" s="1215"/>
      <c r="R59" s="1215"/>
      <c r="S59" s="1215"/>
      <c r="T59" s="1215"/>
    </row>
    <row r="60" spans="1:39">
      <c r="A60" s="67"/>
      <c r="B60" s="347"/>
      <c r="C60" s="348" t="s">
        <v>291</v>
      </c>
      <c r="D60" s="288">
        <v>9712</v>
      </c>
      <c r="E60" s="1193">
        <f>'2nd Interim-Unrestricted MYP'!E60+'2nd Interim-Restricted MYP'!E60</f>
        <v>0</v>
      </c>
      <c r="F60" s="1193">
        <f>'2nd Interim-Unrestricted MYP'!F60+'2nd Interim-Restricted MYP'!F60</f>
        <v>0</v>
      </c>
      <c r="G60" s="1193">
        <f>'2nd Interim-Unrestricted MYP'!G60+'2nd Interim-Restricted MYP'!G60</f>
        <v>0</v>
      </c>
      <c r="H60" s="1193">
        <f>'2nd Interim-Unrestricted MYP'!H60+'2nd Interim-Restricted MYP'!H60</f>
        <v>0</v>
      </c>
      <c r="I60" s="1358" t="str">
        <f>IF(E60&lt;1," ",IF(H60&lt;1," ",(H60-E60)/E60))</f>
        <v xml:space="preserve"> </v>
      </c>
      <c r="J60" s="1193">
        <f>'2nd Interim-Unrestricted MYP'!J60+'2nd Interim-Restricted MYP'!J60</f>
        <v>0</v>
      </c>
      <c r="K60" s="1358" t="str">
        <f>IF(H60&lt;1," ",IF(J60&lt;1," ",(J60-H60)/H60))</f>
        <v xml:space="preserve"> </v>
      </c>
      <c r="L60" s="1193">
        <f>'2nd Interim-Unrestricted MYP'!L60+'2nd Interim-Restricted MYP'!L60</f>
        <v>0</v>
      </c>
      <c r="M60" s="1359" t="str">
        <f>IF(J60&lt;1," ",IF(L60&lt;1," ",(L60-J60)/J60))</f>
        <v xml:space="preserve"> </v>
      </c>
      <c r="N60" s="1538"/>
      <c r="O60" s="1215"/>
      <c r="P60" s="1215"/>
      <c r="Q60" s="1215"/>
      <c r="R60" s="1215"/>
      <c r="S60" s="1215"/>
      <c r="T60" s="1215"/>
    </row>
    <row r="61" spans="1:39" ht="16.5" customHeight="1">
      <c r="A61" s="67"/>
      <c r="B61" s="347"/>
      <c r="C61" s="348" t="s">
        <v>292</v>
      </c>
      <c r="D61" s="288">
        <v>9713</v>
      </c>
      <c r="E61" s="1193">
        <f>'2nd Interim-Unrestricted MYP'!E61+'2nd Interim-Restricted MYP'!E61</f>
        <v>0</v>
      </c>
      <c r="F61" s="1193">
        <f>'2nd Interim-Unrestricted MYP'!F61+'2nd Interim-Restricted MYP'!F61</f>
        <v>0</v>
      </c>
      <c r="G61" s="1193">
        <f>'2nd Interim-Unrestricted MYP'!G61+'2nd Interim-Restricted MYP'!G61</f>
        <v>0</v>
      </c>
      <c r="H61" s="1193">
        <f>'2nd Interim-Unrestricted MYP'!H61+'2nd Interim-Restricted MYP'!H61</f>
        <v>0</v>
      </c>
      <c r="I61" s="1358" t="str">
        <f>IF(E61&lt;1," ",IF(H61&lt;1," ",(H61-E61)/E61))</f>
        <v xml:space="preserve"> </v>
      </c>
      <c r="J61" s="1193">
        <f>'2nd Interim-Unrestricted MYP'!J61+'2nd Interim-Restricted MYP'!J61</f>
        <v>0</v>
      </c>
      <c r="K61" s="1358" t="str">
        <f>IF(H61&lt;1," ",IF(J61&lt;1," ",(J61-H61)/H61))</f>
        <v xml:space="preserve"> </v>
      </c>
      <c r="L61" s="1193">
        <f>'2nd Interim-Unrestricted MYP'!L61+'2nd Interim-Restricted MYP'!L61</f>
        <v>0</v>
      </c>
      <c r="M61" s="1359" t="str">
        <f>IF(J61&lt;1," ",IF(L61&lt;1," ",(L61-J61)/J61))</f>
        <v xml:space="preserve"> </v>
      </c>
      <c r="N61" s="1538"/>
      <c r="O61" s="1215"/>
      <c r="P61" s="1215"/>
      <c r="Q61" s="1215"/>
      <c r="R61" s="1215"/>
      <c r="S61" s="1215"/>
      <c r="T61" s="1215"/>
    </row>
    <row r="62" spans="1:39">
      <c r="A62" s="67"/>
      <c r="B62" s="347"/>
      <c r="C62" s="348" t="s">
        <v>293</v>
      </c>
      <c r="D62" s="288">
        <v>9719</v>
      </c>
      <c r="E62" s="1193">
        <f>'2nd Interim-Unrestricted MYP'!E62+'2nd Interim-Restricted MYP'!E62</f>
        <v>0</v>
      </c>
      <c r="F62" s="1193">
        <f>'2nd Interim-Unrestricted MYP'!F62+'2nd Interim-Restricted MYP'!F62</f>
        <v>0</v>
      </c>
      <c r="G62" s="1193">
        <f>'2nd Interim-Unrestricted MYP'!G62+'2nd Interim-Restricted MYP'!G62</f>
        <v>0</v>
      </c>
      <c r="H62" s="1193">
        <f>'2nd Interim-Unrestricted MYP'!H62+'2nd Interim-Restricted MYP'!H62</f>
        <v>0</v>
      </c>
      <c r="I62" s="1358" t="str">
        <f>IF(E62&lt;1," ",IF(H62&lt;1," ",(H62-E62)/E62))</f>
        <v xml:space="preserve"> </v>
      </c>
      <c r="J62" s="1193">
        <f>'2nd Interim-Unrestricted MYP'!J62+'2nd Interim-Restricted MYP'!J62</f>
        <v>0</v>
      </c>
      <c r="K62" s="1358" t="str">
        <f>IF(H62&lt;1," ",IF(J62&lt;1," ",(J62-H62)/H62))</f>
        <v xml:space="preserve"> </v>
      </c>
      <c r="L62" s="1193">
        <f>'2nd Interim-Unrestricted MYP'!L62+'2nd Interim-Restricted MYP'!L62</f>
        <v>0</v>
      </c>
      <c r="M62" s="1359" t="str">
        <f>IF(J62&lt;1," ",IF(L62&lt;1," ",(L62-J62)/J62))</f>
        <v xml:space="preserve"> </v>
      </c>
      <c r="N62" s="1538"/>
      <c r="O62" s="1215"/>
      <c r="P62" s="1215"/>
      <c r="Q62" s="1215"/>
      <c r="R62" s="1215"/>
      <c r="S62" s="1215"/>
      <c r="T62" s="1215"/>
    </row>
    <row r="63" spans="1:39">
      <c r="A63" s="67"/>
      <c r="B63" s="347" t="s">
        <v>294</v>
      </c>
      <c r="C63" s="349" t="s">
        <v>295</v>
      </c>
      <c r="D63" s="288">
        <v>9740</v>
      </c>
      <c r="E63" s="1193">
        <f>'2nd Interim-Unrestricted MYP'!E63+'2nd Interim-Restricted MYP'!E63</f>
        <v>0</v>
      </c>
      <c r="F63" s="1193">
        <f>'2nd Interim-Unrestricted MYP'!F63+'2nd Interim-Restricted MYP'!F63</f>
        <v>734169</v>
      </c>
      <c r="G63" s="1193">
        <f>'2nd Interim-Unrestricted MYP'!G63+'2nd Interim-Restricted MYP'!G63</f>
        <v>0</v>
      </c>
      <c r="H63" s="1193">
        <f>'2nd Interim-Unrestricted MYP'!H63+'2nd Interim-Restricted MYP'!H63</f>
        <v>352178</v>
      </c>
      <c r="I63" s="1358" t="str">
        <f>IF(E63&lt;1," ",IF(H63&lt;1," ",(H63-E63)/E63))</f>
        <v xml:space="preserve"> </v>
      </c>
      <c r="J63" s="1193">
        <f>'2nd Interim-Unrestricted MYP'!J63+'2nd Interim-Restricted MYP'!J63</f>
        <v>0</v>
      </c>
      <c r="K63" s="1358" t="str">
        <f>IF(H63&lt;1," ",IF(J63&lt;1," ",(J63-H63)/H63))</f>
        <v xml:space="preserve"> </v>
      </c>
      <c r="L63" s="1193">
        <f>'2nd Interim-Unrestricted MYP'!L63+'2nd Interim-Restricted MYP'!L63</f>
        <v>0</v>
      </c>
      <c r="M63" s="1359" t="str">
        <f>IF(J63&lt;1," ",IF(L63&lt;1," ",(L63-J63)/J63))</f>
        <v xml:space="preserve"> </v>
      </c>
      <c r="N63" s="1538"/>
      <c r="O63" s="1215"/>
      <c r="P63" s="1215"/>
      <c r="Q63" s="1215"/>
      <c r="R63" s="1215"/>
      <c r="S63" s="1215"/>
      <c r="T63" s="1215"/>
    </row>
    <row r="64" spans="1:39">
      <c r="A64" s="67"/>
      <c r="B64" s="347" t="s">
        <v>296</v>
      </c>
      <c r="C64" s="352" t="s">
        <v>297</v>
      </c>
      <c r="D64" s="986"/>
      <c r="E64" s="1202"/>
      <c r="F64" s="1202"/>
      <c r="G64" s="1202"/>
      <c r="H64" s="1202"/>
      <c r="I64" s="1529"/>
      <c r="J64" s="1202"/>
      <c r="K64" s="1529"/>
      <c r="L64" s="876"/>
      <c r="M64" s="862"/>
      <c r="N64" s="1540"/>
      <c r="O64" s="1215"/>
      <c r="P64" s="1215"/>
      <c r="Q64" s="1215"/>
      <c r="R64" s="1215"/>
      <c r="S64" s="1215"/>
      <c r="T64" s="1215"/>
    </row>
    <row r="65" spans="1:21">
      <c r="A65" s="67"/>
      <c r="B65" s="347"/>
      <c r="C65" s="348" t="s">
        <v>298</v>
      </c>
      <c r="D65" s="289">
        <v>9750</v>
      </c>
      <c r="E65" s="1193">
        <f>'2nd Interim-Unrestricted MYP'!E65+'2nd Interim-Restricted MYP'!E65</f>
        <v>0</v>
      </c>
      <c r="F65" s="1193">
        <f>'2nd Interim-Unrestricted MYP'!F65+'2nd Interim-Restricted MYP'!F65</f>
        <v>0</v>
      </c>
      <c r="G65" s="1193">
        <f>'2nd Interim-Unrestricted MYP'!G65+'2nd Interim-Restricted MYP'!G65</f>
        <v>0</v>
      </c>
      <c r="H65" s="1193">
        <f>'2nd Interim-Unrestricted MYP'!H65+'2nd Interim-Restricted MYP'!H65</f>
        <v>0</v>
      </c>
      <c r="I65" s="1358" t="str">
        <f>IF(E65&lt;1," ",IF(H65&lt;1," ",(H65-E65)/E65))</f>
        <v xml:space="preserve"> </v>
      </c>
      <c r="J65" s="1193">
        <f>'2nd Interim-Unrestricted MYP'!J65+'2nd Interim-Restricted MYP'!J65</f>
        <v>0</v>
      </c>
      <c r="K65" s="1358" t="str">
        <f>IF(H65&lt;1," ",IF(J65&lt;1," ",(J65-H65)/H65))</f>
        <v xml:space="preserve"> </v>
      </c>
      <c r="L65" s="1193">
        <f>'2nd Interim-Unrestricted MYP'!L65+'2nd Interim-Restricted MYP'!L65</f>
        <v>0</v>
      </c>
      <c r="M65" s="1359" t="str">
        <f>IF(J65&lt;1," ",IF(L65&lt;1," ",(L65-J65)/J65))</f>
        <v xml:space="preserve"> </v>
      </c>
      <c r="N65" s="1538"/>
      <c r="O65" s="1215"/>
      <c r="P65" s="1215"/>
      <c r="Q65" s="1215"/>
      <c r="R65" s="1215"/>
      <c r="S65" s="1215"/>
      <c r="T65" s="1215"/>
    </row>
    <row r="66" spans="1:21">
      <c r="A66" s="67"/>
      <c r="B66" s="347"/>
      <c r="C66" s="348" t="s">
        <v>299</v>
      </c>
      <c r="D66" s="289">
        <v>9760</v>
      </c>
      <c r="E66" s="1193">
        <f>'2nd Interim-Unrestricted MYP'!E66+'2nd Interim-Restricted MYP'!E66</f>
        <v>0</v>
      </c>
      <c r="F66" s="1193">
        <f>'2nd Interim-Unrestricted MYP'!F66+'2nd Interim-Restricted MYP'!F66</f>
        <v>0</v>
      </c>
      <c r="G66" s="1193">
        <f>'2nd Interim-Unrestricted MYP'!G66+'2nd Interim-Restricted MYP'!G66</f>
        <v>0</v>
      </c>
      <c r="H66" s="1193">
        <f>'2nd Interim-Unrestricted MYP'!H66+'2nd Interim-Restricted MYP'!H66</f>
        <v>0</v>
      </c>
      <c r="I66" s="1358" t="str">
        <f>IF(E66&lt;1," ",IF(H66&lt;1," ",(H66-E66)/E66))</f>
        <v xml:space="preserve"> </v>
      </c>
      <c r="J66" s="1193">
        <f>'2nd Interim-Unrestricted MYP'!J66+'2nd Interim-Restricted MYP'!J66</f>
        <v>0</v>
      </c>
      <c r="K66" s="1358" t="str">
        <f>IF(H66&lt;1," ",IF(J66&lt;1," ",(J66-H66)/H66))</f>
        <v xml:space="preserve"> </v>
      </c>
      <c r="L66" s="1193">
        <f>'2nd Interim-Unrestricted MYP'!L66+'2nd Interim-Restricted MYP'!L66</f>
        <v>0</v>
      </c>
      <c r="M66" s="1359" t="str">
        <f>IF(J66&lt;1," ",IF(L66&lt;1," ",(L66-J66)/J66))</f>
        <v xml:space="preserve"> </v>
      </c>
      <c r="N66" s="1538"/>
      <c r="O66" s="1215"/>
      <c r="P66" s="1215"/>
      <c r="Q66" s="1215"/>
      <c r="R66" s="1215"/>
      <c r="S66" s="1215"/>
      <c r="T66" s="1215"/>
    </row>
    <row r="67" spans="1:21">
      <c r="A67" s="67"/>
      <c r="B67" s="347" t="s">
        <v>300</v>
      </c>
      <c r="C67" s="349" t="s">
        <v>301</v>
      </c>
      <c r="D67" s="288">
        <v>9780</v>
      </c>
      <c r="E67" s="1193">
        <f>'2nd Interim-Unrestricted MYP'!E67+'2nd Interim-Restricted MYP'!E67</f>
        <v>0</v>
      </c>
      <c r="F67" s="1193">
        <f>'2nd Interim-Unrestricted MYP'!F67+'2nd Interim-Restricted MYP'!F67</f>
        <v>0</v>
      </c>
      <c r="G67" s="1193">
        <f>'2nd Interim-Unrestricted MYP'!G67+'2nd Interim-Restricted MYP'!G67</f>
        <v>0</v>
      </c>
      <c r="H67" s="1193">
        <f>'2nd Interim-Unrestricted MYP'!H67+'2nd Interim-Restricted MYP'!H67</f>
        <v>0</v>
      </c>
      <c r="I67" s="1358" t="str">
        <f>IF(E67&lt;1," ",IF(H67&lt;1," ",(H67-E67)/E67))</f>
        <v xml:space="preserve"> </v>
      </c>
      <c r="J67" s="1193">
        <f>'2nd Interim-Unrestricted MYP'!J67+'2nd Interim-Restricted MYP'!J67</f>
        <v>0</v>
      </c>
      <c r="K67" s="1358" t="str">
        <f>IF(H67&lt;1," ",IF(J67&lt;1," ",(J67-H67)/H67))</f>
        <v xml:space="preserve"> </v>
      </c>
      <c r="L67" s="1193">
        <f>'2nd Interim-Unrestricted MYP'!L67+'2nd Interim-Restricted MYP'!L67</f>
        <v>0</v>
      </c>
      <c r="M67" s="1359" t="str">
        <f>IF(J67&lt;1," ",IF(L67&lt;1," ",(L67-J67)/J67))</f>
        <v xml:space="preserve"> </v>
      </c>
      <c r="N67" s="1538"/>
      <c r="O67" s="1215"/>
      <c r="P67" s="1215"/>
      <c r="Q67" s="1215"/>
      <c r="R67" s="1215"/>
      <c r="S67" s="1215"/>
      <c r="T67" s="1215"/>
    </row>
    <row r="68" spans="1:21">
      <c r="A68" s="67"/>
      <c r="B68" s="347" t="s">
        <v>302</v>
      </c>
      <c r="C68" s="352" t="s">
        <v>303</v>
      </c>
      <c r="D68" s="601"/>
      <c r="E68" s="1202"/>
      <c r="F68" s="1202"/>
      <c r="G68" s="1202"/>
      <c r="H68" s="1202"/>
      <c r="I68" s="1529"/>
      <c r="J68" s="1202"/>
      <c r="K68" s="1529"/>
      <c r="L68" s="876"/>
      <c r="M68" s="862"/>
      <c r="N68" s="1540"/>
      <c r="O68" s="1215"/>
      <c r="P68" s="1215"/>
      <c r="Q68" s="1215"/>
      <c r="R68" s="1215"/>
      <c r="S68" s="1215"/>
      <c r="T68" s="1215"/>
    </row>
    <row r="69" spans="1:21">
      <c r="A69" s="67"/>
      <c r="B69" s="347"/>
      <c r="C69" s="348" t="s">
        <v>304</v>
      </c>
      <c r="D69" s="289">
        <v>9789</v>
      </c>
      <c r="E69" s="1193">
        <f>'2nd Interim-Unrestricted MYP'!E69+'2nd Interim-Restricted MYP'!E69</f>
        <v>0</v>
      </c>
      <c r="F69" s="1193">
        <f>'2nd Interim-Unrestricted MYP'!F69+'2nd Interim-Restricted MYP'!F69</f>
        <v>1313011</v>
      </c>
      <c r="G69" s="1193">
        <f>'2nd Interim-Unrestricted MYP'!G69+'2nd Interim-Restricted MYP'!G69</f>
        <v>0</v>
      </c>
      <c r="H69" s="1193">
        <f>'2nd Interim-Unrestricted MYP'!H69+'2nd Interim-Restricted MYP'!H69</f>
        <v>0</v>
      </c>
      <c r="I69" s="1358" t="str">
        <f>IF(E69&lt;1," ",IF(H69&lt;1," ",(H69-E69)/E69))</f>
        <v xml:space="preserve"> </v>
      </c>
      <c r="J69" s="1193">
        <f>'2nd Interim-Unrestricted MYP'!J69+'2nd Interim-Restricted MYP'!J69</f>
        <v>0</v>
      </c>
      <c r="K69" s="1358" t="str">
        <f>IF(H69&lt;1," ",IF(J69&lt;1," ",(J69-H69)/H69))</f>
        <v xml:space="preserve"> </v>
      </c>
      <c r="L69" s="1193">
        <f>'2nd Interim-Unrestricted MYP'!L69+'2nd Interim-Restricted MYP'!L69</f>
        <v>0</v>
      </c>
      <c r="M69" s="1359" t="str">
        <f>IF(J69&lt;1," ",IF(L69&lt;1," ",(L69-J69)/J69))</f>
        <v xml:space="preserve"> </v>
      </c>
      <c r="N69" s="1412"/>
      <c r="O69" s="1773" t="s">
        <v>353</v>
      </c>
      <c r="P69" s="1773"/>
      <c r="Q69" s="1773"/>
      <c r="R69" s="1773"/>
      <c r="S69" s="1773" t="s">
        <v>354</v>
      </c>
      <c r="T69" s="1773"/>
      <c r="U69" s="1773"/>
    </row>
    <row r="70" spans="1:21" ht="16.5" thickBot="1">
      <c r="A70" s="67"/>
      <c r="B70" s="896"/>
      <c r="C70" s="902" t="s">
        <v>305</v>
      </c>
      <c r="D70" s="626">
        <v>9790</v>
      </c>
      <c r="E70" s="1193">
        <f>'2nd Interim-Unrestricted MYP'!E70+'2nd Interim-Restricted MYP'!E70</f>
        <v>3964597.6578057152</v>
      </c>
      <c r="F70" s="1193">
        <f>'2nd Interim-Unrestricted MYP'!F70+'2nd Interim-Restricted MYP'!F70</f>
        <v>0.24712891667149961</v>
      </c>
      <c r="G70" s="1193">
        <f>'2nd Interim-Unrestricted MYP'!G70+'2nd Interim-Restricted MYP'!G70</f>
        <v>3882212</v>
      </c>
      <c r="H70" s="1193">
        <f>'2nd Interim-Unrestricted MYP'!H70+'2nd Interim-Restricted MYP'!H70</f>
        <v>2065485</v>
      </c>
      <c r="I70" s="1358">
        <f>IF(E70&lt;1," ",IF(H70&lt;1," ",(H70-E70)/E70))</f>
        <v>-0.47901775204518904</v>
      </c>
      <c r="J70" s="1193">
        <f>'2nd Interim-Unrestricted MYP'!J70+'2nd Interim-Restricted MYP'!J70</f>
        <v>2179864</v>
      </c>
      <c r="K70" s="1358">
        <f>IF(H70&lt;1," ",IF(J70&lt;1," ",(J70-H70)/H70))</f>
        <v>5.5376340181603839E-2</v>
      </c>
      <c r="L70" s="1193">
        <f>'2nd Interim-Unrestricted MYP'!L70+'2nd Interim-Restricted MYP'!L70</f>
        <v>3248413</v>
      </c>
      <c r="M70" s="1359">
        <f>IF(J70&lt;1," ",IF(L70&lt;1," ",(L70-J70)/J70))</f>
        <v>0.49019067244562048</v>
      </c>
      <c r="N70" s="1412"/>
      <c r="O70" s="1364">
        <v>0.05</v>
      </c>
      <c r="P70" s="135" t="s">
        <v>355</v>
      </c>
      <c r="Q70" s="1365">
        <v>71000</v>
      </c>
      <c r="R70" s="135" t="s">
        <v>356</v>
      </c>
      <c r="S70" s="1366">
        <v>0</v>
      </c>
      <c r="T70" s="203" t="s">
        <v>357</v>
      </c>
      <c r="U70" s="1366">
        <v>300</v>
      </c>
    </row>
    <row r="71" spans="1:21" ht="17.25" thickTop="1" thickBot="1">
      <c r="A71" s="239"/>
      <c r="B71" s="1854" t="s">
        <v>358</v>
      </c>
      <c r="C71" s="1855"/>
      <c r="D71" s="1855"/>
      <c r="E71" s="1530">
        <f>(E69+E70)/(+E37+E43)</f>
        <v>0.31964127693448463</v>
      </c>
      <c r="F71" s="1530">
        <f>(F69+F70)/(+F37+F43)</f>
        <v>0.10390856253837968</v>
      </c>
      <c r="G71" s="1530">
        <f>(G69+G70)/(+G37+G43)</f>
        <v>0.58236461886691393</v>
      </c>
      <c r="H71" s="1530">
        <f>(H69+H70)/(+H37+H43)</f>
        <v>0.16450759663447906</v>
      </c>
      <c r="I71" s="1531"/>
      <c r="J71" s="1530">
        <f>(J69+J70)/(+J37+J43)</f>
        <v>0.21211003527663477</v>
      </c>
      <c r="K71" s="1531"/>
      <c r="L71" s="1530">
        <f>(L69+L70)/(+L37+L43)</f>
        <v>0.34426938898615117</v>
      </c>
      <c r="M71" s="1532"/>
      <c r="N71" s="1412"/>
      <c r="O71" s="1364">
        <v>0.04</v>
      </c>
      <c r="P71" s="135" t="s">
        <v>355</v>
      </c>
      <c r="Q71" s="1365">
        <v>71000</v>
      </c>
      <c r="R71" s="135" t="s">
        <v>356</v>
      </c>
      <c r="S71" s="1366">
        <v>301</v>
      </c>
      <c r="T71" s="203" t="s">
        <v>357</v>
      </c>
      <c r="U71" s="1366">
        <v>1000</v>
      </c>
    </row>
    <row r="72" spans="1:21">
      <c r="O72" s="1364">
        <v>0.03</v>
      </c>
      <c r="P72"/>
      <c r="Q72"/>
      <c r="R72"/>
      <c r="S72" s="1366">
        <v>1001</v>
      </c>
      <c r="T72" s="203" t="s">
        <v>357</v>
      </c>
      <c r="U72" s="1366">
        <v>30000</v>
      </c>
    </row>
    <row r="73" spans="1:21">
      <c r="A73" s="1"/>
      <c r="B73" s="135" t="s">
        <v>359</v>
      </c>
      <c r="C73" s="133"/>
      <c r="F73" s="1533">
        <f>IF('2nd Interim-ADA'!O76&lt;300.99,0.05,(IF(AND('2nd Interim-ADA'!O76 &gt;=301,'2nd Interim-ADA'!O76&lt;=1000.99),0.04,IF(AND('2nd Interim-ADA'!O76 &gt;=1001,'2nd Interim-ADA'!O76&lt;=30000.99),0.03,0.02))))</f>
        <v>0.04</v>
      </c>
      <c r="G73" s="1533">
        <f>IF('2nd Interim-ADA'!O76&lt;300.99,0.05,(IF(AND('2nd Interim-ADA'!O76 &gt;=301,'2nd Interim-ADA'!O76&lt;=1000.99),0.04,IF(AND('2nd Interim-ADA'!O76 &gt;=1001,'2nd Interim-ADA'!O76&lt;=30000.99),0.03,0.02))))</f>
        <v>0.04</v>
      </c>
      <c r="H73" s="1533">
        <f>IF('1st Interim-ADA'!P76&lt;300.99,0.05,(IF(AND('1st Interim-ADA'!P76 &gt;=301,'1st Interim-ADA'!P76&lt;=1000.99),0.04,IF(AND('1st Interim-ADA'!P76 &gt;=1001,'1st Interim-ADA'!P76&lt;=30000.99),0.03,0.02))))</f>
        <v>0.05</v>
      </c>
      <c r="J73" s="1533">
        <f>IF('1st Interim-ADA'!S76&lt;300.99,0.05,(IF(AND('1st Interim-ADA'!S76 &gt;=301,'1st Interim-ADA'!S76&lt;=1000.99),0.04,IF(AND('1st Interim-ADA'!S76 &gt;=1001,'1st Interim-ADA'!S76&lt;=30000.99),0.03,0.02))))</f>
        <v>0.05</v>
      </c>
      <c r="L73" s="1533">
        <f>IF('1st Interim-ADA'!V76&lt;300.99,0.05,(IF(AND('1st Interim-ADA'!V76 &gt;=301,'1st Interim-ADA'!V76&lt;=1000.99),0.04,IF(AND('1st Interim-ADA'!V76 &gt;=1001,'1st Interim-ADA'!V76&lt;=30000.99),0.03,0.02))))</f>
        <v>0.05</v>
      </c>
      <c r="O73" s="1364">
        <v>0.02</v>
      </c>
      <c r="P73"/>
      <c r="Q73"/>
      <c r="R73"/>
      <c r="S73" s="1366">
        <v>30001</v>
      </c>
      <c r="T73" s="203" t="s">
        <v>357</v>
      </c>
      <c r="U73" s="1366">
        <v>400000</v>
      </c>
    </row>
    <row r="74" spans="1:21">
      <c r="A74"/>
      <c r="B74" s="135" t="s">
        <v>360</v>
      </c>
      <c r="C74" s="133"/>
      <c r="E74" s="1448" t="str">
        <f>IF('Budget-Summary MYP'!F74="","",'Budget-Summary MYP'!F74)</f>
        <v/>
      </c>
      <c r="F74" s="1437"/>
      <c r="G74" s="1437"/>
      <c r="H74" s="1437"/>
      <c r="J74" s="1437"/>
      <c r="L74" s="1437"/>
      <c r="O74" s="1364">
        <v>0.01</v>
      </c>
      <c r="P74"/>
      <c r="Q74"/>
      <c r="R74"/>
      <c r="S74" s="1366">
        <v>400001</v>
      </c>
      <c r="T74" s="203" t="s">
        <v>361</v>
      </c>
      <c r="U74" s="1367"/>
    </row>
    <row r="75" spans="1:21">
      <c r="A75"/>
      <c r="B75" s="133" t="s">
        <v>362</v>
      </c>
      <c r="C75" s="133"/>
      <c r="E75" s="1243" t="str">
        <f>T('Budget-Summary MYP'!F75)</f>
        <v>Met</v>
      </c>
      <c r="F75" s="1243" t="str">
        <f>IF(F74="",IF(F71&gt;=F73,"Met","Not Met"),IF(F71&gt;=F74,"Met","Not Met"))</f>
        <v>Met</v>
      </c>
      <c r="G75" s="1243" t="str">
        <f>IF(G74="",IF(G71&gt;=G73,"Met","Not Met"),IF(G71&gt;=G74,"Met","Not Met"))</f>
        <v>Met</v>
      </c>
      <c r="H75" s="1243" t="str">
        <f>IF(H74="",IF(H71&gt;=H73,"Met","Not Met"),IF(H71&gt;=H74,"Met","Not Met"))</f>
        <v>Met</v>
      </c>
      <c r="J75" s="1243" t="str">
        <f>IF(J74="",IF(J71&gt;=J73,"Met","Not Met"),IF(J71&gt;=J74,"Met","Not Met"))</f>
        <v>Met</v>
      </c>
      <c r="L75" s="1243" t="str">
        <f>IF(L74="",IF(L71&gt;=L73,"Met","Not Met"),IF(L71&gt;=L74,"Met","Not Met"))</f>
        <v>Met</v>
      </c>
      <c r="O75" s="1364"/>
      <c r="P75"/>
      <c r="Q75"/>
      <c r="R75"/>
      <c r="S75" s="1366"/>
      <c r="T75" s="203"/>
      <c r="U75" s="1367"/>
    </row>
    <row r="76" spans="1:21" ht="16.5" thickBot="1">
      <c r="A76"/>
      <c r="B76" s="133"/>
      <c r="C76" s="133"/>
      <c r="E76" s="1243"/>
      <c r="F76" s="1243"/>
      <c r="G76" s="1243"/>
      <c r="H76" s="1243"/>
      <c r="J76" s="1243"/>
      <c r="L76" s="1243"/>
      <c r="O76" s="1364"/>
      <c r="P76"/>
      <c r="Q76"/>
      <c r="R76"/>
      <c r="S76" s="1366"/>
      <c r="T76" s="203"/>
      <c r="U76" s="1367"/>
    </row>
    <row r="77" spans="1:21" ht="16.5" thickBot="1">
      <c r="A77"/>
      <c r="B77" s="1787" t="s">
        <v>363</v>
      </c>
      <c r="C77" s="1788"/>
      <c r="D77" s="1788"/>
      <c r="E77" s="1788"/>
      <c r="F77" s="1788"/>
      <c r="G77" s="1788"/>
      <c r="H77" s="1788"/>
      <c r="I77" s="1788"/>
      <c r="J77" s="1788"/>
      <c r="K77" s="1788"/>
      <c r="L77" s="1788"/>
      <c r="M77" s="1789"/>
      <c r="N77" s="135"/>
      <c r="O77"/>
      <c r="P77"/>
      <c r="Q77"/>
      <c r="R77" s="1366"/>
      <c r="S77" s="203"/>
      <c r="T77" s="1367"/>
    </row>
    <row r="78" spans="1:21" ht="86.25" customHeight="1">
      <c r="A78"/>
      <c r="B78" s="1856"/>
      <c r="C78" s="1857"/>
      <c r="D78" s="1857"/>
      <c r="E78" s="1857"/>
      <c r="F78" s="1857"/>
      <c r="G78" s="1857"/>
      <c r="H78" s="1857"/>
      <c r="I78" s="1857"/>
      <c r="J78" s="1857"/>
      <c r="K78" s="1857"/>
      <c r="L78" s="1857"/>
      <c r="M78" s="1858"/>
      <c r="N78" s="1243"/>
      <c r="O78"/>
      <c r="P78"/>
      <c r="Q78"/>
      <c r="R78" s="1366"/>
      <c r="S78" s="203"/>
      <c r="T78" s="1367"/>
    </row>
    <row r="79" spans="1:21">
      <c r="A79"/>
      <c r="B79"/>
      <c r="C79"/>
      <c r="E79"/>
      <c r="F79"/>
      <c r="O79" s="1364"/>
      <c r="P79" s="135"/>
      <c r="Q79" s="1365"/>
      <c r="R79" s="135"/>
      <c r="S79" s="1366"/>
      <c r="T79" s="203"/>
      <c r="U79" s="1366"/>
    </row>
    <row r="80" spans="1:21">
      <c r="A80"/>
      <c r="B80" s="135" t="s">
        <v>364</v>
      </c>
      <c r="C80"/>
      <c r="E80" s="1445">
        <f>'Budget-Summary MYP'!F80</f>
        <v>0</v>
      </c>
      <c r="F80" s="1445">
        <f>'Budget-Summary MYP'!G80</f>
        <v>0</v>
      </c>
      <c r="G80" s="1445">
        <f>ROUND(-MIN('2nd Interim-Unrestricted MYP'!G46/('2nd Interim-Unrestricted MYP'!G37+'2nd Interim-Unrestricted MYP'!F43),0),3)</f>
        <v>0</v>
      </c>
      <c r="H80" s="1445">
        <f>ROUND(-MIN('2nd Interim-Unrestricted MYP'!H46/('2nd Interim-Unrestricted MYP'!H37+'2nd Interim-Unrestricted MYP'!G43),0),3)</f>
        <v>0</v>
      </c>
      <c r="J80" s="1445">
        <f>ROUND(-MIN('2nd Interim-Unrestricted MYP'!J46/('2nd Interim-Unrestricted MYP'!J37+'2nd Interim-Unrestricted MYP'!J43),0),3)</f>
        <v>0</v>
      </c>
      <c r="L80" s="1445">
        <f>ROUND(-MIN('2nd Interim-Unrestricted MYP'!L46/('2nd Interim-Unrestricted MYP'!L37+'2nd Interim-Unrestricted MYP'!L43),0),3)</f>
        <v>0</v>
      </c>
      <c r="O80"/>
      <c r="P80" s="135"/>
      <c r="Q80" s="1365"/>
      <c r="R80" s="135"/>
      <c r="S80" s="1366"/>
      <c r="T80" s="203"/>
      <c r="U80" s="1366"/>
    </row>
    <row r="81" spans="1:21">
      <c r="A81"/>
      <c r="B81" s="133" t="s">
        <v>365</v>
      </c>
      <c r="C81"/>
      <c r="E81" s="1446">
        <f>'Budget-Summary MYP'!F81</f>
        <v>0.107</v>
      </c>
      <c r="F81" s="1446">
        <f>'Budget-Summary MYP'!G81</f>
        <v>0</v>
      </c>
      <c r="G81" s="1446">
        <f>ROUND(G71/3,3)</f>
        <v>0.19400000000000001</v>
      </c>
      <c r="H81" s="1446">
        <f>ROUND(H71/3,3)</f>
        <v>5.5E-2</v>
      </c>
      <c r="J81" s="1446">
        <f>ROUND(J71/3,3)</f>
        <v>7.0999999999999994E-2</v>
      </c>
      <c r="L81" s="1446">
        <f>ROUND(L71/3,3)</f>
        <v>0.115</v>
      </c>
      <c r="O81" s="1368" t="s">
        <v>366</v>
      </c>
      <c r="P81" s="135"/>
      <c r="Q81" s="1365"/>
      <c r="R81" s="135"/>
      <c r="S81" s="1366"/>
      <c r="T81" s="203"/>
      <c r="U81" s="1366"/>
    </row>
    <row r="82" spans="1:21">
      <c r="A82"/>
      <c r="B82" s="133" t="s">
        <v>367</v>
      </c>
      <c r="C82"/>
      <c r="E82" s="1243" t="str">
        <f>T('Budget-Summary MYP'!F82)</f>
        <v>Met</v>
      </c>
      <c r="F82" s="1243" t="str">
        <f>T('Budget-Summary MYP'!G82)</f>
        <v/>
      </c>
      <c r="G82" s="1243" t="str">
        <f>IF(G80&lt;=G81,"Met","Not Met")</f>
        <v>Met</v>
      </c>
      <c r="H82" s="1243" t="str">
        <f>IF(H80&lt;=H81,"Met","Not Met")</f>
        <v>Met</v>
      </c>
      <c r="J82" s="1243" t="str">
        <f>IF(J80&lt;=J81,"Met","Not Met")</f>
        <v>Met</v>
      </c>
      <c r="L82" s="1243" t="str">
        <f>IF(L80&lt;=L81,"Met","Not Met")</f>
        <v>Met</v>
      </c>
      <c r="O82" s="1776" t="s">
        <v>368</v>
      </c>
      <c r="P82" s="1777"/>
      <c r="Q82" s="1777"/>
      <c r="R82" s="1777"/>
      <c r="S82" s="1777"/>
      <c r="T82" s="1777"/>
      <c r="U82" s="1777"/>
    </row>
    <row r="83" spans="1:21" ht="16.5" thickBot="1">
      <c r="A83"/>
      <c r="B83"/>
      <c r="C83"/>
      <c r="N83" s="135"/>
      <c r="O83" s="1777"/>
      <c r="P83" s="1777"/>
      <c r="Q83" s="1777"/>
      <c r="R83" s="1777"/>
      <c r="S83" s="1777"/>
      <c r="T83" s="1777"/>
      <c r="U83" s="1777"/>
    </row>
    <row r="84" spans="1:21" ht="16.5" thickBot="1">
      <c r="B84" s="1787" t="s">
        <v>369</v>
      </c>
      <c r="C84" s="1788"/>
      <c r="D84" s="1788"/>
      <c r="E84" s="1788"/>
      <c r="F84" s="1788"/>
      <c r="G84" s="1788"/>
      <c r="H84" s="1788"/>
      <c r="I84" s="1788"/>
      <c r="J84" s="1788"/>
      <c r="K84" s="1788"/>
      <c r="L84" s="1788"/>
      <c r="M84" s="1789"/>
      <c r="N84" s="1447"/>
      <c r="O84" s="1777"/>
      <c r="P84" s="1777"/>
      <c r="Q84" s="1777"/>
      <c r="R84" s="1777"/>
      <c r="S84" s="1777"/>
      <c r="T84" s="1777"/>
      <c r="U84" s="1777"/>
    </row>
    <row r="85" spans="1:21" ht="91.5" customHeight="1">
      <c r="B85" s="1781"/>
      <c r="C85" s="1782"/>
      <c r="D85" s="1782"/>
      <c r="E85" s="1782"/>
      <c r="F85" s="1782"/>
      <c r="G85" s="1782"/>
      <c r="H85" s="1782"/>
      <c r="I85" s="1782"/>
      <c r="J85" s="1782"/>
      <c r="K85" s="1782"/>
      <c r="L85" s="1782"/>
      <c r="M85" s="1783"/>
      <c r="N85" s="1447"/>
      <c r="O85" s="1777"/>
      <c r="P85" s="1777"/>
      <c r="Q85" s="1777"/>
      <c r="R85" s="1777"/>
      <c r="S85" s="1777"/>
      <c r="T85" s="1777"/>
      <c r="U85" s="1777"/>
    </row>
    <row r="86" spans="1:21" ht="36.75" customHeight="1">
      <c r="F86" s="1596"/>
      <c r="G86" s="1596"/>
      <c r="H86" s="1596"/>
      <c r="I86" s="1596"/>
      <c r="J86" s="1596"/>
      <c r="K86" s="1596"/>
      <c r="L86" s="1596"/>
      <c r="M86" s="1597"/>
      <c r="N86" s="1447"/>
      <c r="O86" s="1777"/>
      <c r="P86" s="1777"/>
      <c r="Q86" s="1777"/>
      <c r="R86" s="1777"/>
      <c r="S86" s="1777"/>
      <c r="T86" s="1777"/>
      <c r="U86" s="1777"/>
    </row>
  </sheetData>
  <sheetProtection password="CC5F" sheet="1" objects="1" scenarios="1"/>
  <mergeCells count="13">
    <mergeCell ref="S69:U69"/>
    <mergeCell ref="O82:U86"/>
    <mergeCell ref="B71:D71"/>
    <mergeCell ref="B77:M77"/>
    <mergeCell ref="B78:M78"/>
    <mergeCell ref="B84:M84"/>
    <mergeCell ref="B85:M85"/>
    <mergeCell ref="O69:R69"/>
    <mergeCell ref="A1:C1"/>
    <mergeCell ref="A2:C2"/>
    <mergeCell ref="A3:C3"/>
    <mergeCell ref="A8:C8"/>
    <mergeCell ref="A28:C28"/>
  </mergeCells>
  <conditionalFormatting sqref="A1:A3">
    <cfRule type="containsText" dxfId="35" priority="23" stopIfTrue="1" operator="containsText" text="Enter">
      <formula>NOT(ISERROR(SEARCH("Enter",A1)))</formula>
    </cfRule>
  </conditionalFormatting>
  <conditionalFormatting sqref="F82">
    <cfRule type="containsText" dxfId="34" priority="17" stopIfTrue="1" operator="containsText" text="Met">
      <formula>NOT(ISERROR(SEARCH("Met",F82)))</formula>
    </cfRule>
  </conditionalFormatting>
  <conditionalFormatting sqref="F82">
    <cfRule type="containsText" dxfId="33" priority="16" stopIfTrue="1" operator="containsText" text="Not Met">
      <formula>NOT(ISERROR(SEARCH("Not Met",F82)))</formula>
    </cfRule>
  </conditionalFormatting>
  <conditionalFormatting sqref="G75:G76">
    <cfRule type="containsText" dxfId="32" priority="15" stopIfTrue="1" operator="containsText" text="Met">
      <formula>NOT(ISERROR(SEARCH("Met",G75)))</formula>
    </cfRule>
  </conditionalFormatting>
  <conditionalFormatting sqref="G75:G76">
    <cfRule type="containsText" dxfId="31" priority="14" stopIfTrue="1" operator="containsText" text="Not Met">
      <formula>NOT(ISERROR(SEARCH("Not Met",G75)))</formula>
    </cfRule>
  </conditionalFormatting>
  <conditionalFormatting sqref="L75:L76 J75:J76 H75:H76">
    <cfRule type="containsText" dxfId="30" priority="13" stopIfTrue="1" operator="containsText" text="Met">
      <formula>NOT(ISERROR(SEARCH("Met",H75)))</formula>
    </cfRule>
  </conditionalFormatting>
  <conditionalFormatting sqref="L75:L76 J75:J76 H75:H76">
    <cfRule type="containsText" dxfId="29" priority="12" stopIfTrue="1" operator="containsText" text="Not Met">
      <formula>NOT(ISERROR(SEARCH("Not Met",H75)))</formula>
    </cfRule>
  </conditionalFormatting>
  <conditionalFormatting sqref="L82 J82 G82:H82">
    <cfRule type="containsText" dxfId="28" priority="11" stopIfTrue="1" operator="containsText" text="Met">
      <formula>NOT(ISERROR(SEARCH("Met",G82)))</formula>
    </cfRule>
  </conditionalFormatting>
  <conditionalFormatting sqref="L82 J82 G82:H82">
    <cfRule type="containsText" dxfId="27" priority="10" stopIfTrue="1" operator="containsText" text="Not Met">
      <formula>NOT(ISERROR(SEARCH("Not Met",G82)))</formula>
    </cfRule>
  </conditionalFormatting>
  <conditionalFormatting sqref="B73 L73 J73 F73:H73">
    <cfRule type="expression" dxfId="26" priority="379" stopIfTrue="1">
      <formula>#REF!=""</formula>
    </cfRule>
  </conditionalFormatting>
  <conditionalFormatting sqref="B74">
    <cfRule type="expression" dxfId="25" priority="380" stopIfTrue="1">
      <formula>#REF!&lt;&gt;0</formula>
    </cfRule>
  </conditionalFormatting>
  <conditionalFormatting sqref="E75:E76">
    <cfRule type="containsText" dxfId="24" priority="8" stopIfTrue="1" operator="containsText" text="Met">
      <formula>NOT(ISERROR(SEARCH("Met",E75)))</formula>
    </cfRule>
  </conditionalFormatting>
  <conditionalFormatting sqref="E75:E76">
    <cfRule type="containsText" dxfId="23" priority="7" stopIfTrue="1" operator="containsText" text="Not Met">
      <formula>NOT(ISERROR(SEARCH("Not Met",E75)))</formula>
    </cfRule>
  </conditionalFormatting>
  <conditionalFormatting sqref="E82">
    <cfRule type="containsText" dxfId="22" priority="6" stopIfTrue="1" operator="containsText" text="Met">
      <formula>NOT(ISERROR(SEARCH("Met",E82)))</formula>
    </cfRule>
  </conditionalFormatting>
  <conditionalFormatting sqref="E82">
    <cfRule type="containsText" dxfId="21" priority="5" stopIfTrue="1" operator="containsText" text="Not Met">
      <formula>NOT(ISERROR(SEARCH("Not Met",E82)))</formula>
    </cfRule>
  </conditionalFormatting>
  <conditionalFormatting sqref="F75:F76">
    <cfRule type="containsText" dxfId="20" priority="4" stopIfTrue="1" operator="containsText" text="Met">
      <formula>NOT(ISERROR(SEARCH("Met",F75)))</formula>
    </cfRule>
  </conditionalFormatting>
  <conditionalFormatting sqref="F75:F76">
    <cfRule type="containsText" dxfId="19" priority="3" stopIfTrue="1" operator="containsText" text="Not Met">
      <formula>NOT(ISERROR(SEARCH("Not Met",F75)))</formula>
    </cfRule>
  </conditionalFormatting>
  <conditionalFormatting sqref="B78">
    <cfRule type="containsText" dxfId="18" priority="2" stopIfTrue="1" operator="containsText" text="Met">
      <formula>NOT(ISERROR(SEARCH("Met",B78)))</formula>
    </cfRule>
  </conditionalFormatting>
  <conditionalFormatting sqref="B78">
    <cfRule type="containsText" dxfId="17" priority="1" stopIfTrue="1" operator="containsText" text="Not Met">
      <formula>NOT(ISERROR(SEARCH("Not Met",B78)))</formula>
    </cfRule>
  </conditionalFormatting>
  <printOptions horizontalCentered="1"/>
  <pageMargins left="0.25" right="0.25" top="0.5" bottom="0.25" header="0.5" footer="0.5"/>
  <pageSetup scale="61" fitToHeight="0" orientation="landscape" horizontalDpi="1200" verticalDpi="1200" r:id="rId1"/>
  <headerFooter alignWithMargins="0">
    <oddFooter>Page &amp;P of &amp;N</oddFooter>
  </headerFooter>
  <rowBreaks count="1" manualBreakCount="1">
    <brk id="47"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theme="5"/>
    <pageSetUpPr fitToPage="1"/>
  </sheetPr>
  <dimension ref="A1:L34"/>
  <sheetViews>
    <sheetView showGridLines="0" topLeftCell="A13" zoomScale="115" zoomScaleNormal="115" workbookViewId="0">
      <selection activeCell="H26" sqref="H26"/>
    </sheetView>
  </sheetViews>
  <sheetFormatPr defaultRowHeight="12.75"/>
  <cols>
    <col min="1" max="1" width="3.7109375" customWidth="1"/>
    <col min="2" max="2" width="25.7109375" customWidth="1"/>
    <col min="4" max="4" width="16.7109375" customWidth="1"/>
    <col min="5" max="10" width="14.7109375" customWidth="1"/>
    <col min="11" max="11" width="11.85546875" customWidth="1"/>
    <col min="12" max="12" width="83.42578125" style="1212" customWidth="1"/>
  </cols>
  <sheetData>
    <row r="1" spans="1:11" ht="18">
      <c r="A1" s="136" t="s">
        <v>370</v>
      </c>
      <c r="B1" s="136"/>
      <c r="H1" s="135"/>
      <c r="I1" s="135"/>
    </row>
    <row r="2" spans="1:11">
      <c r="A2" s="169" t="str">
        <f>'2nd Interim-ADA'!J4</f>
        <v>Fiscal Year 2021-22 Second Interim Report</v>
      </c>
    </row>
    <row r="3" spans="1:11" ht="13.5" customHeight="1">
      <c r="A3" s="1636" t="str">
        <f>IF('INTERIM-CERTIFICATION'!$M$1="","CHARTER NAME: Enter Charter Name on INTERIM-CERTIFICATION Worksheet",(CONCATENATE("CHARTER NAME: ",'INTERIM-CERTIFICATION'!$M$1)))</f>
        <v>CHARTER NAME: Encore High School -</v>
      </c>
      <c r="B3" s="1636"/>
      <c r="C3" s="1636"/>
      <c r="D3" s="1636"/>
      <c r="E3" s="1636"/>
      <c r="F3" s="1636"/>
      <c r="G3" s="170"/>
      <c r="H3" s="170"/>
      <c r="I3" s="170"/>
    </row>
    <row r="4" spans="1:11">
      <c r="A4" s="996" t="str">
        <f>Instructions!H1</f>
        <v>Rev. 5/28/2021</v>
      </c>
    </row>
    <row r="5" spans="1:11" ht="12.75" customHeight="1">
      <c r="A5" s="1804" t="s">
        <v>371</v>
      </c>
      <c r="B5" s="1804"/>
      <c r="C5" s="1804"/>
      <c r="D5" s="1804"/>
      <c r="E5" s="1804"/>
      <c r="F5" s="1804"/>
      <c r="G5" s="1804"/>
      <c r="H5" s="1804"/>
      <c r="I5" s="367"/>
      <c r="J5" s="367"/>
      <c r="K5" s="367"/>
    </row>
    <row r="6" spans="1:11">
      <c r="A6" s="1804"/>
      <c r="B6" s="1804"/>
      <c r="C6" s="1804"/>
      <c r="D6" s="1804"/>
      <c r="E6" s="1804"/>
      <c r="F6" s="1804"/>
      <c r="G6" s="1804"/>
      <c r="H6" s="1804"/>
      <c r="I6" s="367"/>
      <c r="J6" s="367"/>
      <c r="K6" s="367"/>
    </row>
    <row r="7" spans="1:11">
      <c r="A7" s="1804"/>
      <c r="B7" s="1804"/>
      <c r="C7" s="1804"/>
      <c r="D7" s="1804"/>
      <c r="E7" s="1804"/>
      <c r="F7" s="1804"/>
      <c r="G7" s="1804"/>
      <c r="H7" s="1804"/>
    </row>
    <row r="8" spans="1:11" ht="12.75" customHeight="1">
      <c r="A8" s="1805" t="s">
        <v>372</v>
      </c>
      <c r="B8" s="1805"/>
      <c r="C8" s="1805"/>
      <c r="D8" s="1805"/>
      <c r="E8" s="1805"/>
      <c r="F8" s="1805"/>
      <c r="G8" s="1805"/>
      <c r="H8" s="1805"/>
    </row>
    <row r="10" spans="1:11" ht="19.5" customHeight="1" thickBot="1">
      <c r="A10" s="1305"/>
      <c r="B10" s="133" t="s">
        <v>373</v>
      </c>
    </row>
    <row r="11" spans="1:11" ht="19.5" customHeight="1" thickBot="1">
      <c r="A11" s="203"/>
      <c r="B11" s="133"/>
    </row>
    <row r="12" spans="1:11" ht="13.5" thickTop="1">
      <c r="A12" s="1369"/>
      <c r="B12" s="1370"/>
      <c r="C12" s="1371"/>
      <c r="D12" s="1372" t="s">
        <v>374</v>
      </c>
      <c r="E12" s="1798" t="str">
        <f>'2nd Interim-Assumptions'!G6</f>
        <v>2021-22</v>
      </c>
      <c r="F12" s="1799"/>
      <c r="G12" s="1800" t="str">
        <f>'2nd Interim-Assumptions'!H6</f>
        <v>2022-23</v>
      </c>
      <c r="H12" s="1801"/>
      <c r="I12" s="1800" t="str">
        <f>'2nd Interim-Assumptions'!J6</f>
        <v>2023-24</v>
      </c>
      <c r="J12" s="1801"/>
      <c r="K12" s="1373" t="s">
        <v>375</v>
      </c>
    </row>
    <row r="13" spans="1:11">
      <c r="A13" s="1374"/>
      <c r="C13" s="1375" t="s">
        <v>376</v>
      </c>
      <c r="D13" s="1376" t="str">
        <f>'Budget-DEBT'!D13</f>
        <v>2021</v>
      </c>
      <c r="E13" s="1802" t="s">
        <v>378</v>
      </c>
      <c r="F13" s="1803"/>
      <c r="G13" s="1802" t="s">
        <v>378</v>
      </c>
      <c r="H13" s="1803"/>
      <c r="I13" s="1802" t="s">
        <v>378</v>
      </c>
      <c r="J13" s="1803"/>
      <c r="K13" s="1377" t="s">
        <v>379</v>
      </c>
    </row>
    <row r="14" spans="1:11" ht="13.5" thickBot="1">
      <c r="A14" s="1374" t="s">
        <v>380</v>
      </c>
      <c r="C14" s="1378" t="s">
        <v>381</v>
      </c>
      <c r="D14" s="1379" t="s">
        <v>382</v>
      </c>
      <c r="E14" s="1380" t="s">
        <v>383</v>
      </c>
      <c r="F14" s="1381" t="s">
        <v>250</v>
      </c>
      <c r="G14" s="1380" t="s">
        <v>383</v>
      </c>
      <c r="H14" s="1381" t="s">
        <v>250</v>
      </c>
      <c r="I14" s="1380" t="s">
        <v>383</v>
      </c>
      <c r="J14" s="1381" t="s">
        <v>250</v>
      </c>
      <c r="K14" s="1382"/>
    </row>
    <row r="15" spans="1:11" ht="18" customHeight="1" thickBot="1">
      <c r="A15" s="171" t="s">
        <v>384</v>
      </c>
      <c r="B15" s="172"/>
      <c r="C15" s="201"/>
      <c r="D15" s="28"/>
      <c r="E15" s="209"/>
      <c r="F15" s="211"/>
      <c r="G15" s="209"/>
      <c r="H15" s="211"/>
      <c r="I15" s="209"/>
      <c r="J15" s="211"/>
      <c r="K15" s="212"/>
    </row>
    <row r="16" spans="1:11" ht="18" customHeight="1" thickBot="1">
      <c r="A16" s="171" t="s">
        <v>385</v>
      </c>
      <c r="B16" s="172"/>
      <c r="C16" s="201"/>
      <c r="D16" s="28"/>
      <c r="E16" s="209"/>
      <c r="F16" s="211"/>
      <c r="G16" s="209"/>
      <c r="H16" s="211"/>
      <c r="I16" s="209"/>
      <c r="J16" s="211"/>
      <c r="K16" s="212"/>
    </row>
    <row r="17" spans="1:12" ht="18" customHeight="1" thickBot="1">
      <c r="A17" s="171" t="s">
        <v>386</v>
      </c>
      <c r="B17" s="172"/>
      <c r="C17" s="201"/>
      <c r="D17" s="28"/>
      <c r="E17" s="209"/>
      <c r="F17" s="211"/>
      <c r="G17" s="209"/>
      <c r="H17" s="211"/>
      <c r="I17" s="209"/>
      <c r="J17" s="211"/>
      <c r="K17" s="212"/>
    </row>
    <row r="18" spans="1:12" ht="18" customHeight="1" thickBot="1">
      <c r="A18" s="171" t="s">
        <v>387</v>
      </c>
      <c r="B18" s="172"/>
      <c r="C18" s="201"/>
      <c r="D18" s="193"/>
      <c r="E18" s="210"/>
      <c r="F18" s="211"/>
      <c r="G18" s="210"/>
      <c r="H18" s="211"/>
      <c r="I18" s="210"/>
      <c r="J18" s="211"/>
      <c r="K18" s="212"/>
    </row>
    <row r="19" spans="1:12" ht="18" customHeight="1" thickBot="1">
      <c r="A19" s="171" t="s">
        <v>388</v>
      </c>
      <c r="B19" s="172"/>
      <c r="C19" s="201"/>
      <c r="D19" s="28">
        <v>2000000</v>
      </c>
      <c r="E19" s="209">
        <v>2000000</v>
      </c>
      <c r="F19" s="211"/>
      <c r="G19" s="209"/>
      <c r="H19" s="211"/>
      <c r="I19" s="209"/>
      <c r="J19" s="211"/>
      <c r="K19" s="212" t="s">
        <v>571</v>
      </c>
      <c r="L19" s="1212" t="s">
        <v>572</v>
      </c>
    </row>
    <row r="20" spans="1:12" ht="18" customHeight="1" thickBot="1">
      <c r="A20" s="171" t="s">
        <v>389</v>
      </c>
      <c r="B20" s="172"/>
      <c r="C20" s="201"/>
      <c r="D20" s="28"/>
      <c r="E20" s="209"/>
      <c r="F20" s="211"/>
      <c r="G20" s="209"/>
      <c r="H20" s="211"/>
      <c r="I20" s="209"/>
      <c r="J20" s="211"/>
      <c r="K20" s="212"/>
    </row>
    <row r="21" spans="1:12" ht="18" customHeight="1" thickBot="1">
      <c r="A21" s="173" t="s">
        <v>390</v>
      </c>
      <c r="B21" s="172"/>
      <c r="C21" s="201" t="s">
        <v>391</v>
      </c>
      <c r="D21" s="28">
        <v>4237.53</v>
      </c>
      <c r="E21" s="209">
        <v>4209.46</v>
      </c>
      <c r="F21" s="211">
        <v>28.07</v>
      </c>
      <c r="G21" s="209"/>
      <c r="H21" s="211"/>
      <c r="I21" s="209"/>
      <c r="J21" s="211"/>
      <c r="K21" s="212" t="s">
        <v>392</v>
      </c>
      <c r="L21" s="1212" t="s">
        <v>595</v>
      </c>
    </row>
    <row r="22" spans="1:12" ht="18" customHeight="1" thickBot="1">
      <c r="A22" s="173" t="s">
        <v>390</v>
      </c>
      <c r="B22" s="173"/>
      <c r="C22" s="201"/>
      <c r="D22" s="28"/>
      <c r="E22" s="209"/>
      <c r="F22" s="211"/>
      <c r="G22" s="209"/>
      <c r="H22" s="211"/>
      <c r="I22" s="209"/>
      <c r="J22" s="211"/>
      <c r="K22" s="212"/>
    </row>
    <row r="23" spans="1:12" ht="18" customHeight="1" thickBot="1">
      <c r="A23" s="173" t="s">
        <v>390</v>
      </c>
      <c r="B23" s="172"/>
      <c r="C23" s="201"/>
      <c r="D23" s="28"/>
      <c r="E23" s="209"/>
      <c r="F23" s="211"/>
      <c r="G23" s="209"/>
      <c r="H23" s="211"/>
      <c r="I23" s="209"/>
      <c r="J23" s="211"/>
      <c r="K23" s="212"/>
    </row>
    <row r="24" spans="1:12" ht="18" customHeight="1" thickBot="1">
      <c r="A24" s="173" t="s">
        <v>394</v>
      </c>
      <c r="B24" s="172"/>
      <c r="C24" s="201">
        <v>1</v>
      </c>
      <c r="D24" s="28">
        <v>2467016.52</v>
      </c>
      <c r="E24" s="209">
        <v>2362582</v>
      </c>
      <c r="F24" s="211">
        <v>104435</v>
      </c>
      <c r="G24" s="209"/>
      <c r="H24" s="211"/>
      <c r="I24" s="209"/>
      <c r="J24" s="211"/>
      <c r="K24" s="212" t="s">
        <v>395</v>
      </c>
      <c r="L24" s="1212" t="s">
        <v>596</v>
      </c>
    </row>
    <row r="25" spans="1:12" ht="18" customHeight="1" thickBot="1">
      <c r="A25" s="173" t="s">
        <v>217</v>
      </c>
      <c r="B25" s="172"/>
      <c r="C25" s="201" t="s">
        <v>397</v>
      </c>
      <c r="D25" s="1393">
        <v>187500</v>
      </c>
      <c r="E25" s="1394">
        <v>187500</v>
      </c>
      <c r="F25" s="1395"/>
      <c r="G25" s="1394"/>
      <c r="H25" s="1395"/>
      <c r="I25" s="1394"/>
      <c r="J25" s="1395"/>
      <c r="K25" s="212" t="s">
        <v>398</v>
      </c>
      <c r="L25" s="1212" t="s">
        <v>573</v>
      </c>
    </row>
    <row r="26" spans="1:12" s="133" customFormat="1" ht="18" customHeight="1" thickBot="1">
      <c r="A26" s="1390"/>
      <c r="B26" s="1391" t="s">
        <v>400</v>
      </c>
      <c r="C26" s="1392"/>
      <c r="D26" s="1396">
        <f>SUM(D15:D25)</f>
        <v>4658754.05</v>
      </c>
      <c r="E26" s="1397">
        <f t="shared" ref="E26:J26" si="0">SUM(E15:E25)</f>
        <v>4554291.46</v>
      </c>
      <c r="F26" s="1398">
        <f t="shared" si="0"/>
        <v>104463.07</v>
      </c>
      <c r="G26" s="1397">
        <f t="shared" si="0"/>
        <v>0</v>
      </c>
      <c r="H26" s="1398">
        <f t="shared" si="0"/>
        <v>0</v>
      </c>
      <c r="I26" s="1397">
        <f t="shared" si="0"/>
        <v>0</v>
      </c>
      <c r="J26" s="1398">
        <f t="shared" si="0"/>
        <v>0</v>
      </c>
      <c r="K26" s="1399"/>
      <c r="L26" s="1241"/>
    </row>
    <row r="27" spans="1:12" ht="9.75" customHeight="1">
      <c r="A27" s="1374"/>
      <c r="C27" s="174"/>
      <c r="D27" s="174"/>
      <c r="E27" s="174"/>
      <c r="F27" s="174"/>
      <c r="G27" s="174"/>
      <c r="H27" s="174"/>
      <c r="I27" s="174"/>
      <c r="J27" s="174"/>
      <c r="K27" s="1383"/>
    </row>
    <row r="28" spans="1:12" ht="18" customHeight="1" thickBot="1">
      <c r="A28" s="1384" t="s">
        <v>401</v>
      </c>
      <c r="B28" s="175"/>
      <c r="C28" s="1385"/>
      <c r="D28" s="1385"/>
      <c r="E28" s="1385"/>
      <c r="F28" s="1385"/>
      <c r="G28" s="1385"/>
      <c r="H28" s="1385"/>
      <c r="I28" s="1385"/>
      <c r="J28" s="1385"/>
      <c r="K28" s="1386"/>
    </row>
    <row r="29" spans="1:12" ht="18" customHeight="1" thickBot="1">
      <c r="A29" s="1790"/>
      <c r="B29" s="1791"/>
      <c r="C29" s="1791"/>
      <c r="D29" s="1791"/>
      <c r="E29" s="1791"/>
      <c r="F29" s="1791"/>
      <c r="G29" s="1791"/>
      <c r="H29" s="1791"/>
      <c r="I29" s="1791"/>
      <c r="J29" s="1791"/>
      <c r="K29" s="1792"/>
    </row>
    <row r="30" spans="1:12" ht="18" customHeight="1" thickBot="1">
      <c r="A30" s="1790"/>
      <c r="B30" s="1793"/>
      <c r="C30" s="1793"/>
      <c r="D30" s="1793"/>
      <c r="E30" s="1793"/>
      <c r="F30" s="1793"/>
      <c r="G30" s="1793"/>
      <c r="H30" s="1793"/>
      <c r="I30" s="1793"/>
      <c r="J30" s="1793"/>
      <c r="K30" s="1794"/>
    </row>
    <row r="31" spans="1:12" ht="18" customHeight="1" thickBot="1">
      <c r="A31" s="1790"/>
      <c r="B31" s="1791"/>
      <c r="C31" s="1791"/>
      <c r="D31" s="1791"/>
      <c r="E31" s="1791"/>
      <c r="F31" s="1791"/>
      <c r="G31" s="1791"/>
      <c r="H31" s="1791"/>
      <c r="I31" s="1791"/>
      <c r="J31" s="1791"/>
      <c r="K31" s="1792"/>
    </row>
    <row r="32" spans="1:12" ht="18" customHeight="1">
      <c r="A32" s="1387" t="s">
        <v>403</v>
      </c>
      <c r="B32" s="1388"/>
      <c r="C32" s="1388"/>
      <c r="D32" s="1388"/>
      <c r="E32" s="1388"/>
      <c r="F32" s="1388"/>
      <c r="G32" s="1388"/>
      <c r="H32" s="1388"/>
      <c r="I32" s="1388"/>
      <c r="J32" s="1388"/>
      <c r="K32" s="1389"/>
    </row>
    <row r="33" spans="1:11" ht="81" customHeight="1" thickBot="1">
      <c r="A33" s="1795"/>
      <c r="B33" s="1796"/>
      <c r="C33" s="1796"/>
      <c r="D33" s="1796"/>
      <c r="E33" s="1796"/>
      <c r="F33" s="1796"/>
      <c r="G33" s="1796"/>
      <c r="H33" s="1796"/>
      <c r="I33" s="1796"/>
      <c r="J33" s="1796"/>
      <c r="K33" s="1797"/>
    </row>
    <row r="34" spans="1:11" ht="13.5" thickTop="1"/>
  </sheetData>
  <sheetProtection password="CC5F" sheet="1" objects="1" scenarios="1"/>
  <mergeCells count="13">
    <mergeCell ref="A3:F3"/>
    <mergeCell ref="A5:H7"/>
    <mergeCell ref="A8:H8"/>
    <mergeCell ref="A33:K33"/>
    <mergeCell ref="A29:K29"/>
    <mergeCell ref="A30:K30"/>
    <mergeCell ref="A31:K31"/>
    <mergeCell ref="E12:F12"/>
    <mergeCell ref="E13:F13"/>
    <mergeCell ref="G12:H12"/>
    <mergeCell ref="G13:H13"/>
    <mergeCell ref="I12:J12"/>
    <mergeCell ref="I13:J13"/>
  </mergeCells>
  <conditionalFormatting sqref="A3">
    <cfRule type="containsText" dxfId="16" priority="1" stopIfTrue="1" operator="containsText" text="Enter">
      <formula>NOT(ISERROR(SEARCH("Enter",A3)))</formula>
    </cfRule>
  </conditionalFormatting>
  <printOptions horizontalCentered="1"/>
  <pageMargins left="0.5" right="0.5" top="0.75" bottom="0.75" header="0.5" footer="0.5"/>
  <pageSetup scale="83" fitToHeight="0" orientation="landscape" r:id="rId1"/>
  <headerFooter alignWithMargins="0"/>
  <customProperties>
    <customPr name="DrillPoint.FROID" r:id="rId2"/>
    <customPr name="DrillPoint.Mode" r:id="rId3"/>
    <customPr name="DrillPoint.Subsheet" r:id="rId4"/>
  </customPropertie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theme="5"/>
  </sheetPr>
  <dimension ref="A1:AG64"/>
  <sheetViews>
    <sheetView showGridLines="0" zoomScale="70" zoomScaleNormal="70" workbookViewId="0">
      <pane xSplit="4" ySplit="7" topLeftCell="I29" activePane="bottomRight" state="frozen"/>
      <selection pane="topRight" activeCell="E1" sqref="E1"/>
      <selection pane="bottomLeft" activeCell="A8" sqref="A8"/>
      <selection pane="bottomRight" activeCell="AA23" sqref="AA23"/>
    </sheetView>
  </sheetViews>
  <sheetFormatPr defaultRowHeight="12.75"/>
  <cols>
    <col min="1" max="1" width="2.5703125" customWidth="1"/>
    <col min="2" max="2" width="45.85546875" customWidth="1"/>
    <col min="3" max="3" width="14.7109375" customWidth="1"/>
    <col min="4" max="4" width="12.85546875" customWidth="1"/>
    <col min="5" max="5" width="13.42578125" customWidth="1"/>
    <col min="6" max="6" width="9" bestFit="1" customWidth="1"/>
    <col min="7" max="7" width="13.42578125" customWidth="1"/>
    <col min="8" max="8" width="9" bestFit="1" customWidth="1"/>
    <col min="9" max="9" width="13.42578125" customWidth="1"/>
    <col min="10" max="10" width="9" bestFit="1" customWidth="1"/>
    <col min="11" max="11" width="13.42578125" customWidth="1"/>
    <col min="12" max="12" width="9" bestFit="1" customWidth="1"/>
    <col min="13" max="13" width="13.42578125" customWidth="1"/>
    <col min="14" max="14" width="9" bestFit="1" customWidth="1"/>
    <col min="15" max="15" width="13.42578125" customWidth="1"/>
    <col min="16" max="16" width="9" bestFit="1" customWidth="1"/>
    <col min="17" max="17" width="13.42578125" customWidth="1"/>
    <col min="18" max="18" width="9" bestFit="1" customWidth="1"/>
    <col min="19" max="19" width="13.28515625" customWidth="1"/>
    <col min="20" max="20" width="9.140625" customWidth="1"/>
    <col min="21" max="21" width="13.28515625" customWidth="1"/>
    <col min="22" max="22" width="9.140625" customWidth="1"/>
    <col min="23" max="23" width="13.28515625" customWidth="1"/>
    <col min="24" max="24" width="9.140625" customWidth="1"/>
    <col min="25" max="25" width="13.28515625" customWidth="1"/>
    <col min="26" max="26" width="9.140625" customWidth="1"/>
    <col min="27" max="27" width="13.28515625" customWidth="1"/>
    <col min="28" max="28" width="9.140625" customWidth="1"/>
    <col min="29" max="29" width="13.42578125" style="174" customWidth="1"/>
    <col min="30" max="30" width="16.7109375" style="174" customWidth="1"/>
    <col min="31" max="32" width="13.7109375" customWidth="1"/>
    <col min="33" max="33" width="70.5703125" customWidth="1"/>
  </cols>
  <sheetData>
    <row r="1" spans="1:33" ht="16.5" thickBot="1">
      <c r="A1" s="176"/>
      <c r="B1" s="176"/>
      <c r="C1" s="176"/>
      <c r="D1" s="176"/>
      <c r="E1" s="177"/>
      <c r="F1" s="1815" t="str">
        <f>IF('INTERIM-CERTIFICATION'!$M$1="","CHARTER NAME: Enter Charter Name on INTERIM-CERTIFICATION Worksheet",(CONCATENATE("CHARTER NAME: ",'INTERIM-CERTIFICATION'!$M$1)))</f>
        <v>CHARTER NAME: Encore High School -</v>
      </c>
      <c r="G1" s="1815" t="str">
        <f>IF('INTERIM-CERTIFICATION'!$H$1="","CHARTER NAME: Enter Charter Name on INTERIM-CERTIFICATION Worksheet",(CONCATENATE("CHARTER NAME: ",'INTERIM-CERTIFICATION'!$H$1)))</f>
        <v>CHARTER NAME: Enter Charter Name on INTERIM-CERTIFICATION Worksheet</v>
      </c>
      <c r="H1" s="1815"/>
      <c r="I1" s="1815"/>
      <c r="J1" s="1815"/>
      <c r="K1" s="1815"/>
      <c r="L1" s="1815"/>
      <c r="M1" s="179"/>
      <c r="N1" s="179"/>
      <c r="O1" s="176"/>
      <c r="P1" s="180"/>
      <c r="Q1" s="178"/>
      <c r="R1" s="180"/>
      <c r="S1" s="181"/>
      <c r="T1" s="179"/>
      <c r="U1" s="1815" t="str">
        <f>F1</f>
        <v>CHARTER NAME: Encore High School -</v>
      </c>
      <c r="V1" s="1815" t="str">
        <f>IF('INTERIM-CERTIFICATION'!$H$1="","CHARTER NAME: Enter Charter Name on INTERIM-CERTIFICATION Worksheet",(CONCATENATE("CHARTER NAME: ",'INTERIM-CERTIFICATION'!$H$1)))</f>
        <v>CHARTER NAME: Enter Charter Name on INTERIM-CERTIFICATION Worksheet</v>
      </c>
      <c r="W1" s="1815"/>
      <c r="X1" s="1815"/>
      <c r="Y1" s="1815"/>
      <c r="Z1" s="1815"/>
      <c r="AA1" s="1815"/>
      <c r="AB1" s="182"/>
      <c r="AD1" s="1023"/>
      <c r="AE1" s="26"/>
      <c r="AF1" s="26"/>
      <c r="AG1" s="1212"/>
    </row>
    <row r="2" spans="1:33" ht="15.75">
      <c r="B2" s="183" t="s">
        <v>405</v>
      </c>
      <c r="C2" s="96">
        <v>44624</v>
      </c>
      <c r="D2" s="184"/>
      <c r="G2" s="1844" t="str">
        <f>""&amp;'Budget-ADA'!K7&amp;"  Second Interim Cash Flow"</f>
        <v>2021-22  Second Interim Cash Flow</v>
      </c>
      <c r="H2" s="1844"/>
      <c r="I2" s="1844"/>
      <c r="J2" s="1844"/>
      <c r="K2" s="1844"/>
      <c r="L2" s="179"/>
      <c r="M2" s="179"/>
      <c r="N2" s="179"/>
      <c r="O2" s="178"/>
      <c r="P2" s="182"/>
      <c r="Q2" s="26"/>
      <c r="R2" s="182"/>
      <c r="T2" s="178"/>
      <c r="U2" s="1862" t="str">
        <f>+G2</f>
        <v>2021-22  Second Interim Cash Flow</v>
      </c>
      <c r="V2" s="1862"/>
      <c r="W2" s="1862"/>
      <c r="X2" s="1862"/>
      <c r="Y2" s="1862"/>
      <c r="Z2" s="1862"/>
      <c r="AA2" s="1862"/>
      <c r="AB2" s="182"/>
      <c r="AC2" s="1023"/>
      <c r="AD2" s="1023"/>
      <c r="AE2" s="26"/>
      <c r="AF2" s="26"/>
      <c r="AG2" s="1212"/>
    </row>
    <row r="3" spans="1:33" ht="16.5" thickBot="1">
      <c r="A3" s="1090" t="str">
        <f>Instructions!H1</f>
        <v>Rev. 5/28/2021</v>
      </c>
      <c r="B3" s="182"/>
      <c r="C3" s="22"/>
      <c r="D3" s="22"/>
      <c r="E3" s="25"/>
      <c r="F3" s="24"/>
      <c r="G3" s="26"/>
      <c r="H3" s="24"/>
      <c r="I3" s="26"/>
      <c r="J3" s="24"/>
      <c r="K3" s="26"/>
      <c r="L3" s="24"/>
      <c r="M3" s="26"/>
      <c r="N3" s="24"/>
      <c r="O3" s="26"/>
      <c r="P3" s="24"/>
      <c r="Q3" s="26"/>
      <c r="R3" s="24"/>
      <c r="S3" s="26"/>
      <c r="T3" s="24"/>
      <c r="U3" s="26"/>
      <c r="V3" s="24"/>
      <c r="W3" s="26"/>
      <c r="X3" s="24"/>
      <c r="Y3" s="26"/>
      <c r="Z3" s="24"/>
      <c r="AA3" s="26"/>
      <c r="AB3" s="24"/>
      <c r="AC3" s="1023"/>
      <c r="AD3" s="1023"/>
      <c r="AE3" s="26"/>
      <c r="AF3" s="26"/>
      <c r="AG3" s="1212"/>
    </row>
    <row r="4" spans="1:33" ht="16.5" thickTop="1">
      <c r="A4" s="402"/>
      <c r="B4" s="71"/>
      <c r="C4" s="71"/>
      <c r="D4" s="71"/>
      <c r="E4" s="539" t="s">
        <v>406</v>
      </c>
      <c r="F4" s="403" t="s">
        <v>407</v>
      </c>
      <c r="G4" s="540" t="s">
        <v>408</v>
      </c>
      <c r="H4" s="403" t="s">
        <v>426</v>
      </c>
      <c r="I4" s="540" t="s">
        <v>409</v>
      </c>
      <c r="J4" s="403" t="s">
        <v>426</v>
      </c>
      <c r="K4" s="540" t="s">
        <v>410</v>
      </c>
      <c r="L4" s="403" t="s">
        <v>426</v>
      </c>
      <c r="M4" s="540" t="s">
        <v>411</v>
      </c>
      <c r="N4" s="403" t="s">
        <v>426</v>
      </c>
      <c r="O4" s="540" t="s">
        <v>412</v>
      </c>
      <c r="P4" s="403" t="s">
        <v>426</v>
      </c>
      <c r="Q4" s="540" t="s">
        <v>413</v>
      </c>
      <c r="R4" s="541" t="s">
        <v>426</v>
      </c>
      <c r="S4" s="185" t="s">
        <v>414</v>
      </c>
      <c r="T4" s="59" t="s">
        <v>426</v>
      </c>
      <c r="U4" s="185" t="s">
        <v>415</v>
      </c>
      <c r="V4" s="59" t="s">
        <v>426</v>
      </c>
      <c r="W4" s="185" t="s">
        <v>416</v>
      </c>
      <c r="X4" s="59" t="s">
        <v>426</v>
      </c>
      <c r="Y4" s="185" t="s">
        <v>417</v>
      </c>
      <c r="Z4" s="59" t="s">
        <v>426</v>
      </c>
      <c r="AA4" s="185" t="s">
        <v>418</v>
      </c>
      <c r="AB4" s="59" t="s">
        <v>426</v>
      </c>
      <c r="AC4" s="1024" t="s">
        <v>229</v>
      </c>
      <c r="AD4" s="1032"/>
      <c r="AE4" s="55" t="s">
        <v>232</v>
      </c>
      <c r="AF4" s="55"/>
      <c r="AG4" s="1212"/>
    </row>
    <row r="5" spans="1:33" ht="16.5" thickBot="1">
      <c r="A5" s="186"/>
      <c r="B5" s="22"/>
      <c r="C5" s="22"/>
      <c r="D5" s="22"/>
      <c r="E5" s="188" t="s">
        <v>550</v>
      </c>
      <c r="F5" s="60" t="s">
        <v>419</v>
      </c>
      <c r="G5" s="187" t="s">
        <v>550</v>
      </c>
      <c r="H5" s="60" t="s">
        <v>419</v>
      </c>
      <c r="I5" s="187" t="s">
        <v>550</v>
      </c>
      <c r="J5" s="60" t="s">
        <v>419</v>
      </c>
      <c r="K5" s="187" t="s">
        <v>550</v>
      </c>
      <c r="L5" s="60" t="s">
        <v>419</v>
      </c>
      <c r="M5" s="187" t="s">
        <v>550</v>
      </c>
      <c r="N5" s="60" t="s">
        <v>419</v>
      </c>
      <c r="O5" s="187" t="s">
        <v>550</v>
      </c>
      <c r="P5" s="60" t="s">
        <v>419</v>
      </c>
      <c r="Q5" s="187" t="s">
        <v>229</v>
      </c>
      <c r="R5" s="63" t="s">
        <v>419</v>
      </c>
      <c r="S5" s="187" t="s">
        <v>229</v>
      </c>
      <c r="T5" s="60" t="s">
        <v>419</v>
      </c>
      <c r="U5" s="187" t="s">
        <v>229</v>
      </c>
      <c r="V5" s="60" t="s">
        <v>419</v>
      </c>
      <c r="W5" s="187" t="s">
        <v>229</v>
      </c>
      <c r="X5" s="60" t="s">
        <v>419</v>
      </c>
      <c r="Y5" s="187" t="s">
        <v>229</v>
      </c>
      <c r="Z5" s="60" t="s">
        <v>419</v>
      </c>
      <c r="AA5" s="187" t="s">
        <v>229</v>
      </c>
      <c r="AB5" s="60" t="s">
        <v>419</v>
      </c>
      <c r="AC5" s="1025" t="s">
        <v>420</v>
      </c>
      <c r="AD5" s="1033" t="s">
        <v>400</v>
      </c>
      <c r="AE5" s="56" t="s">
        <v>234</v>
      </c>
      <c r="AF5" s="56" t="s">
        <v>421</v>
      </c>
      <c r="AG5" s="1212"/>
    </row>
    <row r="6" spans="1:33" ht="17.25" thickTop="1" thickBot="1">
      <c r="A6" s="189" t="s">
        <v>422</v>
      </c>
      <c r="B6" s="180"/>
      <c r="D6" s="412" t="s">
        <v>575</v>
      </c>
      <c r="E6" s="542">
        <v>1426798.85</v>
      </c>
      <c r="F6" s="61"/>
      <c r="G6" s="190">
        <f>E60</f>
        <v>1982944.8800000004</v>
      </c>
      <c r="H6" s="61"/>
      <c r="I6" s="190">
        <f>G60</f>
        <v>1455035.7000000004</v>
      </c>
      <c r="J6" s="61"/>
      <c r="K6" s="190">
        <f>I60</f>
        <v>1097265.9800000004</v>
      </c>
      <c r="L6" s="61"/>
      <c r="M6" s="190">
        <f>K60</f>
        <v>884935.36000000045</v>
      </c>
      <c r="N6" s="61"/>
      <c r="O6" s="190">
        <f>M60</f>
        <v>996026.19000000006</v>
      </c>
      <c r="P6" s="61"/>
      <c r="Q6" s="190">
        <f>O60</f>
        <v>696794.88999999966</v>
      </c>
      <c r="R6" s="543"/>
      <c r="S6" s="190">
        <f>Q60</f>
        <v>541114.06999999913</v>
      </c>
      <c r="T6" s="61"/>
      <c r="U6" s="190">
        <f>S60</f>
        <v>206295.62000000011</v>
      </c>
      <c r="V6" s="61"/>
      <c r="W6" s="190">
        <f>U60</f>
        <v>540393.35249999992</v>
      </c>
      <c r="X6" s="61"/>
      <c r="Y6" s="190">
        <f>W60</f>
        <v>214534.46499999997</v>
      </c>
      <c r="Z6" s="61"/>
      <c r="AA6" s="190">
        <f>Y60</f>
        <v>834674.49749999994</v>
      </c>
      <c r="AB6" s="61"/>
      <c r="AC6" s="389">
        <f>+AA60</f>
        <v>122053.46999999997</v>
      </c>
      <c r="AD6" s="57"/>
      <c r="AE6" s="57"/>
      <c r="AF6" s="58"/>
      <c r="AG6" s="1212"/>
    </row>
    <row r="7" spans="1:33" ht="16.5" thickTop="1">
      <c r="A7" s="404"/>
      <c r="B7" s="368"/>
      <c r="C7" s="64"/>
      <c r="D7" s="64"/>
      <c r="E7" s="1859" t="s">
        <v>597</v>
      </c>
      <c r="F7" s="1860"/>
      <c r="G7" s="1860"/>
      <c r="H7" s="1860"/>
      <c r="I7" s="1860"/>
      <c r="J7" s="1860"/>
      <c r="K7" s="1860"/>
      <c r="L7" s="1860"/>
      <c r="M7" s="1860"/>
      <c r="N7" s="1860"/>
      <c r="O7" s="1860"/>
      <c r="P7" s="1860"/>
      <c r="Q7" s="1860"/>
      <c r="R7" s="1861"/>
      <c r="S7" s="65"/>
      <c r="T7" s="62"/>
      <c r="U7" s="65"/>
      <c r="V7" s="62"/>
      <c r="W7" s="65"/>
      <c r="X7" s="62"/>
      <c r="Y7" s="65"/>
      <c r="Z7" s="62"/>
      <c r="AA7" s="65"/>
      <c r="AB7" s="62"/>
      <c r="AC7" s="1026"/>
      <c r="AD7" s="1026"/>
      <c r="AE7" s="65"/>
      <c r="AF7" s="552"/>
      <c r="AG7" s="1212"/>
    </row>
    <row r="8" spans="1:33" ht="15.75">
      <c r="A8" s="66" t="s">
        <v>423</v>
      </c>
      <c r="B8" s="522"/>
      <c r="C8" s="373"/>
      <c r="D8" s="373"/>
      <c r="E8" s="374"/>
      <c r="F8" s="165"/>
      <c r="G8" s="375"/>
      <c r="H8" s="165"/>
      <c r="I8" s="375"/>
      <c r="J8" s="165"/>
      <c r="K8" s="375"/>
      <c r="L8" s="165"/>
      <c r="M8" s="375"/>
      <c r="N8" s="165"/>
      <c r="O8" s="375"/>
      <c r="P8" s="165"/>
      <c r="Q8" s="375"/>
      <c r="R8" s="544"/>
      <c r="S8" s="375"/>
      <c r="T8" s="165"/>
      <c r="U8" s="375"/>
      <c r="V8" s="165"/>
      <c r="W8" s="375"/>
      <c r="X8" s="165"/>
      <c r="Y8" s="375"/>
      <c r="Z8" s="165"/>
      <c r="AA8" s="375"/>
      <c r="AB8" s="165"/>
      <c r="AC8" s="1027"/>
      <c r="AD8" s="1027"/>
      <c r="AE8" s="375"/>
      <c r="AF8" s="524"/>
      <c r="AG8" s="1212"/>
    </row>
    <row r="9" spans="1:33" ht="15.75">
      <c r="A9" s="405" t="s">
        <v>236</v>
      </c>
      <c r="B9" s="146"/>
      <c r="C9" s="140"/>
      <c r="D9" s="1070"/>
      <c r="E9" s="781"/>
      <c r="F9" s="386"/>
      <c r="G9" s="509"/>
      <c r="H9" s="386"/>
      <c r="I9" s="509"/>
      <c r="J9" s="386"/>
      <c r="K9" s="509"/>
      <c r="L9" s="386"/>
      <c r="M9" s="509"/>
      <c r="N9" s="386"/>
      <c r="O9" s="509"/>
      <c r="P9" s="386"/>
      <c r="Q9" s="509"/>
      <c r="R9" s="514"/>
      <c r="S9" s="1081"/>
      <c r="T9" s="386"/>
      <c r="U9" s="509"/>
      <c r="V9" s="386"/>
      <c r="W9" s="509"/>
      <c r="X9" s="386"/>
      <c r="Y9" s="509"/>
      <c r="Z9" s="386"/>
      <c r="AA9" s="509"/>
      <c r="AB9" s="386"/>
      <c r="AC9" s="1028"/>
      <c r="AD9" s="1031"/>
      <c r="AE9" s="1031"/>
      <c r="AF9" s="387"/>
      <c r="AG9" s="1212"/>
    </row>
    <row r="10" spans="1:33" ht="15.75">
      <c r="A10" s="406"/>
      <c r="B10" s="279" t="s">
        <v>237</v>
      </c>
      <c r="C10" s="278">
        <v>8011</v>
      </c>
      <c r="D10" s="1070"/>
      <c r="E10" s="378">
        <v>0</v>
      </c>
      <c r="F10" s="531" t="str">
        <f>IF($AE10&lt;1," ",IF(E10&lt;1," ",(E10)/$AE10))</f>
        <v xml:space="preserve"> </v>
      </c>
      <c r="G10" s="390">
        <v>343371</v>
      </c>
      <c r="H10" s="531">
        <f>IF($AE10&lt;1," ",IF(G10&lt;1," ",(G10)/$AE10))</f>
        <v>8.2901007740334237E-2</v>
      </c>
      <c r="I10" s="390">
        <v>343371</v>
      </c>
      <c r="J10" s="531">
        <f>IF($AE10&lt;1," ",IF(I10&lt;1," ",(I10)/$AE10))</f>
        <v>8.2901007740334237E-2</v>
      </c>
      <c r="K10" s="390">
        <v>618068</v>
      </c>
      <c r="L10" s="531">
        <f>IF($AE10&lt;1," ",IF(K10&lt;1," ",(K10)/$AE10))</f>
        <v>0.14922186221915335</v>
      </c>
      <c r="M10" s="390">
        <v>618068</v>
      </c>
      <c r="N10" s="340">
        <f>IF($AE10&lt;1," ",IF(M10&lt;1," ",(M10)/$AE10))</f>
        <v>0.14922186221915335</v>
      </c>
      <c r="O10" s="390">
        <v>618068</v>
      </c>
      <c r="P10" s="340">
        <f>IF($AE10&lt;1," ",IF(O10&lt;1," ",(O10)/$AE10))</f>
        <v>0.14922186221915335</v>
      </c>
      <c r="Q10" s="390">
        <v>618068</v>
      </c>
      <c r="R10" s="341">
        <f>IF($AE10&lt;1," ",IF(Q10&lt;1," ",(Q10)/$AE10))</f>
        <v>0.14922186221915335</v>
      </c>
      <c r="S10" s="377">
        <v>618068</v>
      </c>
      <c r="T10" s="340">
        <f>IF($AE10&lt;1," ",IF(S10&lt;1," ",(S10)/$AE10))</f>
        <v>0.14922186221915335</v>
      </c>
      <c r="U10" s="390">
        <v>72411.600000000006</v>
      </c>
      <c r="V10" s="340">
        <f>IF($AE10&lt;1," ",IF(U10&lt;1," ",(U10)/$AE10))</f>
        <v>1.7482532339918012E-2</v>
      </c>
      <c r="W10" s="390">
        <v>72411.600000000006</v>
      </c>
      <c r="X10" s="340">
        <f>IF($AE10&lt;1," ",IF(W10&lt;1," ",(W10)/$AE10))</f>
        <v>1.7482532339918012E-2</v>
      </c>
      <c r="Y10" s="390">
        <v>72411.600000000006</v>
      </c>
      <c r="Z10" s="340">
        <f>IF($AE10&lt;1," ",IF(Y10&lt;1," ",(Y10)/$AE10))</f>
        <v>1.7482532339918012E-2</v>
      </c>
      <c r="AA10" s="390">
        <v>72411.600000000006</v>
      </c>
      <c r="AB10" s="340">
        <f>IF($AE10&lt;1," ",IF(AA10&lt;1," ",(AA10)/$AE10))</f>
        <v>1.7482532339918012E-2</v>
      </c>
      <c r="AC10" s="1600">
        <f>AE10-(E10+G10+I10+K10+M10+O10+Q10+S10+U10+W10+Y10+AA10)</f>
        <v>75211.599999999627</v>
      </c>
      <c r="AD10" s="379">
        <f>+E10+G10+I10+K10+M10+O10+Q10+S10+U10+W10+Y10+AA10+AC10</f>
        <v>4141940</v>
      </c>
      <c r="AE10" s="379">
        <f>'2nd Interim-Summary MYP'!H13</f>
        <v>4141940</v>
      </c>
      <c r="AF10" s="379">
        <f>+AE10-AD10</f>
        <v>0</v>
      </c>
      <c r="AG10" s="1212"/>
    </row>
    <row r="11" spans="1:33" ht="15.75">
      <c r="A11" s="406"/>
      <c r="B11" s="140" t="s">
        <v>239</v>
      </c>
      <c r="C11" s="278">
        <v>8012</v>
      </c>
      <c r="D11" s="1070"/>
      <c r="E11" s="378">
        <v>0</v>
      </c>
      <c r="F11" s="531" t="str">
        <f>IF($AE11&lt;1," ",IF(E11&lt;1," ",(E11)/$AE11))</f>
        <v xml:space="preserve"> </v>
      </c>
      <c r="G11" s="390">
        <v>0</v>
      </c>
      <c r="H11" s="531" t="str">
        <f>IF($AE11&lt;1," ",IF(G11&lt;1," ",(G11)/$AE11))</f>
        <v xml:space="preserve"> </v>
      </c>
      <c r="I11" s="390">
        <v>0</v>
      </c>
      <c r="J11" s="531" t="str">
        <f>IF($AE11&lt;1," ",IF(I11&lt;1," ",(I11)/$AE11))</f>
        <v xml:space="preserve"> </v>
      </c>
      <c r="K11" s="390">
        <v>609490</v>
      </c>
      <c r="L11" s="531">
        <f>IF($AE11&lt;1," ",IF(K11&lt;1," ",(K11)/$AE11))</f>
        <v>0.24908680296440636</v>
      </c>
      <c r="M11" s="390">
        <v>0</v>
      </c>
      <c r="N11" s="340" t="str">
        <f>IF($AE11&lt;1," ",IF(M11&lt;1," ",(M11)/$AE11))</f>
        <v xml:space="preserve"> </v>
      </c>
      <c r="O11" s="390">
        <v>0</v>
      </c>
      <c r="P11" s="340" t="str">
        <f>IF($AE11&lt;1," ",IF(O11&lt;1," ",(O11)/$AE11))</f>
        <v xml:space="preserve"> </v>
      </c>
      <c r="Q11" s="390">
        <v>609489</v>
      </c>
      <c r="R11" s="341">
        <f>IF($AE11&lt;1," ",IF(Q11&lt;1," ",(Q11)/$AE11))</f>
        <v>0.24908639428370125</v>
      </c>
      <c r="S11" s="377">
        <v>0</v>
      </c>
      <c r="T11" s="340" t="str">
        <f>IF($AE11&lt;1," ",IF(S11&lt;1," ",(S11)/$AE11))</f>
        <v xml:space="preserve"> </v>
      </c>
      <c r="U11" s="390">
        <v>690753</v>
      </c>
      <c r="V11" s="340">
        <f>IF($AE11&lt;1," ",IF(U11&lt;1," ",(U11)/$AE11))</f>
        <v>0.28229742310468192</v>
      </c>
      <c r="W11" s="390">
        <v>0</v>
      </c>
      <c r="X11" s="340" t="str">
        <f>IF($AE11&lt;1," ",IF(W11&lt;1," ",(W11)/$AE11))</f>
        <v xml:space="preserve"> </v>
      </c>
      <c r="Y11" s="390">
        <v>0</v>
      </c>
      <c r="Z11" s="340" t="str">
        <f>IF($AE11&lt;1," ",IF(Y11&lt;1," ",(Y11)/$AE11))</f>
        <v xml:space="preserve"> </v>
      </c>
      <c r="AA11" s="390">
        <v>0</v>
      </c>
      <c r="AB11" s="340" t="str">
        <f>IF($AE11&lt;1," ",IF(AA11&lt;1," ",(AA11)/$AE11))</f>
        <v xml:space="preserve"> </v>
      </c>
      <c r="AC11" s="1600">
        <f t="shared" ref="AC11:AC22" si="0">AE11-(E11+G11+I11+K11+M11+O11+Q11+S11+U11+W11+Y11+AA11)</f>
        <v>537166</v>
      </c>
      <c r="AD11" s="379">
        <f>+E11+G11+I11+K11+M11+O11+Q11+S11+U11+W11+Y11+AA11+AC11</f>
        <v>2446898</v>
      </c>
      <c r="AE11" s="379">
        <f>'2nd Interim-Summary MYP'!H14</f>
        <v>2446898</v>
      </c>
      <c r="AF11" s="379">
        <f>+AE11-AD11</f>
        <v>0</v>
      </c>
      <c r="AG11" s="1212"/>
    </row>
    <row r="12" spans="1:33" ht="15.75">
      <c r="A12" s="406"/>
      <c r="B12" s="140" t="s">
        <v>240</v>
      </c>
      <c r="C12" s="278">
        <v>8019</v>
      </c>
      <c r="D12" s="1074"/>
      <c r="E12" s="378">
        <v>0</v>
      </c>
      <c r="F12" s="531" t="str">
        <f>IF($AE12&lt;1," ",IF(E12&lt;1," ",(E12)/$AE12))</f>
        <v xml:space="preserve"> </v>
      </c>
      <c r="G12" s="390">
        <v>0</v>
      </c>
      <c r="H12" s="531" t="str">
        <f>IF($AE12&lt;1," ",IF(G12&lt;1," ",(G12)/$AE12))</f>
        <v xml:space="preserve"> </v>
      </c>
      <c r="I12" s="390">
        <v>0</v>
      </c>
      <c r="J12" s="531" t="str">
        <f>IF($AE12&lt;1," ",IF(I12&lt;1," ",(I12)/$AE12))</f>
        <v xml:space="preserve"> </v>
      </c>
      <c r="K12" s="390">
        <v>0</v>
      </c>
      <c r="L12" s="531" t="str">
        <f>IF($AE12&lt;1," ",IF(K12&lt;1," ",(K12)/$AE12))</f>
        <v xml:space="preserve"> </v>
      </c>
      <c r="M12" s="390">
        <v>0</v>
      </c>
      <c r="N12" s="340" t="str">
        <f>IF($AE12&lt;1," ",IF(M12&lt;1," ",(M12)/$AE12))</f>
        <v xml:space="preserve"> </v>
      </c>
      <c r="O12" s="390">
        <v>0</v>
      </c>
      <c r="P12" s="340" t="str">
        <f>IF($AE12&lt;1," ",IF(O12&lt;1," ",(O12)/$AE12))</f>
        <v xml:space="preserve"> </v>
      </c>
      <c r="Q12" s="390">
        <v>0</v>
      </c>
      <c r="R12" s="341" t="str">
        <f>IF($AE12&lt;1," ",IF(Q12&lt;1," ",(Q12)/$AE12))</f>
        <v xml:space="preserve"> </v>
      </c>
      <c r="S12" s="377">
        <v>0</v>
      </c>
      <c r="T12" s="340" t="str">
        <f>IF($AE12&lt;1," ",IF(S12&lt;1," ",(S12)/$AE12))</f>
        <v xml:space="preserve"> </v>
      </c>
      <c r="U12" s="390">
        <v>0</v>
      </c>
      <c r="V12" s="340" t="str">
        <f>IF($AE12&lt;1," ",IF(U12&lt;1," ",(U12)/$AE12))</f>
        <v xml:space="preserve"> </v>
      </c>
      <c r="W12" s="390">
        <v>0</v>
      </c>
      <c r="X12" s="340" t="str">
        <f>IF($AE12&lt;1," ",IF(W12&lt;1," ",(W12)/$AE12))</f>
        <v xml:space="preserve"> </v>
      </c>
      <c r="Y12" s="390">
        <v>0</v>
      </c>
      <c r="Z12" s="340" t="str">
        <f>IF($AE12&lt;1," ",IF(Y12&lt;1," ",(Y12)/$AE12))</f>
        <v xml:space="preserve"> </v>
      </c>
      <c r="AA12" s="390">
        <v>0</v>
      </c>
      <c r="AB12" s="340" t="str">
        <f>IF($AE12&lt;1," ",IF(AA12&lt;1," ",(AA12)/$AE12))</f>
        <v xml:space="preserve"> </v>
      </c>
      <c r="AC12" s="1600">
        <f t="shared" si="0"/>
        <v>0</v>
      </c>
      <c r="AD12" s="379">
        <f>+E12+G12+I12+K12+M12+O12+Q12+S12+U12+W12+Y12+AA12+AC12</f>
        <v>0</v>
      </c>
      <c r="AE12" s="380">
        <f>'2nd Interim-Summary MYP'!H15</f>
        <v>0</v>
      </c>
      <c r="AF12" s="379">
        <f>+AE12-AD12</f>
        <v>0</v>
      </c>
      <c r="AG12" s="1212"/>
    </row>
    <row r="13" spans="1:33" ht="15.75">
      <c r="A13" s="406"/>
      <c r="B13" s="140" t="s">
        <v>241</v>
      </c>
      <c r="C13" s="278">
        <v>8096</v>
      </c>
      <c r="D13" s="1074"/>
      <c r="E13" s="378">
        <v>0</v>
      </c>
      <c r="F13" s="531" t="str">
        <f>IF($AE13&lt;1," ",IF(E13&lt;1," ",(E13)/$AE13))</f>
        <v xml:space="preserve"> </v>
      </c>
      <c r="G13" s="390">
        <v>0</v>
      </c>
      <c r="H13" s="531" t="str">
        <f>IF($AE13&lt;1," ",IF(G13&lt;1," ",(G13)/$AE13))</f>
        <v xml:space="preserve"> </v>
      </c>
      <c r="I13" s="390">
        <v>0</v>
      </c>
      <c r="J13" s="531" t="str">
        <f>IF($AE13&lt;1," ",IF(I13&lt;1," ",(I13)/$AE13))</f>
        <v xml:space="preserve"> </v>
      </c>
      <c r="K13" s="390">
        <v>0</v>
      </c>
      <c r="L13" s="531" t="str">
        <f>IF($AE13&lt;1," ",IF(K13&lt;1," ",(K13)/$AE13))</f>
        <v xml:space="preserve"> </v>
      </c>
      <c r="M13" s="390">
        <v>13822</v>
      </c>
      <c r="N13" s="340">
        <f>IF($AE13&lt;1," ",IF(M13&lt;1," ",(M13)/$AE13))</f>
        <v>5.8039538438282079E-2</v>
      </c>
      <c r="O13" s="390">
        <v>172580</v>
      </c>
      <c r="P13" s="340">
        <f>IF($AE13&lt;1," ",IF(O13&lt;1," ",(O13)/$AE13))</f>
        <v>0.72467541192871665</v>
      </c>
      <c r="Q13" s="390">
        <v>0</v>
      </c>
      <c r="R13" s="341" t="str">
        <f>IF($AE13&lt;1," ",IF(Q13&lt;1," ",(Q13)/$AE13))</f>
        <v xml:space="preserve"> </v>
      </c>
      <c r="S13" s="377">
        <v>27613</v>
      </c>
      <c r="T13" s="340">
        <f>IF($AE13&lt;1," ",IF(S13&lt;1," ",(S13)/$AE13))</f>
        <v>0.11594890572249189</v>
      </c>
      <c r="U13" s="390">
        <v>0</v>
      </c>
      <c r="V13" s="340" t="str">
        <f>IF($AE13&lt;1," ",IF(U13&lt;1," ",(U13)/$AE13))</f>
        <v xml:space="preserve"> </v>
      </c>
      <c r="W13" s="390">
        <v>0</v>
      </c>
      <c r="X13" s="340" t="str">
        <f>IF($AE13&lt;1," ",IF(W13&lt;1," ",(W13)/$AE13))</f>
        <v xml:space="preserve"> </v>
      </c>
      <c r="Y13" s="390">
        <v>0</v>
      </c>
      <c r="Z13" s="340" t="str">
        <f>IF($AE13&lt;1," ",IF(Y13&lt;1," ",(Y13)/$AE13))</f>
        <v xml:space="preserve"> </v>
      </c>
      <c r="AA13" s="390">
        <v>0</v>
      </c>
      <c r="AB13" s="340" t="str">
        <f>IF($AE13&lt;1," ",IF(AA13&lt;1," ",(AA13)/$AE13))</f>
        <v xml:space="preserve"> </v>
      </c>
      <c r="AC13" s="1600">
        <f t="shared" si="0"/>
        <v>24133</v>
      </c>
      <c r="AD13" s="379">
        <f>+E13+G13+I13+K13+M13+O13+Q13+S13+U13+W13+Y13+AA13+AC13</f>
        <v>238148</v>
      </c>
      <c r="AE13" s="379">
        <f>'2nd Interim-Summary MYP'!H16</f>
        <v>238148</v>
      </c>
      <c r="AF13" s="379">
        <f>+AE13-AD13</f>
        <v>0</v>
      </c>
      <c r="AG13" s="1212"/>
    </row>
    <row r="14" spans="1:33" ht="15.75">
      <c r="A14" s="405" t="s">
        <v>242</v>
      </c>
      <c r="B14" s="146"/>
      <c r="C14" s="278" t="s">
        <v>243</v>
      </c>
      <c r="D14" s="1070"/>
      <c r="E14" s="378">
        <v>23417</v>
      </c>
      <c r="F14" s="531">
        <f>IF($AE14&lt;1," ",IF(E14&lt;1," ",(E14)/$AE14))</f>
        <v>8.8431939887096377E-3</v>
      </c>
      <c r="G14" s="390">
        <v>127144</v>
      </c>
      <c r="H14" s="531">
        <f>IF($AE14&lt;1," ",IF(G14&lt;1," ",(G14)/$AE14))</f>
        <v>4.8014649891126034E-2</v>
      </c>
      <c r="I14" s="390">
        <v>0</v>
      </c>
      <c r="J14" s="531" t="str">
        <f>IF($AE14&lt;1," ",IF(I14&lt;1," ",(I14)/$AE14))</f>
        <v xml:space="preserve"> </v>
      </c>
      <c r="K14" s="390">
        <v>98754.69</v>
      </c>
      <c r="L14" s="531">
        <f>IF($AE14&lt;1," ",IF(K14&lt;1," ",(K14)/$AE14))</f>
        <v>3.7293713155608484E-2</v>
      </c>
      <c r="M14" s="390">
        <v>32436.22</v>
      </c>
      <c r="N14" s="340">
        <f>IF($AE14&lt;1," ",IF(M14&lt;1," ",(M14)/$AE14))</f>
        <v>1.2249211501066035E-2</v>
      </c>
      <c r="O14" s="390">
        <v>47320.7</v>
      </c>
      <c r="P14" s="340">
        <f>IF($AE14&lt;1," ",IF(O14&lt;1," ",(O14)/$AE14))</f>
        <v>1.7870185326110611E-2</v>
      </c>
      <c r="Q14" s="390">
        <v>626138</v>
      </c>
      <c r="R14" s="341">
        <f>IF($AE14&lt;1," ",IF(Q14&lt;1," ",(Q14)/$AE14))</f>
        <v>0.23645470374952707</v>
      </c>
      <c r="S14" s="377">
        <v>124376</v>
      </c>
      <c r="T14" s="340">
        <f>IF($AE14&lt;1," ",IF(S14&lt;1," ",(S14)/$AE14))</f>
        <v>4.6969342594685486E-2</v>
      </c>
      <c r="U14" s="390">
        <v>21275.22</v>
      </c>
      <c r="V14" s="340">
        <f>IF($AE14&lt;1," ",IF(U14&lt;1," ",(U14)/$AE14))</f>
        <v>8.0343723624919962E-3</v>
      </c>
      <c r="W14" s="390">
        <v>489275.22</v>
      </c>
      <c r="X14" s="340">
        <f>IF($AE14&lt;1," ",IF(W14&lt;1," ",(W14)/$AE14))</f>
        <v>0.1847698545641451</v>
      </c>
      <c r="Y14" s="390">
        <v>68021.709999999992</v>
      </c>
      <c r="Z14" s="340">
        <f>IF($AE14&lt;1," ",IF(Y14&lt;1," ",(Y14)/$AE14))</f>
        <v>2.5687713070579075E-2</v>
      </c>
      <c r="AA14" s="390">
        <v>68021.709999999992</v>
      </c>
      <c r="AB14" s="340">
        <f>IF($AE14&lt;1," ",IF(AA14&lt;1," ",(AA14)/$AE14))</f>
        <v>2.5687713070579075E-2</v>
      </c>
      <c r="AC14" s="1600">
        <f t="shared" si="0"/>
        <v>921844.67000000016</v>
      </c>
      <c r="AD14" s="379">
        <f>+E14+G14+I14+K14+M14+O14+Q14+S14+U14+W14+Y14+AA14+AC14</f>
        <v>2648025.14</v>
      </c>
      <c r="AE14" s="379">
        <f>'2nd Interim-Summary MYP'!H17</f>
        <v>2648025.14</v>
      </c>
      <c r="AF14" s="379">
        <f t="shared" ref="AF14:AF22" si="1">+AE14-AD14</f>
        <v>0</v>
      </c>
      <c r="AG14" s="1212"/>
    </row>
    <row r="15" spans="1:33" ht="15.75">
      <c r="A15" s="406" t="s">
        <v>244</v>
      </c>
      <c r="B15" s="140"/>
      <c r="C15" s="140"/>
      <c r="D15" s="1070"/>
      <c r="E15" s="510"/>
      <c r="F15" s="531"/>
      <c r="G15" s="391"/>
      <c r="H15" s="531"/>
      <c r="I15" s="391"/>
      <c r="J15" s="531"/>
      <c r="K15" s="391"/>
      <c r="L15" s="531"/>
      <c r="M15" s="391"/>
      <c r="N15" s="340"/>
      <c r="O15" s="391"/>
      <c r="P15" s="340"/>
      <c r="Q15" s="391"/>
      <c r="R15" s="341"/>
      <c r="S15" s="381"/>
      <c r="T15" s="340"/>
      <c r="U15" s="391"/>
      <c r="V15" s="340"/>
      <c r="W15" s="391"/>
      <c r="X15" s="340"/>
      <c r="Y15" s="391"/>
      <c r="Z15" s="340"/>
      <c r="AA15" s="391"/>
      <c r="AB15" s="340"/>
      <c r="AC15" s="1601"/>
      <c r="AD15" s="379"/>
      <c r="AE15" s="379"/>
      <c r="AF15" s="379"/>
      <c r="AG15" s="1212"/>
    </row>
    <row r="16" spans="1:33" ht="15.75">
      <c r="A16" s="406"/>
      <c r="B16" s="140" t="s">
        <v>245</v>
      </c>
      <c r="C16" s="278">
        <v>8560</v>
      </c>
      <c r="D16" s="1070"/>
      <c r="E16" s="378">
        <v>0</v>
      </c>
      <c r="F16" s="531" t="str">
        <f>IF($AE16&lt;1," ",IF(E16&lt;1," ",(E16)/$AE16))</f>
        <v xml:space="preserve"> </v>
      </c>
      <c r="G16" s="390">
        <v>0</v>
      </c>
      <c r="H16" s="531" t="str">
        <f>IF($AE16&lt;1," ",IF(G16&lt;1," ",(G16)/$AE16))</f>
        <v xml:space="preserve"> </v>
      </c>
      <c r="I16" s="390">
        <v>0</v>
      </c>
      <c r="J16" s="531" t="str">
        <f>IF($AE16&lt;1," ",IF(I16&lt;1," ",(I16)/$AE16))</f>
        <v xml:space="preserve"> </v>
      </c>
      <c r="K16" s="390">
        <v>0</v>
      </c>
      <c r="L16" s="531" t="str">
        <f>IF($AE16&lt;1," ",IF(K16&lt;1," ",(K16)/$AE16))</f>
        <v xml:space="preserve"> </v>
      </c>
      <c r="M16" s="390">
        <v>0</v>
      </c>
      <c r="N16" s="340" t="str">
        <f>IF($AE16&lt;1," ",IF(M16&lt;1," ",(M16)/$AE16))</f>
        <v xml:space="preserve"> </v>
      </c>
      <c r="O16" s="390">
        <v>0</v>
      </c>
      <c r="P16" s="340" t="str">
        <f>IF($AE16&lt;1," ",IF(O16&lt;1," ",(O16)/$AE16))</f>
        <v xml:space="preserve"> </v>
      </c>
      <c r="Q16" s="390">
        <v>33012</v>
      </c>
      <c r="R16" s="341">
        <f>IF($AE16&lt;1," ",IF(Q16&lt;1," ",(Q16)/$AE16))</f>
        <v>0.30000235682603987</v>
      </c>
      <c r="S16" s="377">
        <v>0</v>
      </c>
      <c r="T16" s="340" t="str">
        <f>IF($AE16&lt;1," ",IF(S16&lt;1," ",(S16)/$AE16))</f>
        <v xml:space="preserve"> </v>
      </c>
      <c r="U16" s="390">
        <v>0</v>
      </c>
      <c r="V16" s="340" t="str">
        <f>IF($AE16&lt;1," ",IF(U16&lt;1," ",(U16)/$AE16))</f>
        <v xml:space="preserve"> </v>
      </c>
      <c r="W16" s="390">
        <v>33012</v>
      </c>
      <c r="X16" s="340">
        <f>IF($AE16&lt;1," ",IF(W16&lt;1," ",(W16)/$AE16))</f>
        <v>0.30000235682603987</v>
      </c>
      <c r="Y16" s="390">
        <v>0</v>
      </c>
      <c r="Z16" s="340" t="str">
        <f>IF($AE16&lt;1," ",IF(Y16&lt;1," ",(Y16)/$AE16))</f>
        <v xml:space="preserve"> </v>
      </c>
      <c r="AA16" s="390">
        <v>0</v>
      </c>
      <c r="AB16" s="340" t="str">
        <f>IF($AE16&lt;1," ",IF(AA16&lt;1," ",(AA16)/$AE16))</f>
        <v xml:space="preserve"> </v>
      </c>
      <c r="AC16" s="1600">
        <f t="shared" si="0"/>
        <v>44015.13552299999</v>
      </c>
      <c r="AD16" s="379">
        <f>+E16+G16+I16+K16+M16+O16+Q16+S16+U16+W16+Y16+AA16+AC16</f>
        <v>110039.13552299999</v>
      </c>
      <c r="AE16" s="379">
        <f>'2nd Interim-Summary MYP'!H19</f>
        <v>110039.13552299999</v>
      </c>
      <c r="AF16" s="379">
        <f t="shared" si="1"/>
        <v>0</v>
      </c>
      <c r="AG16" s="1212"/>
    </row>
    <row r="17" spans="1:33" ht="15.75">
      <c r="A17" s="406"/>
      <c r="B17" s="140" t="s">
        <v>246</v>
      </c>
      <c r="C17" s="278">
        <v>8560</v>
      </c>
      <c r="D17" s="1070"/>
      <c r="E17" s="378">
        <v>0</v>
      </c>
      <c r="F17" s="531" t="str">
        <f>IF($AE17&lt;1," ",IF(E17&lt;1," ",(E17)/$AE17))</f>
        <v xml:space="preserve"> </v>
      </c>
      <c r="G17" s="390">
        <v>0</v>
      </c>
      <c r="H17" s="531" t="str">
        <f>IF($AE17&lt;1," ",IF(G17&lt;1," ",(G17)/$AE17))</f>
        <v xml:space="preserve"> </v>
      </c>
      <c r="I17" s="390">
        <v>0</v>
      </c>
      <c r="J17" s="531" t="str">
        <f>IF($AE17&lt;1," ",IF(I17&lt;1," ",(I17)/$AE17))</f>
        <v xml:space="preserve"> </v>
      </c>
      <c r="K17" s="390">
        <v>0</v>
      </c>
      <c r="L17" s="531" t="str">
        <f>IF($AE17&lt;1," ",IF(K17&lt;1," ",(K17)/$AE17))</f>
        <v xml:space="preserve"> </v>
      </c>
      <c r="M17" s="390">
        <v>0</v>
      </c>
      <c r="N17" s="340" t="str">
        <f>IF($AE17&lt;1," ",IF(M17&lt;1," ",(M17)/$AE17))</f>
        <v xml:space="preserve"> </v>
      </c>
      <c r="O17" s="390">
        <v>0</v>
      </c>
      <c r="P17" s="340" t="str">
        <f>IF($AE17&lt;1," ",IF(O17&lt;1," ",(O17)/$AE17))</f>
        <v xml:space="preserve"> </v>
      </c>
      <c r="Q17" s="390">
        <v>0</v>
      </c>
      <c r="R17" s="341" t="str">
        <f>IF($AE17&lt;1," ",IF(Q17&lt;1," ",(Q17)/$AE17))</f>
        <v xml:space="preserve"> </v>
      </c>
      <c r="S17" s="377">
        <v>0</v>
      </c>
      <c r="T17" s="340" t="str">
        <f>IF($AE17&lt;1," ",IF(S17&lt;1," ",(S17)/$AE17))</f>
        <v xml:space="preserve"> </v>
      </c>
      <c r="U17" s="390">
        <v>0</v>
      </c>
      <c r="V17" s="340" t="str">
        <f>IF($AE17&lt;1," ",IF(U17&lt;1," ",(U17)/$AE17))</f>
        <v xml:space="preserve"> </v>
      </c>
      <c r="W17" s="390">
        <v>10970</v>
      </c>
      <c r="X17" s="340">
        <f>IF($AE17&lt;1," ",IF(W17&lt;1," ",(W17)/$AE17))</f>
        <v>0.24999637160576113</v>
      </c>
      <c r="Y17" s="390">
        <v>0</v>
      </c>
      <c r="Z17" s="340" t="str">
        <f>IF($AE17&lt;1," ",IF(Y17&lt;1," ",(Y17)/$AE17))</f>
        <v xml:space="preserve"> </v>
      </c>
      <c r="AA17" s="390">
        <v>0</v>
      </c>
      <c r="AB17" s="340" t="str">
        <f>IF($AE17&lt;1," ",IF(AA17&lt;1," ",(AA17)/$AE17))</f>
        <v xml:space="preserve"> </v>
      </c>
      <c r="AC17" s="1600">
        <f t="shared" si="0"/>
        <v>32910.636864999993</v>
      </c>
      <c r="AD17" s="379">
        <f>+E17+G17+I17+K17+M17+O17+Q17+S17+U17+W17+Y17+AA17+AC17</f>
        <v>43880.636864999993</v>
      </c>
      <c r="AE17" s="379">
        <f>'2nd Interim-Summary MYP'!H20</f>
        <v>43880.636864999993</v>
      </c>
      <c r="AF17" s="379">
        <f>+AE17-AD17</f>
        <v>0</v>
      </c>
      <c r="AG17" s="1212"/>
    </row>
    <row r="18" spans="1:33" ht="15.75">
      <c r="A18" s="406"/>
      <c r="B18" s="140" t="s">
        <v>247</v>
      </c>
      <c r="C18" s="278" t="s">
        <v>248</v>
      </c>
      <c r="D18" s="1070"/>
      <c r="E18" s="378">
        <v>0</v>
      </c>
      <c r="F18" s="531" t="str">
        <f>IF($AE18&lt;1," ",IF(E18&lt;1," ",(E18)/$AE18))</f>
        <v xml:space="preserve"> </v>
      </c>
      <c r="G18" s="390">
        <v>0</v>
      </c>
      <c r="H18" s="531" t="str">
        <f>IF($AE18&lt;1," ",IF(G18&lt;1," ",(G18)/$AE18))</f>
        <v xml:space="preserve"> </v>
      </c>
      <c r="I18" s="390">
        <v>0</v>
      </c>
      <c r="J18" s="531" t="str">
        <f>IF($AE18&lt;1," ",IF(I18&lt;1," ",(I18)/$AE18))</f>
        <v xml:space="preserve"> </v>
      </c>
      <c r="K18" s="390">
        <v>-10595</v>
      </c>
      <c r="L18" s="531" t="str">
        <f>IF($AE18&lt;1," ",IF(K18&lt;1," ",(K18)/$AE18))</f>
        <v xml:space="preserve"> </v>
      </c>
      <c r="M18" s="390">
        <v>86464</v>
      </c>
      <c r="N18" s="340">
        <f>IF($AE18&lt;1," ",IF(M18&lt;1," ",(M18)/$AE18))</f>
        <v>6.7452978902400457E-2</v>
      </c>
      <c r="O18" s="390">
        <v>33991</v>
      </c>
      <c r="P18" s="340">
        <f>IF($AE18&lt;1," ",IF(O18&lt;1," ",(O18)/$AE18))</f>
        <v>2.651732751054189E-2</v>
      </c>
      <c r="Q18" s="390">
        <f>425282-33012</f>
        <v>392270</v>
      </c>
      <c r="R18" s="341">
        <f>IF($AE18&lt;1," ",IF(Q18&lt;1," ",(Q18)/$AE18))</f>
        <v>0.30602077204437256</v>
      </c>
      <c r="S18" s="377">
        <v>1703</v>
      </c>
      <c r="T18" s="340">
        <f>IF($AE18&lt;1," ",IF(S18&lt;1," ",(S18)/$AE18))</f>
        <v>1.3285578167883511E-3</v>
      </c>
      <c r="U18" s="390">
        <v>409267</v>
      </c>
      <c r="V18" s="340">
        <f>IF($AE18&lt;1," ",IF(U18&lt;1," ",(U18)/$AE18))</f>
        <v>0.31928060599149621</v>
      </c>
      <c r="W18" s="390">
        <f>75690-33012-10970</f>
        <v>31708</v>
      </c>
      <c r="X18" s="340">
        <f>IF($AE18&lt;1," ",IF(W18&lt;1," ",(W18)/$AE18))</f>
        <v>2.4736295510701722E-2</v>
      </c>
      <c r="Y18" s="390">
        <v>41672</v>
      </c>
      <c r="Z18" s="340">
        <f>IF($AE18&lt;1," ",IF(Y18&lt;1," ",(Y18)/$AE18))</f>
        <v>3.2509489924371207E-2</v>
      </c>
      <c r="AA18" s="390">
        <v>66725</v>
      </c>
      <c r="AB18" s="340">
        <f>IF($AE18&lt;1," ",IF(AA18&lt;1," ",(AA18)/$AE18))</f>
        <v>5.2054034248504244E-2</v>
      </c>
      <c r="AC18" s="1600">
        <f t="shared" si="0"/>
        <v>228636.08999999985</v>
      </c>
      <c r="AD18" s="379">
        <f>+E18+G18+I18+K18+M18+O18+Q18+S18+U18+W18+Y18+AA18+AC18</f>
        <v>1281841.0899999999</v>
      </c>
      <c r="AE18" s="379">
        <f>'2nd Interim-Summary MYP'!H21</f>
        <v>1281841.0899999999</v>
      </c>
      <c r="AF18" s="379">
        <f t="shared" si="1"/>
        <v>0</v>
      </c>
      <c r="AG18" s="1212"/>
    </row>
    <row r="19" spans="1:33" ht="15.75">
      <c r="A19" s="406" t="s">
        <v>249</v>
      </c>
      <c r="B19" s="140"/>
      <c r="C19" s="140"/>
      <c r="D19" s="1070"/>
      <c r="E19" s="510"/>
      <c r="F19" s="531"/>
      <c r="G19" s="391"/>
      <c r="H19" s="531"/>
      <c r="I19" s="391"/>
      <c r="J19" s="531"/>
      <c r="K19" s="391"/>
      <c r="L19" s="531"/>
      <c r="M19" s="391"/>
      <c r="N19" s="340"/>
      <c r="O19" s="391"/>
      <c r="P19" s="340"/>
      <c r="Q19" s="391"/>
      <c r="R19" s="341"/>
      <c r="S19" s="381"/>
      <c r="T19" s="340"/>
      <c r="U19" s="391"/>
      <c r="V19" s="340"/>
      <c r="W19" s="391"/>
      <c r="X19" s="340"/>
      <c r="Y19" s="391"/>
      <c r="Z19" s="340"/>
      <c r="AA19" s="391"/>
      <c r="AB19" s="340"/>
      <c r="AC19" s="1601"/>
      <c r="AD19" s="379"/>
      <c r="AE19" s="379"/>
      <c r="AF19" s="379"/>
      <c r="AG19" s="1212"/>
    </row>
    <row r="20" spans="1:33" ht="15.75">
      <c r="A20" s="406"/>
      <c r="B20" s="140" t="s">
        <v>250</v>
      </c>
      <c r="C20" s="278">
        <v>8660</v>
      </c>
      <c r="D20" s="1070"/>
      <c r="E20" s="378">
        <v>0</v>
      </c>
      <c r="F20" s="531" t="str">
        <f>IF($AE20&lt;1," ",IF(E20&lt;1," ",(E20)/$AE20))</f>
        <v xml:space="preserve"> </v>
      </c>
      <c r="G20" s="390">
        <v>0</v>
      </c>
      <c r="H20" s="531" t="str">
        <f>IF($AE20&lt;1," ",IF(G20&lt;1," ",(G20)/$AE20))</f>
        <v xml:space="preserve"> </v>
      </c>
      <c r="I20" s="390">
        <v>0</v>
      </c>
      <c r="J20" s="531" t="str">
        <f>IF($AE20&lt;1," ",IF(I20&lt;1," ",(I20)/$AE20))</f>
        <v xml:space="preserve"> </v>
      </c>
      <c r="K20" s="390">
        <v>0</v>
      </c>
      <c r="L20" s="531" t="str">
        <f>IF($AE20&lt;1," ",IF(K20&lt;1," ",(K20)/$AE20))</f>
        <v xml:space="preserve"> </v>
      </c>
      <c r="M20" s="390">
        <v>0</v>
      </c>
      <c r="N20" s="340" t="str">
        <f>IF($AE20&lt;1," ",IF(M20&lt;1," ",(M20)/$AE20))</f>
        <v xml:space="preserve"> </v>
      </c>
      <c r="O20" s="390">
        <v>0</v>
      </c>
      <c r="P20" s="340" t="str">
        <f>IF($AE20&lt;1," ",IF(O20&lt;1," ",(O20)/$AE20))</f>
        <v xml:space="preserve"> </v>
      </c>
      <c r="Q20" s="390">
        <v>0</v>
      </c>
      <c r="R20" s="341" t="str">
        <f>IF($AE20&lt;1," ",IF(Q20&lt;1," ",(Q20)/$AE20))</f>
        <v xml:space="preserve"> </v>
      </c>
      <c r="S20" s="377">
        <v>0</v>
      </c>
      <c r="T20" s="340" t="str">
        <f>IF($AE20&lt;1," ",IF(S20&lt;1," ",(S20)/$AE20))</f>
        <v xml:space="preserve"> </v>
      </c>
      <c r="U20" s="390">
        <v>0</v>
      </c>
      <c r="V20" s="340" t="str">
        <f>IF($AE20&lt;1," ",IF(U20&lt;1," ",(U20)/$AE20))</f>
        <v xml:space="preserve"> </v>
      </c>
      <c r="W20" s="390">
        <v>0</v>
      </c>
      <c r="X20" s="340" t="str">
        <f>IF($AE20&lt;1," ",IF(W20&lt;1," ",(W20)/$AE20))</f>
        <v xml:space="preserve"> </v>
      </c>
      <c r="Y20" s="390">
        <v>0</v>
      </c>
      <c r="Z20" s="340" t="str">
        <f>IF($AE20&lt;1," ",IF(Y20&lt;1," ",(Y20)/$AE20))</f>
        <v xml:space="preserve"> </v>
      </c>
      <c r="AA20" s="390">
        <v>0</v>
      </c>
      <c r="AB20" s="340" t="str">
        <f>IF($AE20&lt;1," ",IF(AA20&lt;1," ",(AA20)/$AE20))</f>
        <v xml:space="preserve"> </v>
      </c>
      <c r="AC20" s="1600">
        <f t="shared" si="0"/>
        <v>0</v>
      </c>
      <c r="AD20" s="379">
        <f>+E20+G20+I20+K20+M20+O20+Q20+S20+U20+W20+Y20+AA20+AC20</f>
        <v>0</v>
      </c>
      <c r="AE20" s="379">
        <f>'2nd Interim-Summary MYP'!H23</f>
        <v>0</v>
      </c>
      <c r="AF20" s="379">
        <f t="shared" si="1"/>
        <v>0</v>
      </c>
      <c r="AG20" s="1212"/>
    </row>
    <row r="21" spans="1:33" ht="15.75">
      <c r="A21" s="406"/>
      <c r="B21" s="140" t="s">
        <v>251</v>
      </c>
      <c r="C21" s="278">
        <v>8792</v>
      </c>
      <c r="D21" s="1070"/>
      <c r="E21" s="378">
        <v>0</v>
      </c>
      <c r="F21" s="531" t="str">
        <f>IF($AE21&lt;1," ",IF(E21&lt;1," ",(E21)/$AE21))</f>
        <v xml:space="preserve"> </v>
      </c>
      <c r="G21" s="390">
        <v>0</v>
      </c>
      <c r="H21" s="531" t="str">
        <f>IF($AE21&lt;1," ",IF(G21&lt;1," ",(G21)/$AE21))</f>
        <v xml:space="preserve"> </v>
      </c>
      <c r="I21" s="390">
        <v>0</v>
      </c>
      <c r="J21" s="531" t="str">
        <f>IF($AE21&lt;1," ",IF(I21&lt;1," ",(I21)/$AE21))</f>
        <v xml:space="preserve"> </v>
      </c>
      <c r="K21" s="390">
        <v>0</v>
      </c>
      <c r="L21" s="531" t="str">
        <f>IF($AE21&lt;1," ",IF(K21&lt;1," ",(K21)/$AE21))</f>
        <v xml:space="preserve"> </v>
      </c>
      <c r="M21" s="390">
        <v>0</v>
      </c>
      <c r="N21" s="340" t="str">
        <f>IF($AE21&lt;1," ",IF(M21&lt;1," ",(M21)/$AE21))</f>
        <v xml:space="preserve"> </v>
      </c>
      <c r="O21" s="390">
        <v>0</v>
      </c>
      <c r="P21" s="340" t="str">
        <f>IF($AE21&lt;1," ",IF(O21&lt;1," ",(O21)/$AE21))</f>
        <v xml:space="preserve"> </v>
      </c>
      <c r="Q21" s="390">
        <v>0</v>
      </c>
      <c r="R21" s="341" t="str">
        <f>IF($AE21&lt;1," ",IF(Q21&lt;1," ",(Q21)/$AE21))</f>
        <v xml:space="preserve"> </v>
      </c>
      <c r="S21" s="377">
        <v>0</v>
      </c>
      <c r="T21" s="340" t="str">
        <f>IF($AE21&lt;1," ",IF(S21&lt;1," ",(S21)/$AE21))</f>
        <v xml:space="preserve"> </v>
      </c>
      <c r="U21" s="390">
        <v>0</v>
      </c>
      <c r="V21" s="340" t="str">
        <f>IF($AE21&lt;1," ",IF(U21&lt;1," ",(U21)/$AE21))</f>
        <v xml:space="preserve"> </v>
      </c>
      <c r="W21" s="390">
        <v>0</v>
      </c>
      <c r="X21" s="340" t="str">
        <f>IF($AE21&lt;1," ",IF(W21&lt;1," ",(W21)/$AE21))</f>
        <v xml:space="preserve"> </v>
      </c>
      <c r="Y21" s="390">
        <v>0</v>
      </c>
      <c r="Z21" s="340" t="str">
        <f>IF($AE21&lt;1," ",IF(Y21&lt;1," ",(Y21)/$AE21))</f>
        <v xml:space="preserve"> </v>
      </c>
      <c r="AA21" s="390">
        <v>0</v>
      </c>
      <c r="AB21" s="340" t="str">
        <f>IF($AE21&lt;1," ",IF(AA21&lt;1," ",(AA21)/$AE21))</f>
        <v xml:space="preserve"> </v>
      </c>
      <c r="AC21" s="1600">
        <f t="shared" si="0"/>
        <v>0</v>
      </c>
      <c r="AD21" s="379">
        <f>+E21+G21+I21+K21+M21+O21+Q21+S21+U21+W21+Y21+AA21+AC21</f>
        <v>0</v>
      </c>
      <c r="AE21" s="379">
        <f>'2nd Interim-Summary MYP'!H24</f>
        <v>0</v>
      </c>
      <c r="AF21" s="379">
        <f t="shared" si="1"/>
        <v>0</v>
      </c>
      <c r="AG21" s="1212"/>
    </row>
    <row r="22" spans="1:33" ht="15.75">
      <c r="A22" s="406"/>
      <c r="B22" s="140" t="s">
        <v>252</v>
      </c>
      <c r="C22" s="278" t="s">
        <v>253</v>
      </c>
      <c r="D22" s="1070"/>
      <c r="E22" s="378">
        <v>0</v>
      </c>
      <c r="F22" s="531" t="str">
        <f>IF($AE22&lt;1," ",IF(E22&lt;1," ",(E22)/$AE22))</f>
        <v xml:space="preserve"> </v>
      </c>
      <c r="G22" s="390">
        <v>3405</v>
      </c>
      <c r="H22" s="531">
        <f>IF($AE22&lt;1," ",IF(G22&lt;1," ",(G22)/$AE22))</f>
        <v>1.5847100841548539E-3</v>
      </c>
      <c r="I22" s="390">
        <v>8601</v>
      </c>
      <c r="J22" s="531">
        <f>IF($AE22&lt;1," ",IF(I22&lt;1," ",(I22)/$AE22))</f>
        <v>4.0029637103717762E-3</v>
      </c>
      <c r="K22" s="390">
        <v>188</v>
      </c>
      <c r="L22" s="531">
        <f>IF($AE22&lt;1," ",IF(K22&lt;1," ",(K22)/$AE22))</f>
        <v>8.7496474543645377E-5</v>
      </c>
      <c r="M22" s="390">
        <v>2033551</v>
      </c>
      <c r="N22" s="340">
        <f>IF($AE22&lt;1," ",IF(M22&lt;1," ",(M22)/$AE22))</f>
        <v>0.94642842183353515</v>
      </c>
      <c r="O22" s="390">
        <v>86126</v>
      </c>
      <c r="P22" s="340">
        <f>IF($AE22&lt;1," ",IF(O22&lt;1," ",(O22)/$AE22))</f>
        <v>4.0083624290138307E-2</v>
      </c>
      <c r="Q22" s="390">
        <v>5898</v>
      </c>
      <c r="R22" s="341">
        <f>IF($AE22&lt;1," ",IF(Q22&lt;1," ",(Q22)/$AE22))</f>
        <v>2.7449691854171303E-3</v>
      </c>
      <c r="S22" s="377">
        <v>965</v>
      </c>
      <c r="T22" s="340">
        <f>IF($AE22&lt;1," ",IF(S22&lt;1," ",(S22)/$AE22))</f>
        <v>4.4911754220541378E-4</v>
      </c>
      <c r="U22" s="390">
        <v>2400</v>
      </c>
      <c r="V22" s="340">
        <f>IF($AE22&lt;1," ",IF(U22&lt;1," ",(U22)/$AE22))</f>
        <v>1.116976270769941E-3</v>
      </c>
      <c r="W22" s="390">
        <v>2400</v>
      </c>
      <c r="X22" s="340">
        <f>IF($AE22&lt;1," ",IF(W22&lt;1," ",(W22)/$AE22))</f>
        <v>1.116976270769941E-3</v>
      </c>
      <c r="Y22" s="390">
        <v>2400</v>
      </c>
      <c r="Z22" s="340">
        <f>IF($AE22&lt;1," ",IF(Y22&lt;1," ",(Y22)/$AE22))</f>
        <v>1.116976270769941E-3</v>
      </c>
      <c r="AA22" s="390">
        <v>2400</v>
      </c>
      <c r="AB22" s="340">
        <f>IF($AE22&lt;1," ",IF(AA22&lt;1," ",(AA22)/$AE22))</f>
        <v>1.116976270769941E-3</v>
      </c>
      <c r="AC22" s="1600">
        <f t="shared" si="0"/>
        <v>324</v>
      </c>
      <c r="AD22" s="379">
        <f>+E22+G22+I22+K22+M22+O22+Q22+S22+U22+W22+Y22+AA22+AC22</f>
        <v>2148658</v>
      </c>
      <c r="AE22" s="379">
        <f>'2nd Interim-Summary MYP'!H25</f>
        <v>2148658</v>
      </c>
      <c r="AF22" s="379">
        <f t="shared" si="1"/>
        <v>0</v>
      </c>
      <c r="AG22" s="1212"/>
    </row>
    <row r="23" spans="1:33" ht="16.5" thickBot="1">
      <c r="A23" s="405" t="s">
        <v>254</v>
      </c>
      <c r="B23" s="382"/>
      <c r="C23" s="383"/>
      <c r="D23" s="1075"/>
      <c r="E23" s="772">
        <f>SUM(E10:E22)</f>
        <v>23417</v>
      </c>
      <c r="F23" s="533">
        <f>IF($AE23&lt;1," ",IF(E23&lt;1," ",(E23)/$AE23))</f>
        <v>1.7931104187332871E-3</v>
      </c>
      <c r="G23" s="771">
        <f>SUM(G10:G22)</f>
        <v>473920</v>
      </c>
      <c r="H23" s="533">
        <f>IF($AE23&lt;1," ",IF(G23&lt;1," ",(G23)/$AE23))</f>
        <v>3.6289485828504053E-2</v>
      </c>
      <c r="I23" s="771">
        <f>SUM(I10:I22)</f>
        <v>351972</v>
      </c>
      <c r="J23" s="533">
        <f>IF($AE23&lt;1," ",IF(I23&lt;1," ",(I23)/$AE23))</f>
        <v>2.6951559136626918E-2</v>
      </c>
      <c r="K23" s="771">
        <f>SUM(K10:K22)</f>
        <v>1315905.69</v>
      </c>
      <c r="L23" s="533">
        <f>IF($AE23&lt;1," ",IF(K23&lt;1," ",(K23)/$AE23))</f>
        <v>0.1007628732463345</v>
      </c>
      <c r="M23" s="771">
        <f>SUM(M10:M22)</f>
        <v>2784341.2199999997</v>
      </c>
      <c r="N23" s="384">
        <f>IF($AE23&lt;1," ",IF(M23&lt;1," ",(M23)/$AE23))</f>
        <v>0.21320541704277024</v>
      </c>
      <c r="O23" s="771">
        <f>SUM(O10:O22)</f>
        <v>958085.7</v>
      </c>
      <c r="P23" s="384">
        <f>IF($AE23&lt;1," ",IF(O23&lt;1," ",(O23)/$AE23))</f>
        <v>7.3363515852131966E-2</v>
      </c>
      <c r="Q23" s="771">
        <f>SUM(Q10:Q22)</f>
        <v>2284875</v>
      </c>
      <c r="R23" s="515">
        <f>IF($AE23&lt;1," ",IF(Q23&lt;1," ",(Q23)/$AE23))</f>
        <v>0.17495977998903445</v>
      </c>
      <c r="S23" s="770">
        <f>SUM(S10:S22)</f>
        <v>772725</v>
      </c>
      <c r="T23" s="384">
        <f>IF($AE23&lt;1," ",IF(S23&lt;1," ",(S23)/$AE23))</f>
        <v>5.9169887189464032E-2</v>
      </c>
      <c r="U23" s="771">
        <f>SUM(U10:U22)</f>
        <v>1196106.8199999998</v>
      </c>
      <c r="V23" s="384">
        <f>IF($AE23&lt;1," ",IF(U23&lt;1," ",(U23)/$AE23))</f>
        <v>9.1589511929792033E-2</v>
      </c>
      <c r="W23" s="771">
        <f>SUM(W10:W22)</f>
        <v>639776.81999999995</v>
      </c>
      <c r="X23" s="384">
        <f>IF($AE23&lt;1," ",IF(W23&lt;1," ",(W23)/$AE23))</f>
        <v>4.8989643490030779E-2</v>
      </c>
      <c r="Y23" s="771">
        <f>SUM(Y10:Y22)</f>
        <v>184505.31</v>
      </c>
      <c r="Z23" s="384">
        <f>IF($AE23&lt;1," ",IF(Y23&lt;1," ",(Y23)/$AE23))</f>
        <v>1.4128128866747018E-2</v>
      </c>
      <c r="AA23" s="771">
        <f>SUM(AA10:AA22)</f>
        <v>209558.31</v>
      </c>
      <c r="AB23" s="384">
        <f>IF($AE23&lt;1," ",IF(AA23&lt;1," ",(AA23)/$AE23))</f>
        <v>1.6046512746856555E-2</v>
      </c>
      <c r="AC23" s="1602">
        <f>SUM(AC10:AC22)</f>
        <v>1864241.1323879997</v>
      </c>
      <c r="AD23" s="773">
        <f>SUM(AD10:AD22)</f>
        <v>13059430.002388</v>
      </c>
      <c r="AE23" s="773">
        <f>SUM(AE10:AE22)</f>
        <v>13059430.002388</v>
      </c>
      <c r="AF23" s="773">
        <f>SUM(AF10:AF22)</f>
        <v>0</v>
      </c>
      <c r="AG23" s="1212"/>
    </row>
    <row r="24" spans="1:33" ht="15.75">
      <c r="A24" s="407"/>
      <c r="B24" s="370"/>
      <c r="C24" s="71"/>
      <c r="D24" s="527"/>
      <c r="E24" s="73"/>
      <c r="F24" s="195"/>
      <c r="G24" s="73"/>
      <c r="H24" s="195"/>
      <c r="I24" s="73"/>
      <c r="J24" s="195"/>
      <c r="K24" s="73"/>
      <c r="L24" s="1059"/>
      <c r="M24" s="1060"/>
      <c r="N24" s="195"/>
      <c r="O24" s="73"/>
      <c r="P24" s="195"/>
      <c r="Q24" s="73"/>
      <c r="R24" s="516"/>
      <c r="S24" s="72"/>
      <c r="T24" s="195"/>
      <c r="U24" s="73"/>
      <c r="V24" s="195"/>
      <c r="W24" s="73"/>
      <c r="X24" s="195"/>
      <c r="Y24" s="73"/>
      <c r="Z24" s="195"/>
      <c r="AA24" s="73"/>
      <c r="AB24" s="195"/>
      <c r="AC24" s="1023"/>
      <c r="AD24" s="1023"/>
      <c r="AE24" s="1023"/>
      <c r="AF24" s="1039"/>
      <c r="AG24" s="1212"/>
    </row>
    <row r="25" spans="1:33" ht="15.75">
      <c r="A25" s="66" t="s">
        <v>255</v>
      </c>
      <c r="B25" s="180"/>
      <c r="C25" s="373"/>
      <c r="D25" s="1073"/>
      <c r="E25" s="525"/>
      <c r="F25" s="482"/>
      <c r="G25" s="525"/>
      <c r="H25" s="482"/>
      <c r="I25" s="525"/>
      <c r="J25" s="482"/>
      <c r="K25" s="525"/>
      <c r="L25" s="1061"/>
      <c r="M25" s="1062"/>
      <c r="N25" s="482"/>
      <c r="O25" s="525"/>
      <c r="P25" s="482"/>
      <c r="Q25" s="525"/>
      <c r="R25" s="546"/>
      <c r="S25" s="545"/>
      <c r="T25" s="482"/>
      <c r="U25" s="525"/>
      <c r="V25" s="482"/>
      <c r="W25" s="525"/>
      <c r="X25" s="482"/>
      <c r="Y25" s="525"/>
      <c r="Z25" s="482"/>
      <c r="AA25" s="525"/>
      <c r="AB25" s="482"/>
      <c r="AC25" s="1027"/>
      <c r="AD25" s="1027"/>
      <c r="AE25" s="1027"/>
      <c r="AF25" s="1035"/>
      <c r="AG25" s="1212"/>
    </row>
    <row r="26" spans="1:33" ht="15.75">
      <c r="A26" s="406" t="s">
        <v>256</v>
      </c>
      <c r="B26" s="140"/>
      <c r="C26" s="278" t="s">
        <v>257</v>
      </c>
      <c r="D26" s="1070"/>
      <c r="E26" s="378">
        <v>42528.009999999973</v>
      </c>
      <c r="F26" s="531">
        <f>IF($AE$26&lt;1," ",IF(E26&lt;1," ",(E26)/$AE$26))</f>
        <v>1.4267764080053508E-2</v>
      </c>
      <c r="G26" s="390">
        <v>80333.62999999999</v>
      </c>
      <c r="H26" s="531">
        <f>IF($AE$26&lt;1," ",IF(G26&lt;1," ",(G26)/$AE$26))</f>
        <v>2.6951208874675996E-2</v>
      </c>
      <c r="I26" s="390">
        <v>190035.16999999998</v>
      </c>
      <c r="J26" s="531">
        <f>IF($AE$26&lt;1," ",IF(I26&lt;1," ",(I26)/$AE$26))</f>
        <v>6.3755086882101075E-2</v>
      </c>
      <c r="K26" s="390">
        <v>296034.43999999994</v>
      </c>
      <c r="L26" s="531">
        <f>IF($AE$26&lt;1," ",IF(K26&lt;1," ",(K26)/$AE$26))</f>
        <v>9.9316886670473351E-2</v>
      </c>
      <c r="M26" s="390">
        <v>296337.62</v>
      </c>
      <c r="N26" s="340">
        <f>IF($AE$26&lt;1," ",IF(M26&lt;1," ",(M26)/$AE$26))</f>
        <v>9.9418600828125953E-2</v>
      </c>
      <c r="O26" s="390">
        <v>275647.70000000007</v>
      </c>
      <c r="P26" s="531">
        <f>IF($AE$26&lt;1," ",IF(O26&lt;1," ",(O26)/$AE$26))</f>
        <v>9.2477319131776189E-2</v>
      </c>
      <c r="Q26" s="390">
        <v>267510.07</v>
      </c>
      <c r="R26" s="341">
        <f>IF($AE$26&lt;1," ",IF(Q26&lt;1," ",(Q26)/$AE$26))</f>
        <v>8.9747217605493465E-2</v>
      </c>
      <c r="S26" s="377">
        <v>289219.66000000009</v>
      </c>
      <c r="T26" s="340">
        <f>IF($AE$26&lt;1," ",IF(S26&lt;1," ",(S26)/$AE$26))</f>
        <v>9.7030589397277045E-2</v>
      </c>
      <c r="U26" s="390">
        <v>272532.88000000006</v>
      </c>
      <c r="V26" s="340">
        <f>IF($AE$26&lt;1," ",IF(U26&lt;1," ",(U26)/$AE$26))</f>
        <v>9.1432325093451033E-2</v>
      </c>
      <c r="W26" s="390">
        <v>272532.88000000006</v>
      </c>
      <c r="X26" s="340">
        <f>IF($AE$26&lt;1," ",IF(W26&lt;1," ",(W26)/$AE$26))</f>
        <v>9.1432325093451033E-2</v>
      </c>
      <c r="Y26" s="390">
        <v>272532.88000000006</v>
      </c>
      <c r="Z26" s="340">
        <f>IF($AE$26&lt;1," ",IF(Y26&lt;1," ",(Y26)/$AE$26))</f>
        <v>9.1432325093451033E-2</v>
      </c>
      <c r="AA26" s="390">
        <v>257732.88000000009</v>
      </c>
      <c r="AB26" s="340">
        <f>IF($AE$26&lt;1," ",IF(AA26&lt;1," ",(AA26)/$AE$26))</f>
        <v>8.6467058475408212E-2</v>
      </c>
      <c r="AC26" s="1603">
        <f t="shared" ref="AC26:AC33" si="2">AE26-(E26+G26+I26+K26+M26+O26+Q26+S26+U26+W26+Y26+AA26)</f>
        <v>167728.18000000017</v>
      </c>
      <c r="AD26" s="387">
        <f t="shared" ref="AD26:AD33" si="3">+E26+G26+I26+K26+M26+O26+Q26+S26+U26+W26+Y26+AA26+AC26</f>
        <v>2980706</v>
      </c>
      <c r="AE26" s="387">
        <f>'2nd Interim-Summary MYP'!H29</f>
        <v>2980706</v>
      </c>
      <c r="AF26" s="387">
        <f t="shared" ref="AF26:AF33" si="4">+AE26-AD26</f>
        <v>0</v>
      </c>
      <c r="AG26" s="1212"/>
    </row>
    <row r="27" spans="1:33" ht="15.75">
      <c r="A27" s="406" t="s">
        <v>258</v>
      </c>
      <c r="B27" s="140"/>
      <c r="C27" s="278" t="s">
        <v>259</v>
      </c>
      <c r="D27" s="1070"/>
      <c r="E27" s="378">
        <v>70634.510000000009</v>
      </c>
      <c r="F27" s="531">
        <f>IF($AE$27&lt;1," ",IF(E27&lt;1," ",(E27)/$AE$27))</f>
        <v>3.1986587593637331E-2</v>
      </c>
      <c r="G27" s="390">
        <v>153831.74</v>
      </c>
      <c r="H27" s="531">
        <f>IF($AE$27&lt;1," ",IF(G27&lt;1," ",(G27)/$AE$27))</f>
        <v>6.966215842923866E-2</v>
      </c>
      <c r="I27" s="390">
        <v>177097.16999999993</v>
      </c>
      <c r="J27" s="531">
        <f>IF($AE$27&lt;1," ",IF(I27&lt;1," ",(I27)/$AE$27))</f>
        <v>8.0197825974729325E-2</v>
      </c>
      <c r="K27" s="390">
        <v>188478.49000000002</v>
      </c>
      <c r="L27" s="531">
        <f>IF($AE$27&lt;1," ",IF(K27&lt;1," ",(K27)/$AE$27))</f>
        <v>8.5351816412423578E-2</v>
      </c>
      <c r="M27" s="390">
        <v>189614.12</v>
      </c>
      <c r="N27" s="340">
        <f>IF($AE$27&lt;1," ",IF(M27&lt;1," ",(M27)/$AE$27))</f>
        <v>8.5866082434357643E-2</v>
      </c>
      <c r="O27" s="390">
        <v>182856.98999999996</v>
      </c>
      <c r="P27" s="531">
        <f>IF($AE$27&lt;1," ",IF(O27&lt;1," ",(O27)/$AE$27))</f>
        <v>8.2806140054540817E-2</v>
      </c>
      <c r="Q27" s="390">
        <v>165323.33999999997</v>
      </c>
      <c r="R27" s="341">
        <f>IF($AE$27&lt;1," ",IF(Q27&lt;1," ",(Q27)/$AE$27))</f>
        <v>7.4866088774208028E-2</v>
      </c>
      <c r="S27" s="377">
        <v>207565.15000000002</v>
      </c>
      <c r="T27" s="340">
        <f>IF($AE$27&lt;1," ",IF(S27&lt;1," ",(S27)/$AE$27))</f>
        <v>9.3995142768902501E-2</v>
      </c>
      <c r="U27" s="390">
        <v>178500</v>
      </c>
      <c r="V27" s="340">
        <f>IF($AE$27&lt;1," ",IF(U27&lt;1," ",(U27)/$AE$27))</f>
        <v>8.0833092569967041E-2</v>
      </c>
      <c r="W27" s="390">
        <v>178500</v>
      </c>
      <c r="X27" s="340">
        <f>IF($AE$27&lt;1," ",IF(W27&lt;1," ",(W27)/$AE$27))</f>
        <v>8.0833092569967041E-2</v>
      </c>
      <c r="Y27" s="390">
        <v>178500</v>
      </c>
      <c r="Z27" s="340">
        <f>IF($AE$27&lt;1," ",IF(Y27&lt;1," ",(Y27)/$AE$27))</f>
        <v>8.0833092569967041E-2</v>
      </c>
      <c r="AA27" s="390">
        <v>172384.49</v>
      </c>
      <c r="AB27" s="340">
        <f>IF($AE$27&lt;1," ",IF(AA27&lt;1," ",(AA27)/$AE$27))</f>
        <v>7.8063705533874275E-2</v>
      </c>
      <c r="AC27" s="1603">
        <f t="shared" si="2"/>
        <v>164968.00000000023</v>
      </c>
      <c r="AD27" s="387">
        <f t="shared" si="3"/>
        <v>2208254</v>
      </c>
      <c r="AE27" s="387">
        <f>'2nd Interim-Summary MYP'!H30</f>
        <v>2208254</v>
      </c>
      <c r="AF27" s="387">
        <f t="shared" si="4"/>
        <v>0</v>
      </c>
      <c r="AG27" s="1212"/>
    </row>
    <row r="28" spans="1:33" ht="15.75">
      <c r="A28" s="406" t="s">
        <v>260</v>
      </c>
      <c r="B28" s="140"/>
      <c r="C28" s="278" t="s">
        <v>261</v>
      </c>
      <c r="D28" s="1070"/>
      <c r="E28" s="378">
        <v>54238.760000000031</v>
      </c>
      <c r="F28" s="531">
        <f>IF($AE$28&lt;1," ",IF(E28&lt;1," ",(E28)/$AE$28))</f>
        <v>2.6955865718551283E-2</v>
      </c>
      <c r="G28" s="390">
        <v>111024.10999999967</v>
      </c>
      <c r="H28" s="531">
        <f>IF($AE$28&lt;1," ",IF(G28&lt;1," ",(G28)/$AE$28))</f>
        <v>5.5177349199754123E-2</v>
      </c>
      <c r="I28" s="390">
        <v>141330.26999999981</v>
      </c>
      <c r="J28" s="531">
        <f>IF($AE$28&lt;1," ",IF(I28&lt;1," ",(I28)/$AE$28))</f>
        <v>7.0239064832724601E-2</v>
      </c>
      <c r="K28" s="390">
        <v>175382.9999999998</v>
      </c>
      <c r="L28" s="531">
        <f>IF($AE$28&lt;1," ",IF(K28&lt;1," ",(K28)/$AE$28))</f>
        <v>8.7162770633338063E-2</v>
      </c>
      <c r="M28" s="390">
        <v>173140.15000000011</v>
      </c>
      <c r="N28" s="340">
        <f>IF($AE$28&lt;1," ",IF(M28&lt;1," ",(M28)/$AE$28))</f>
        <v>8.6048107181835046E-2</v>
      </c>
      <c r="O28" s="390">
        <v>170968.61000000045</v>
      </c>
      <c r="P28" s="531">
        <f>IF($AE$28&lt;1," ",IF(O28&lt;1," ",(O28)/$AE$28))</f>
        <v>8.4968883751165653E-2</v>
      </c>
      <c r="Q28" s="390">
        <v>168126.89000000028</v>
      </c>
      <c r="R28" s="341">
        <f>IF($AE$28&lt;1," ",IF(Q28&lt;1," ",(Q28)/$AE$28))</f>
        <v>8.355659072068844E-2</v>
      </c>
      <c r="S28" s="377">
        <v>186467.28</v>
      </c>
      <c r="T28" s="340">
        <f>IF($AE$28&lt;1," ",IF(S28&lt;1," ",(S28)/$AE$28))</f>
        <v>9.2671494713070512E-2</v>
      </c>
      <c r="U28" s="390">
        <v>180347.33749999994</v>
      </c>
      <c r="V28" s="340">
        <f>IF($AE$28&lt;1," ",IF(U28&lt;1," ",(U28)/$AE$28))</f>
        <v>8.9629973331769461E-2</v>
      </c>
      <c r="W28" s="390">
        <v>179076.90749999994</v>
      </c>
      <c r="X28" s="340">
        <f>IF($AE$28&lt;1," ",IF(W28&lt;1," ",(W28)/$AE$28))</f>
        <v>8.8998588313291549E-2</v>
      </c>
      <c r="Y28" s="390">
        <v>177806.47749999995</v>
      </c>
      <c r="Z28" s="340">
        <f>IF($AE$28&lt;1," ",IF(Y28&lt;1," ",(Y28)/$AE$28))</f>
        <v>8.8367203294813637E-2</v>
      </c>
      <c r="AA28" s="390">
        <v>176536.04749999996</v>
      </c>
      <c r="AB28" s="340">
        <f>IF($AE$28&lt;1," ",IF(AA28&lt;1," ",(AA28)/$AE$28))</f>
        <v>8.7735818276335725E-2</v>
      </c>
      <c r="AC28" s="1603">
        <f t="shared" si="2"/>
        <v>117686.16000000015</v>
      </c>
      <c r="AD28" s="387">
        <f t="shared" si="3"/>
        <v>2012132</v>
      </c>
      <c r="AE28" s="387">
        <f>'2nd Interim-Summary MYP'!H31</f>
        <v>2012132</v>
      </c>
      <c r="AF28" s="387">
        <f t="shared" si="4"/>
        <v>0</v>
      </c>
      <c r="AG28" s="1212"/>
    </row>
    <row r="29" spans="1:33" ht="15.75">
      <c r="A29" s="406" t="s">
        <v>262</v>
      </c>
      <c r="B29" s="140"/>
      <c r="C29" s="278" t="s">
        <v>263</v>
      </c>
      <c r="D29" s="1070"/>
      <c r="E29" s="378">
        <v>298599.09999999998</v>
      </c>
      <c r="F29" s="531">
        <f>IF($AE$29&lt;1," ",IF(E29&lt;1," ",(E29)/$AE$29))</f>
        <v>0.3863734998220813</v>
      </c>
      <c r="G29" s="390">
        <v>96031.540000000008</v>
      </c>
      <c r="H29" s="531">
        <f>IF($AE$29&lt;1," ",IF(G29&lt;1," ",(G29)/$AE$29))</f>
        <v>0.124260395302947</v>
      </c>
      <c r="I29" s="390">
        <v>93115.849999999991</v>
      </c>
      <c r="J29" s="531">
        <f>IF($AE$29&lt;1," ",IF(I29&lt;1," ",(I29)/$AE$29))</f>
        <v>0.12048762656487561</v>
      </c>
      <c r="K29" s="390">
        <v>39022.790000000015</v>
      </c>
      <c r="L29" s="531">
        <f>IF($AE$29&lt;1," ",IF(K29&lt;1," ",(K29)/$AE$29))</f>
        <v>5.0493695209135332E-2</v>
      </c>
      <c r="M29" s="390">
        <v>36149.160000000003</v>
      </c>
      <c r="N29" s="340">
        <f>IF($AE$29&lt;1," ",IF(M29&lt;1," ",(M29)/$AE$29))</f>
        <v>4.6775350176301238E-2</v>
      </c>
      <c r="O29" s="390">
        <v>20288.939999999999</v>
      </c>
      <c r="P29" s="531">
        <f>IF($AE$29&lt;1," ",IF(O29&lt;1," ",(O29)/$AE$29))</f>
        <v>2.6252955067447351E-2</v>
      </c>
      <c r="Q29" s="390">
        <v>14707.790000000006</v>
      </c>
      <c r="R29" s="341">
        <f>IF($AE$29&lt;1," ",IF(Q29&lt;1," ",(Q29)/$AE$29))</f>
        <v>1.903120370070845E-2</v>
      </c>
      <c r="S29" s="377">
        <v>7581.23</v>
      </c>
      <c r="T29" s="340">
        <f>IF($AE$29&lt;1," ",IF(S29&lt;1," ",(S29)/$AE$29))</f>
        <v>9.8097628829295121E-3</v>
      </c>
      <c r="U29" s="390">
        <v>-40000</v>
      </c>
      <c r="V29" s="340" t="str">
        <f>IF($AE$29&lt;1," ",IF(U29&lt;1," ",(U29)/$AE$29))</f>
        <v xml:space="preserve"> </v>
      </c>
      <c r="W29" s="390">
        <v>5500</v>
      </c>
      <c r="X29" s="340">
        <f>IF($AE$29&lt;1," ",IF(W29&lt;1," ",(W29)/$AE$29))</f>
        <v>7.1167469996441628E-3</v>
      </c>
      <c r="Y29" s="390">
        <v>5500</v>
      </c>
      <c r="Z29" s="340">
        <f>IF($AE$29&lt;1," ",IF(Y29&lt;1," ",(Y29)/$AE$29))</f>
        <v>7.1167469996441628E-3</v>
      </c>
      <c r="AA29" s="390">
        <v>5500</v>
      </c>
      <c r="AB29" s="340">
        <f>IF($AE$29&lt;1," ",IF(AA29&lt;1," ",(AA29)/$AE$29))</f>
        <v>7.1167469996441628E-3</v>
      </c>
      <c r="AC29" s="1603">
        <f t="shared" si="2"/>
        <v>190828.59999999998</v>
      </c>
      <c r="AD29" s="387">
        <f t="shared" si="3"/>
        <v>772825</v>
      </c>
      <c r="AE29" s="387">
        <f>'2nd Interim-Summary MYP'!H32</f>
        <v>772825</v>
      </c>
      <c r="AF29" s="387">
        <f t="shared" si="4"/>
        <v>0</v>
      </c>
      <c r="AG29" s="1212"/>
    </row>
    <row r="30" spans="1:33" ht="15.75">
      <c r="A30" s="406" t="s">
        <v>264</v>
      </c>
      <c r="B30" s="140"/>
      <c r="C30" s="278" t="s">
        <v>265</v>
      </c>
      <c r="D30" s="1070"/>
      <c r="E30" s="378">
        <v>200278.31</v>
      </c>
      <c r="F30" s="531">
        <f>IF($AE$30&lt;1," ",IF(E30&lt;1," ",(E30)/$AE$30))</f>
        <v>4.5752769393176733E-2</v>
      </c>
      <c r="G30" s="390">
        <v>409822.91000000027</v>
      </c>
      <c r="H30" s="531">
        <f>IF($AE$30&lt;1," ",IF(G30&lt;1," ",(G30)/$AE$30))</f>
        <v>9.362238523617776E-2</v>
      </c>
      <c r="I30" s="390">
        <v>363682.7200000002</v>
      </c>
      <c r="J30" s="531">
        <f>IF($AE$30&lt;1," ",IF(I30&lt;1," ",(I30)/$AE$30))</f>
        <v>8.3081845560027304E-2</v>
      </c>
      <c r="K30" s="390">
        <v>492428.42000000022</v>
      </c>
      <c r="L30" s="531">
        <f>IF($AE$30&lt;1," ",IF(K30&lt;1," ",(K30)/$AE$30))</f>
        <v>0.11249327969117767</v>
      </c>
      <c r="M30" s="390">
        <v>288474.84000000008</v>
      </c>
      <c r="N30" s="340">
        <f>IF($AE$30&lt;1," ",IF(M30&lt;1," ",(M30)/$AE$30))</f>
        <v>6.5900909740318647E-2</v>
      </c>
      <c r="O30" s="390">
        <v>418033.68</v>
      </c>
      <c r="P30" s="531">
        <f>IF($AE$30&lt;1," ",IF(O30&lt;1," ",(O30)/$AE$30))</f>
        <v>9.5498102413691402E-2</v>
      </c>
      <c r="Q30" s="390">
        <v>325179.6700000001</v>
      </c>
      <c r="R30" s="341">
        <f>IF($AE$30&lt;1," ",IF(Q30&lt;1," ",(Q30)/$AE$30))</f>
        <v>7.4285979609371153E-2</v>
      </c>
      <c r="S30" s="377">
        <v>219013.11000000002</v>
      </c>
      <c r="T30" s="340">
        <f>IF($AE$30&lt;1," ",IF(S30&lt;1," ",(S30)/$AE$30))</f>
        <v>5.0032658633440884E-2</v>
      </c>
      <c r="U30" s="390">
        <v>257437.27</v>
      </c>
      <c r="V30" s="340">
        <f>IF($AE$30&lt;1," ",IF(U30&lt;1," ",(U30)/$AE$30))</f>
        <v>5.8810502482864839E-2</v>
      </c>
      <c r="W30" s="390">
        <v>257614.32</v>
      </c>
      <c r="X30" s="340">
        <f>IF($AE$30&lt;1," ",IF(W30&lt;1," ",(W30)/$AE$30))</f>
        <v>5.8850948838843488E-2</v>
      </c>
      <c r="Y30" s="390">
        <v>257614.32</v>
      </c>
      <c r="Z30" s="340">
        <f>IF($AE$30&lt;1," ",IF(Y30&lt;1," ",(Y30)/$AE$30))</f>
        <v>5.8850948838843488E-2</v>
      </c>
      <c r="AA30" s="390">
        <v>237614.32</v>
      </c>
      <c r="AB30" s="340">
        <f>IF($AE$30&lt;1," ",IF(AA30&lt;1," ",(AA30)/$AE$30))</f>
        <v>5.4282029778843756E-2</v>
      </c>
      <c r="AC30" s="1603">
        <f t="shared" si="2"/>
        <v>650209.10999999987</v>
      </c>
      <c r="AD30" s="387">
        <f t="shared" si="3"/>
        <v>4377403</v>
      </c>
      <c r="AE30" s="387">
        <f>'2nd Interim-Summary MYP'!H33</f>
        <v>4377403</v>
      </c>
      <c r="AF30" s="387">
        <f t="shared" si="4"/>
        <v>0</v>
      </c>
      <c r="AG30" s="1212"/>
    </row>
    <row r="31" spans="1:33" ht="15.75">
      <c r="A31" s="406" t="s">
        <v>266</v>
      </c>
      <c r="B31" s="140"/>
      <c r="C31" s="278" t="s">
        <v>267</v>
      </c>
      <c r="D31" s="1070"/>
      <c r="E31" s="378"/>
      <c r="F31" s="531" t="str">
        <f>IF($AE$31&lt;1," ",IF(E31&lt;1," ",(E31)/$AE$31))</f>
        <v xml:space="preserve"> </v>
      </c>
      <c r="G31" s="390"/>
      <c r="H31" s="531" t="str">
        <f>IF($AE$31&lt;1," ",IF(G31&lt;1," ",(G31)/$AE$31))</f>
        <v xml:space="preserve"> </v>
      </c>
      <c r="I31" s="390"/>
      <c r="J31" s="531" t="str">
        <f>IF($AE$31&lt;1," ",IF(I31&lt;1," ",(I31)/$AE$31))</f>
        <v xml:space="preserve"> </v>
      </c>
      <c r="K31" s="390"/>
      <c r="L31" s="531" t="str">
        <f>IF($AE$31&lt;1," ",IF(K31&lt;1," ",(K31)/$AE$31))</f>
        <v xml:space="preserve"> </v>
      </c>
      <c r="M31" s="390"/>
      <c r="N31" s="340" t="str">
        <f>IF($AE$31&lt;1," ",IF(M31&lt;1," ",(M31)/$AE$31))</f>
        <v xml:space="preserve"> </v>
      </c>
      <c r="O31" s="390"/>
      <c r="P31" s="531" t="str">
        <f>IF($AE$31&lt;1," ",IF(O31&lt;1," ",(O31)/$AE$31))</f>
        <v xml:space="preserve"> </v>
      </c>
      <c r="Q31" s="390"/>
      <c r="R31" s="341" t="str">
        <f>IF($AE$31&lt;1," ",IF(Q31&lt;1," ",(Q31)/$AE$31))</f>
        <v xml:space="preserve"> </v>
      </c>
      <c r="S31" s="377"/>
      <c r="T31" s="340" t="str">
        <f>IF($AE$31&lt;1," ",IF(S31&lt;1," ",(S31)/$AE$31))</f>
        <v xml:space="preserve"> </v>
      </c>
      <c r="U31" s="390"/>
      <c r="V31" s="340" t="str">
        <f>IF($AE$31&lt;1," ",IF(U31&lt;1," ",(U31)/$AE$31))</f>
        <v xml:space="preserve"> </v>
      </c>
      <c r="W31" s="390"/>
      <c r="X31" s="340" t="str">
        <f>IF($AE$31&lt;1," ",IF(W31&lt;1," ",(W31)/$AE$31))</f>
        <v xml:space="preserve"> </v>
      </c>
      <c r="Y31" s="390"/>
      <c r="Z31" s="340" t="str">
        <f>IF($AE$31&lt;1," ",IF(Y31&lt;1," ",(Y31)/$AE$31))</f>
        <v xml:space="preserve"> </v>
      </c>
      <c r="AA31" s="390"/>
      <c r="AB31" s="340" t="str">
        <f>IF($AE$31&lt;1," ",IF(AA31&lt;1," ",(AA31)/$AE$31))</f>
        <v xml:space="preserve"> </v>
      </c>
      <c r="AC31" s="1603">
        <f t="shared" si="2"/>
        <v>204240</v>
      </c>
      <c r="AD31" s="387">
        <f t="shared" si="3"/>
        <v>204240</v>
      </c>
      <c r="AE31" s="387">
        <f>'2nd Interim-Summary MYP'!H34</f>
        <v>204240</v>
      </c>
      <c r="AF31" s="387">
        <f t="shared" si="4"/>
        <v>0</v>
      </c>
      <c r="AG31" s="1212"/>
    </row>
    <row r="32" spans="1:33" ht="15.75">
      <c r="A32" s="406" t="s">
        <v>268</v>
      </c>
      <c r="B32" s="140"/>
      <c r="C32" s="278" t="s">
        <v>269</v>
      </c>
      <c r="D32" s="1070"/>
      <c r="E32" s="378"/>
      <c r="F32" s="531" t="str">
        <f>IF($AE$32&lt;1," ",IF(E32&lt;1," ",(E32)/$AE$32))</f>
        <v xml:space="preserve"> </v>
      </c>
      <c r="G32" s="390"/>
      <c r="H32" s="531" t="str">
        <f>IF($AE$32&lt;1," ",IF(G32&lt;1," ",(G32)/$AE$32))</f>
        <v xml:space="preserve"> </v>
      </c>
      <c r="I32" s="390"/>
      <c r="J32" s="531" t="str">
        <f>IF($AE$32&lt;1," ",IF(I32&lt;1," ",(I32)/$AE$32))</f>
        <v xml:space="preserve"> </v>
      </c>
      <c r="K32" s="390"/>
      <c r="L32" s="531" t="str">
        <f>IF($AE$32&lt;1," ",IF(K32&lt;1," ",(K32)/$AE$32))</f>
        <v xml:space="preserve"> </v>
      </c>
      <c r="M32" s="390"/>
      <c r="N32" s="340" t="str">
        <f>IF($AE$32&lt;1," ",IF(M32&lt;1," ",(M32)/$AE$32))</f>
        <v xml:space="preserve"> </v>
      </c>
      <c r="O32" s="390"/>
      <c r="P32" s="531" t="str">
        <f>IF($AE$32&lt;1," ",IF(O32&lt;1," ",(O32)/$AE$32))</f>
        <v xml:space="preserve"> </v>
      </c>
      <c r="Q32" s="390"/>
      <c r="R32" s="341" t="str">
        <f>IF($AE$32&lt;1," ",IF(Q32&lt;1," ",(Q32)/$AE$32))</f>
        <v xml:space="preserve"> </v>
      </c>
      <c r="S32" s="377"/>
      <c r="T32" s="340" t="str">
        <f>IF($AE$32&lt;1," ",IF(S32&lt;1," ",(S32)/$AE$32))</f>
        <v xml:space="preserve"> </v>
      </c>
      <c r="U32" s="390"/>
      <c r="V32" s="340" t="str">
        <f>IF($AE$32&lt;1," ",IF(U32&lt;1," ",(U32)/$AE$32))</f>
        <v xml:space="preserve"> </v>
      </c>
      <c r="W32" s="390"/>
      <c r="X32" s="340" t="str">
        <f>IF($AE$32&lt;1," ",IF(W32&lt;1," ",(W32)/$AE$32))</f>
        <v xml:space="preserve"> </v>
      </c>
      <c r="Y32" s="390"/>
      <c r="Z32" s="340" t="str">
        <f>IF($AE$32&lt;1," ",IF(Y32&lt;1," ",(Y32)/$AE$32))</f>
        <v xml:space="preserve"> </v>
      </c>
      <c r="AA32" s="390"/>
      <c r="AB32" s="340" t="str">
        <f>IF($AE$32&lt;1," ",IF(AA32&lt;1," ",(AA32)/$AE$32))</f>
        <v xml:space="preserve"> </v>
      </c>
      <c r="AC32" s="1603">
        <f t="shared" si="2"/>
        <v>0</v>
      </c>
      <c r="AD32" s="387">
        <f t="shared" si="3"/>
        <v>0</v>
      </c>
      <c r="AE32" s="387">
        <f>'2nd Interim-Summary MYP'!H35</f>
        <v>0</v>
      </c>
      <c r="AF32" s="387">
        <f t="shared" si="4"/>
        <v>0</v>
      </c>
      <c r="AG32" s="1212"/>
    </row>
    <row r="33" spans="1:33" ht="15.75">
      <c r="A33" s="406" t="s">
        <v>270</v>
      </c>
      <c r="B33" s="140"/>
      <c r="C33" s="278" t="s">
        <v>271</v>
      </c>
      <c r="D33" s="1070"/>
      <c r="E33" s="378">
        <v>0</v>
      </c>
      <c r="F33" s="531" t="str">
        <f>IF($AE33&lt;1," ",IF(E33&lt;1," ",(E33)/$AE33))</f>
        <v xml:space="preserve"> </v>
      </c>
      <c r="G33" s="390"/>
      <c r="H33" s="531" t="str">
        <f>IF($AE33&lt;1," ",IF(G33&lt;1," ",(G33)/$AE33))</f>
        <v xml:space="preserve"> </v>
      </c>
      <c r="I33" s="390"/>
      <c r="J33" s="531" t="str">
        <f>IF($AE33&lt;1," ",IF(I33&lt;1," ",(I33)/$AE33))</f>
        <v xml:space="preserve"> </v>
      </c>
      <c r="K33" s="390"/>
      <c r="L33" s="531" t="str">
        <f>IF($AE33&lt;1," ",IF(K33&lt;1," ",(K33)/$AE33))</f>
        <v xml:space="preserve"> </v>
      </c>
      <c r="M33" s="390"/>
      <c r="N33" s="340" t="str">
        <f>IF($AE33&lt;1," ",IF(M33&lt;1," ",(M33)/$AE33))</f>
        <v xml:space="preserve"> </v>
      </c>
      <c r="O33" s="390"/>
      <c r="P33" s="531" t="str">
        <f>IF($AE33&lt;1," ",IF(O33&lt;1," ",(O33)/$AE33))</f>
        <v xml:space="preserve"> </v>
      </c>
      <c r="Q33" s="390"/>
      <c r="R33" s="341" t="str">
        <f>IF($AE33&lt;1," ",IF(Q33&lt;1," ",(Q33)/$AE33))</f>
        <v xml:space="preserve"> </v>
      </c>
      <c r="S33" s="377"/>
      <c r="T33" s="340" t="str">
        <f>IF($AE33&lt;1," ",IF(S33&lt;1," ",(S33)/$AE33))</f>
        <v xml:space="preserve"> </v>
      </c>
      <c r="U33" s="390"/>
      <c r="V33" s="340" t="str">
        <f>IF($AE33&lt;1," ",IF(U33&lt;1," ",(U33)/$AE33))</f>
        <v xml:space="preserve"> </v>
      </c>
      <c r="W33" s="390"/>
      <c r="X33" s="340" t="str">
        <f>IF($AE33&lt;1," ",IF(W33&lt;1," ",(W33)/$AE33))</f>
        <v xml:space="preserve"> </v>
      </c>
      <c r="Y33" s="390"/>
      <c r="Z33" s="340" t="str">
        <f>IF($AE33&lt;1," ",IF(Y33&lt;1," ",(Y33)/$AE33))</f>
        <v xml:space="preserve"> </v>
      </c>
      <c r="AA33" s="390"/>
      <c r="AB33" s="340" t="str">
        <f>IF($AE33&lt;1," ",IF(AA33&lt;1," ",(AA33)/$AE33))</f>
        <v xml:space="preserve"> </v>
      </c>
      <c r="AC33" s="1603">
        <f t="shared" si="2"/>
        <v>0</v>
      </c>
      <c r="AD33" s="387">
        <f t="shared" si="3"/>
        <v>0</v>
      </c>
      <c r="AE33" s="387">
        <f>'2nd Interim-Summary MYP'!H36</f>
        <v>0</v>
      </c>
      <c r="AF33" s="387">
        <f t="shared" si="4"/>
        <v>0</v>
      </c>
      <c r="AG33" s="1212"/>
    </row>
    <row r="34" spans="1:33" ht="16.5" thickBot="1">
      <c r="A34" s="408" t="s">
        <v>272</v>
      </c>
      <c r="B34" s="382"/>
      <c r="C34" s="383"/>
      <c r="D34" s="1075"/>
      <c r="E34" s="772">
        <f>+SUM(E26:E33)</f>
        <v>666278.68999999994</v>
      </c>
      <c r="F34" s="532">
        <f>IF($AE34&lt;1," ",IF(E34&lt;1," ",(E34)/$AE34))</f>
        <v>5.3066425551707763E-2</v>
      </c>
      <c r="G34" s="771">
        <f>+SUM(G26:G33)</f>
        <v>851043.92999999993</v>
      </c>
      <c r="H34" s="532">
        <f>IF($AE34&lt;1," ",IF(G34&lt;1," ",(G34)/$AE34))</f>
        <v>6.7782235917792588E-2</v>
      </c>
      <c r="I34" s="771">
        <f>+SUM(I26:I33)</f>
        <v>965261.17999999993</v>
      </c>
      <c r="J34" s="532">
        <f>IF($AE34&lt;1," ",IF(I34&lt;1," ",(I34)/$AE34))</f>
        <v>7.6879181812678998E-2</v>
      </c>
      <c r="K34" s="771">
        <f>+SUM(K26:K33)</f>
        <v>1191347.1399999999</v>
      </c>
      <c r="L34" s="532">
        <f>IF($AE34&lt;1," ",IF(K34&lt;1," ",(K34)/$AE34))</f>
        <v>9.4886021810257765E-2</v>
      </c>
      <c r="M34" s="771">
        <f>+SUM(M26:M33)</f>
        <v>983715.89000000025</v>
      </c>
      <c r="N34" s="388">
        <f>IF($AE34&lt;1," ",IF(M34&lt;1," ",(M34)/$AE34))</f>
        <v>7.8349025451672424E-2</v>
      </c>
      <c r="O34" s="771">
        <f>+SUM(O26:O33)</f>
        <v>1067795.9200000004</v>
      </c>
      <c r="P34" s="532">
        <f>IF($AE34&lt;1," ",IF(O34&lt;1," ",(O34)/$AE34))</f>
        <v>8.5045662638703529E-2</v>
      </c>
      <c r="Q34" s="771">
        <f>+SUM(Q26:Q33)</f>
        <v>940847.76000000047</v>
      </c>
      <c r="R34" s="517">
        <f>IF($AE34&lt;1," ",IF(Q34&lt;1," ",(Q34)/$AE34))</f>
        <v>7.4934750819557264E-2</v>
      </c>
      <c r="S34" s="770">
        <f>+SUM(S26:S33)</f>
        <v>909846.43</v>
      </c>
      <c r="T34" s="388">
        <f>IF($AE34&lt;1," ",IF(S34&lt;1," ",(S34)/$AE34))</f>
        <v>7.2465619215710014E-2</v>
      </c>
      <c r="U34" s="771">
        <f>+SUM(U26:U33)</f>
        <v>848817.48750000005</v>
      </c>
      <c r="V34" s="388">
        <f>IF($AE34&lt;1," ",IF(U34&lt;1," ",(U34)/$AE34))</f>
        <v>6.7604908701802233E-2</v>
      </c>
      <c r="W34" s="771">
        <f>+SUM(W26:W33)</f>
        <v>893224.10749999993</v>
      </c>
      <c r="X34" s="388">
        <f>IF($AE34&lt;1," ",IF(W34&lt;1," ",(W34)/$AE34))</f>
        <v>7.1141717892312245E-2</v>
      </c>
      <c r="Y34" s="771">
        <f>+SUM(Y26:Y33)</f>
        <v>891953.67749999999</v>
      </c>
      <c r="Z34" s="388">
        <f>IF($AE34&lt;1," ",IF(Y34&lt;1," ",(Y34)/$AE34))</f>
        <v>7.1040533237864342E-2</v>
      </c>
      <c r="AA34" s="771">
        <f>+SUM(AA26:AA33)</f>
        <v>849767.73750000005</v>
      </c>
      <c r="AB34" s="388">
        <f>IF($AE34&lt;1," ",IF(AA34&lt;1," ",(AA34)/$AE34))</f>
        <v>6.7680592303330164E-2</v>
      </c>
      <c r="AC34" s="1602">
        <f>+SUM(AC26:AC33)</f>
        <v>1495660.0500000003</v>
      </c>
      <c r="AD34" s="773">
        <f>+SUM(AD26:AD33)</f>
        <v>12555560</v>
      </c>
      <c r="AE34" s="773">
        <f>+SUM(AE26:AE33)</f>
        <v>12555560</v>
      </c>
      <c r="AF34" s="773">
        <f>+SUM(AF26:AF33)</f>
        <v>0</v>
      </c>
      <c r="AG34" s="1212"/>
    </row>
    <row r="35" spans="1:33" ht="15.75">
      <c r="A35" s="409"/>
      <c r="B35" s="371"/>
      <c r="C35" s="71"/>
      <c r="D35" s="527"/>
      <c r="E35" s="75"/>
      <c r="F35" s="196"/>
      <c r="G35" s="75"/>
      <c r="H35" s="196"/>
      <c r="I35" s="75"/>
      <c r="J35" s="196"/>
      <c r="K35" s="75"/>
      <c r="L35" s="1063"/>
      <c r="M35" s="1064"/>
      <c r="N35" s="196"/>
      <c r="O35" s="75"/>
      <c r="P35" s="196"/>
      <c r="Q35" s="75"/>
      <c r="R35" s="518"/>
      <c r="S35" s="74"/>
      <c r="T35" s="196"/>
      <c r="U35" s="75"/>
      <c r="V35" s="196"/>
      <c r="W35" s="75"/>
      <c r="X35" s="196"/>
      <c r="Y35" s="75"/>
      <c r="Z35" s="196"/>
      <c r="AA35" s="75"/>
      <c r="AB35" s="196"/>
      <c r="AC35" s="1023"/>
      <c r="AD35" s="1023"/>
      <c r="AE35" s="1023"/>
      <c r="AF35" s="1039"/>
      <c r="AG35" s="1212"/>
    </row>
    <row r="36" spans="1:33" ht="15.75">
      <c r="A36" s="66" t="s">
        <v>424</v>
      </c>
      <c r="B36" s="180"/>
      <c r="C36" s="373"/>
      <c r="D36" s="1073"/>
      <c r="E36" s="523"/>
      <c r="F36" s="482"/>
      <c r="G36" s="523"/>
      <c r="H36" s="482"/>
      <c r="I36" s="523"/>
      <c r="J36" s="482"/>
      <c r="K36" s="523"/>
      <c r="L36" s="1061"/>
      <c r="M36" s="1065"/>
      <c r="N36" s="482"/>
      <c r="O36" s="523"/>
      <c r="P36" s="482"/>
      <c r="Q36" s="523"/>
      <c r="R36" s="546"/>
      <c r="S36" s="374"/>
      <c r="T36" s="482"/>
      <c r="U36" s="523"/>
      <c r="V36" s="482"/>
      <c r="W36" s="523"/>
      <c r="X36" s="482"/>
      <c r="Y36" s="523"/>
      <c r="Z36" s="482"/>
      <c r="AA36" s="523"/>
      <c r="AB36" s="482"/>
      <c r="AC36" s="1027"/>
      <c r="AD36" s="1027"/>
      <c r="AE36" s="1027"/>
      <c r="AF36" s="1035"/>
      <c r="AG36" s="1212"/>
    </row>
    <row r="37" spans="1:33" ht="15.75">
      <c r="A37" s="406" t="s">
        <v>275</v>
      </c>
      <c r="B37" s="140"/>
      <c r="C37" s="278">
        <v>8900</v>
      </c>
      <c r="D37" s="1076"/>
      <c r="E37" s="378"/>
      <c r="F37" s="531" t="str">
        <f>IF($AE37&lt;1," ",IF(E37&lt;1," ",(E37)/$AE37))</f>
        <v xml:space="preserve"> </v>
      </c>
      <c r="G37" s="390"/>
      <c r="H37" s="531" t="str">
        <f>IF($AE37&lt;1," ",IF(G37&lt;1," ",(G37)/$AE37))</f>
        <v xml:space="preserve"> </v>
      </c>
      <c r="I37" s="390"/>
      <c r="J37" s="531" t="str">
        <f>IF($AE37&lt;1," ",IF(I37&lt;1," ",(I37)/$AE37))</f>
        <v xml:space="preserve"> </v>
      </c>
      <c r="K37" s="390"/>
      <c r="L37" s="531" t="str">
        <f>IF($AE37&lt;1," ",IF(K37&lt;1," ",(K37)/$AE37))</f>
        <v xml:space="preserve"> </v>
      </c>
      <c r="M37" s="390"/>
      <c r="N37" s="340" t="str">
        <f>IF($AE37&lt;1," ",IF(M37&lt;1," ",(M37)/$AE37))</f>
        <v xml:space="preserve"> </v>
      </c>
      <c r="O37" s="390"/>
      <c r="P37" s="340" t="str">
        <f>IF($AE37&lt;1," ",IF(O37&lt;1," ",(O37)/$AE37))</f>
        <v xml:space="preserve"> </v>
      </c>
      <c r="Q37" s="390"/>
      <c r="R37" s="341" t="str">
        <f>IF($AE37&lt;1," ",IF(Q37&lt;1," ",(Q37)/$AE37))</f>
        <v xml:space="preserve"> </v>
      </c>
      <c r="S37" s="377"/>
      <c r="T37" s="340" t="str">
        <f>IF($AE37&lt;1," ",IF(S37&lt;1," ",(S37)/$AE37))</f>
        <v xml:space="preserve"> </v>
      </c>
      <c r="U37" s="390"/>
      <c r="V37" s="340" t="str">
        <f>IF($AE37&lt;1," ",IF(U37&lt;1," ",(U37)/$AE37))</f>
        <v xml:space="preserve"> </v>
      </c>
      <c r="W37" s="390"/>
      <c r="X37" s="340" t="str">
        <f>IF($AE37&lt;1," ",IF(W37&lt;1," ",(W37)/$AE37))</f>
        <v xml:space="preserve"> </v>
      </c>
      <c r="Y37" s="390"/>
      <c r="Z37" s="340" t="str">
        <f>IF($AE37&lt;1," ",IF(Y37&lt;1," ",(Y37)/$AE37))</f>
        <v xml:space="preserve"> </v>
      </c>
      <c r="AA37" s="390"/>
      <c r="AB37" s="340" t="str">
        <f>IF($AE37&lt;1," ",IF(AA37&lt;1," ",(AA37)/$AE37))</f>
        <v xml:space="preserve"> </v>
      </c>
      <c r="AC37" s="1603">
        <f>AE37-(E37+G37+I37+K37+M37+O37+Q37+S37+U37+W37+Y37+AA37)</f>
        <v>0</v>
      </c>
      <c r="AD37" s="387">
        <f>+E37+G37+I37+K37+M37+O37+Q37+S37+U37+W37+Y37+AA37+AC37</f>
        <v>0</v>
      </c>
      <c r="AE37" s="387">
        <f>'2nd Interim-Summary MYP'!H42</f>
        <v>0</v>
      </c>
      <c r="AF37" s="387">
        <f>+AE37-AD37</f>
        <v>0</v>
      </c>
      <c r="AG37" s="1212"/>
    </row>
    <row r="38" spans="1:33" ht="15.75">
      <c r="A38" s="406" t="s">
        <v>276</v>
      </c>
      <c r="B38" s="140"/>
      <c r="C38" s="278">
        <v>7600</v>
      </c>
      <c r="D38" s="1076"/>
      <c r="E38" s="378"/>
      <c r="F38" s="531" t="str">
        <f>IF($AE38&lt;1," ",IF(E38&lt;1," ",(E38)/$AE38))</f>
        <v xml:space="preserve"> </v>
      </c>
      <c r="G38" s="390"/>
      <c r="H38" s="531" t="str">
        <f>IF($AE38&lt;1," ",IF(G38&lt;1," ",(G38)/$AE38))</f>
        <v xml:space="preserve"> </v>
      </c>
      <c r="I38" s="390"/>
      <c r="J38" s="531" t="str">
        <f>IF($AE38&lt;1," ",IF(I38&lt;1," ",(I38)/$AE38))</f>
        <v xml:space="preserve"> </v>
      </c>
      <c r="K38" s="390"/>
      <c r="L38" s="531" t="str">
        <f>IF($AE38&lt;1," ",IF(K38&lt;1," ",(K38)/$AE38))</f>
        <v xml:space="preserve"> </v>
      </c>
      <c r="M38" s="390"/>
      <c r="N38" s="340" t="str">
        <f>IF($AE38&lt;1," ",IF(M38&lt;1," ",(M38)/$AE38))</f>
        <v xml:space="preserve"> </v>
      </c>
      <c r="O38" s="390"/>
      <c r="P38" s="340" t="str">
        <f>IF($AE38&lt;1," ",IF(O38&lt;1," ",(O38)/$AE38))</f>
        <v xml:space="preserve"> </v>
      </c>
      <c r="Q38" s="390"/>
      <c r="R38" s="341" t="str">
        <f>IF($AE38&lt;1," ",IF(Q38&lt;1," ",(Q38)/$AE38))</f>
        <v xml:space="preserve"> </v>
      </c>
      <c r="S38" s="377"/>
      <c r="T38" s="340" t="str">
        <f>IF($AE38&lt;1," ",IF(S38&lt;1," ",(S38)/$AE38))</f>
        <v xml:space="preserve"> </v>
      </c>
      <c r="U38" s="390"/>
      <c r="V38" s="340" t="str">
        <f>IF($AE38&lt;1," ",IF(U38&lt;1," ",(U38)/$AE38))</f>
        <v xml:space="preserve"> </v>
      </c>
      <c r="W38" s="390"/>
      <c r="X38" s="340" t="str">
        <f>IF($AE38&lt;1," ",IF(W38&lt;1," ",(W38)/$AE38))</f>
        <v xml:space="preserve"> </v>
      </c>
      <c r="Y38" s="390"/>
      <c r="Z38" s="340" t="str">
        <f>IF($AE38&lt;1," ",IF(Y38&lt;1," ",(Y38)/$AE38))</f>
        <v xml:space="preserve"> </v>
      </c>
      <c r="AA38" s="390"/>
      <c r="AB38" s="340" t="str">
        <f>IF($AE38&lt;1," ",IF(AA38&lt;1," ",(AA38)/$AE38))</f>
        <v xml:space="preserve"> </v>
      </c>
      <c r="AC38" s="1603">
        <f>AE38-(E38+G38+I38+K38+M38+O38+Q38+S38+U38+W38+Y38+AA38)</f>
        <v>0</v>
      </c>
      <c r="AD38" s="387">
        <f>+E38+G38+I38+K38+M38+O38+Q38+S38+U38+W38+Y38+AA38+AC38</f>
        <v>0</v>
      </c>
      <c r="AE38" s="387">
        <f>'2nd Interim-Summary MYP'!H43</f>
        <v>0</v>
      </c>
      <c r="AF38" s="387">
        <f>+AE38-AD38</f>
        <v>0</v>
      </c>
      <c r="AG38" s="1212"/>
    </row>
    <row r="39" spans="1:33" ht="16.5" thickBot="1">
      <c r="A39" s="410" t="s">
        <v>277</v>
      </c>
      <c r="B39" s="382"/>
      <c r="C39" s="383"/>
      <c r="D39" s="1075"/>
      <c r="E39" s="772">
        <f>+E37-E38</f>
        <v>0</v>
      </c>
      <c r="F39" s="532" t="str">
        <f>IF($AE39&lt;1," ",IF(E39&lt;1," ",(E39)/$AE39))</f>
        <v xml:space="preserve"> </v>
      </c>
      <c r="G39" s="771">
        <f>+G37-G38</f>
        <v>0</v>
      </c>
      <c r="H39" s="532" t="str">
        <f>IF($AE39&lt;1," ",IF(G39&lt;1," ",(G39)/$AE39))</f>
        <v xml:space="preserve"> </v>
      </c>
      <c r="I39" s="771">
        <f>+I37-I38</f>
        <v>0</v>
      </c>
      <c r="J39" s="532" t="str">
        <f>IF($AE39&lt;1," ",IF(I39&lt;1," ",(I39)/$AE39))</f>
        <v xml:space="preserve"> </v>
      </c>
      <c r="K39" s="771">
        <f>+K37-K38</f>
        <v>0</v>
      </c>
      <c r="L39" s="532" t="str">
        <f>IF($AE39&lt;1," ",IF(K39&lt;1," ",(K39)/$AE39))</f>
        <v xml:space="preserve"> </v>
      </c>
      <c r="M39" s="771">
        <f>+M37-M38</f>
        <v>0</v>
      </c>
      <c r="N39" s="388" t="str">
        <f>IF($AE39&lt;1," ",IF(M39&lt;1," ",(M39)/$AE39))</f>
        <v xml:space="preserve"> </v>
      </c>
      <c r="O39" s="771">
        <f>+O37-O38</f>
        <v>0</v>
      </c>
      <c r="P39" s="388" t="str">
        <f>IF($AE39&lt;1," ",IF(O39&lt;1," ",(O39)/$AE39))</f>
        <v xml:space="preserve"> </v>
      </c>
      <c r="Q39" s="771">
        <f>+Q37-Q38</f>
        <v>0</v>
      </c>
      <c r="R39" s="517" t="str">
        <f>IF($AE39&lt;1," ",IF(Q39&lt;1," ",(Q39)/$AE39))</f>
        <v xml:space="preserve"> </v>
      </c>
      <c r="S39" s="770">
        <f>+S37-S38</f>
        <v>0</v>
      </c>
      <c r="T39" s="388" t="str">
        <f>IF($AE39&lt;1," ",IF(S39&lt;1," ",(S39)/$AE39))</f>
        <v xml:space="preserve"> </v>
      </c>
      <c r="U39" s="771">
        <f>+U37-U38</f>
        <v>0</v>
      </c>
      <c r="V39" s="388" t="str">
        <f>IF($AE39&lt;1," ",IF(U39&lt;1," ",(U39)/$AE39))</f>
        <v xml:space="preserve"> </v>
      </c>
      <c r="W39" s="771">
        <f>+W37-W38</f>
        <v>0</v>
      </c>
      <c r="X39" s="388" t="str">
        <f>IF($AE39&lt;1," ",IF(W39&lt;1," ",(W39)/$AE39))</f>
        <v xml:space="preserve"> </v>
      </c>
      <c r="Y39" s="771">
        <f>+Y37-Y38</f>
        <v>0</v>
      </c>
      <c r="Z39" s="388" t="str">
        <f>IF($AE39&lt;1," ",IF(Y39&lt;1," ",(Y39)/$AE39))</f>
        <v xml:space="preserve"> </v>
      </c>
      <c r="AA39" s="771">
        <f>+AA37-AA38</f>
        <v>0</v>
      </c>
      <c r="AB39" s="388" t="str">
        <f>IF($AE39&lt;1," ",IF(AA39&lt;1," ",(AA39)/$AE39))</f>
        <v xml:space="preserve"> </v>
      </c>
      <c r="AC39" s="1602">
        <f>+AC37-AC38</f>
        <v>0</v>
      </c>
      <c r="AD39" s="773">
        <f>+AD37-AD38</f>
        <v>0</v>
      </c>
      <c r="AE39" s="773">
        <f>+AE37-AE38</f>
        <v>0</v>
      </c>
      <c r="AF39" s="773">
        <f>+AF37-AF38</f>
        <v>0</v>
      </c>
      <c r="AG39" s="1212"/>
    </row>
    <row r="40" spans="1:33" ht="15.75" customHeight="1">
      <c r="A40" s="409"/>
      <c r="B40" s="182"/>
      <c r="C40" s="22"/>
      <c r="D40" s="1845" t="s">
        <v>425</v>
      </c>
      <c r="E40" s="1047"/>
      <c r="F40" s="535" t="s">
        <v>426</v>
      </c>
      <c r="G40" s="393"/>
      <c r="H40" s="535" t="s">
        <v>426</v>
      </c>
      <c r="I40" s="393"/>
      <c r="J40" s="535" t="s">
        <v>426</v>
      </c>
      <c r="K40" s="393"/>
      <c r="L40" s="535" t="s">
        <v>426</v>
      </c>
      <c r="M40" s="393"/>
      <c r="N40" s="1050" t="s">
        <v>426</v>
      </c>
      <c r="O40" s="393"/>
      <c r="P40" s="198" t="s">
        <v>426</v>
      </c>
      <c r="Q40" s="393"/>
      <c r="R40" s="547" t="s">
        <v>426</v>
      </c>
      <c r="S40" s="48"/>
      <c r="T40" s="198" t="s">
        <v>426</v>
      </c>
      <c r="U40" s="393"/>
      <c r="V40" s="198" t="s">
        <v>426</v>
      </c>
      <c r="W40" s="393"/>
      <c r="X40" s="198" t="s">
        <v>426</v>
      </c>
      <c r="Y40" s="393"/>
      <c r="Z40" s="198" t="s">
        <v>426</v>
      </c>
      <c r="AA40" s="393"/>
      <c r="AB40" s="198" t="s">
        <v>426</v>
      </c>
      <c r="AC40" s="1604"/>
      <c r="AD40" s="1034"/>
      <c r="AE40" s="1813" t="s">
        <v>427</v>
      </c>
      <c r="AF40" s="1040"/>
    </row>
    <row r="41" spans="1:33" ht="15.75">
      <c r="A41" s="66" t="s">
        <v>428</v>
      </c>
      <c r="B41" s="180"/>
      <c r="C41" s="22"/>
      <c r="D41" s="1846"/>
      <c r="E41" s="1047"/>
      <c r="F41" s="535" t="s">
        <v>429</v>
      </c>
      <c r="G41" s="393"/>
      <c r="H41" s="535" t="s">
        <v>429</v>
      </c>
      <c r="I41" s="393"/>
      <c r="J41" s="535" t="s">
        <v>429</v>
      </c>
      <c r="K41" s="393"/>
      <c r="L41" s="535" t="s">
        <v>429</v>
      </c>
      <c r="M41" s="393"/>
      <c r="N41" s="1050" t="s">
        <v>429</v>
      </c>
      <c r="O41" s="393"/>
      <c r="P41" s="198" t="s">
        <v>429</v>
      </c>
      <c r="Q41" s="393"/>
      <c r="R41" s="519" t="s">
        <v>429</v>
      </c>
      <c r="S41" s="48"/>
      <c r="T41" s="198" t="s">
        <v>429</v>
      </c>
      <c r="U41" s="393"/>
      <c r="V41" s="198" t="s">
        <v>429</v>
      </c>
      <c r="W41" s="393"/>
      <c r="X41" s="198" t="s">
        <v>429</v>
      </c>
      <c r="Y41" s="393"/>
      <c r="Z41" s="198" t="s">
        <v>429</v>
      </c>
      <c r="AA41" s="393"/>
      <c r="AB41" s="198" t="s">
        <v>429</v>
      </c>
      <c r="AC41" s="1604"/>
      <c r="AD41" s="1034"/>
      <c r="AE41" s="1813"/>
      <c r="AF41" s="774"/>
    </row>
    <row r="42" spans="1:33" ht="15.75">
      <c r="A42" s="68"/>
      <c r="B42" s="182"/>
      <c r="C42" s="22"/>
      <c r="D42" s="1847"/>
      <c r="E42" s="1047"/>
      <c r="F42" s="536"/>
      <c r="G42" s="393"/>
      <c r="H42" s="536"/>
      <c r="I42" s="393"/>
      <c r="J42" s="536"/>
      <c r="K42" s="393"/>
      <c r="L42" s="536"/>
      <c r="M42" s="393"/>
      <c r="N42" s="1051"/>
      <c r="O42" s="393"/>
      <c r="P42" s="194"/>
      <c r="Q42" s="393"/>
      <c r="R42" s="520"/>
      <c r="S42" s="48"/>
      <c r="T42" s="194"/>
      <c r="U42" s="393"/>
      <c r="V42" s="194"/>
      <c r="W42" s="393"/>
      <c r="X42" s="194"/>
      <c r="Y42" s="393"/>
      <c r="Z42" s="194"/>
      <c r="AA42" s="393"/>
      <c r="AB42" s="194"/>
      <c r="AC42" s="1604"/>
      <c r="AD42" s="1034"/>
      <c r="AE42" s="1813"/>
      <c r="AF42" s="774"/>
    </row>
    <row r="43" spans="1:33" ht="15.75" customHeight="1">
      <c r="A43" s="411" t="s">
        <v>430</v>
      </c>
      <c r="B43" s="396"/>
      <c r="C43" s="623">
        <v>9210</v>
      </c>
      <c r="D43" s="1077">
        <v>4752194</v>
      </c>
      <c r="E43" s="511">
        <v>2185998</v>
      </c>
      <c r="F43" s="531">
        <f>IF($D43&lt;1," ",IF(E43&lt;1," ",(E43)/$D43))</f>
        <v>0.4599976347766947</v>
      </c>
      <c r="G43" s="398">
        <v>916400</v>
      </c>
      <c r="H43" s="531">
        <f>IF($D43&lt;1," ",IF(G43&lt;1," ",(G43)/$D43))</f>
        <v>0.19283724528081134</v>
      </c>
      <c r="I43" s="398">
        <v>919939</v>
      </c>
      <c r="J43" s="531">
        <f>IF($D43&lt;1," ",IF(I43&lt;1," ",(I43)/$D43))</f>
        <v>0.19358195393538227</v>
      </c>
      <c r="K43" s="398">
        <v>430947.32999999996</v>
      </c>
      <c r="L43" s="531">
        <f>IF($D43&lt;1," ",IF(K43&lt;1," ",(K43)/$D43))</f>
        <v>9.0683867283195926E-2</v>
      </c>
      <c r="M43" s="398">
        <v>41784</v>
      </c>
      <c r="N43" s="340">
        <f>IF($D43&lt;1," ",IF(M43&lt;1," ",(M43)/$D43))</f>
        <v>8.7925703369854009E-3</v>
      </c>
      <c r="O43" s="398">
        <v>0</v>
      </c>
      <c r="P43" s="340" t="str">
        <f>IF($D43&lt;1," ",IF(O43&lt;1," ",(O43)/$D43))</f>
        <v xml:space="preserve"> </v>
      </c>
      <c r="Q43" s="398">
        <v>140164.92000000001</v>
      </c>
      <c r="R43" s="341">
        <f>IF($D43&lt;1," ",IF(Q43&lt;1," ",(Q43)/$D43))</f>
        <v>2.9494780726544417E-2</v>
      </c>
      <c r="S43" s="397">
        <v>0</v>
      </c>
      <c r="T43" s="340" t="str">
        <f>IF($D43&lt;1," ",IF(S43&lt;1," ",(S43)/$D43))</f>
        <v xml:space="preserve"> </v>
      </c>
      <c r="U43" s="398">
        <v>121720</v>
      </c>
      <c r="V43" s="340">
        <f>IF($D43&lt;1," ",IF(U43&lt;1," ",(U43)/$D43))</f>
        <v>2.5613432448254429E-2</v>
      </c>
      <c r="W43" s="398">
        <v>0</v>
      </c>
      <c r="X43" s="340" t="str">
        <f>IF($D43&lt;1," ",IF(W43&lt;1," ",(W43)/$D43))</f>
        <v xml:space="preserve"> </v>
      </c>
      <c r="Y43" s="398">
        <v>0</v>
      </c>
      <c r="Z43" s="340" t="str">
        <f>IF($D43&lt;1," ",IF(Y43&lt;1," ",(Y43)/$D43))</f>
        <v xml:space="preserve"> </v>
      </c>
      <c r="AA43" s="398">
        <v>0</v>
      </c>
      <c r="AB43" s="340" t="str">
        <f>IF($D43&lt;1," ",IF(AA43&lt;1," ",(AA43)/$D43))</f>
        <v xml:space="preserve"> </v>
      </c>
      <c r="AC43" s="1605"/>
      <c r="AD43" s="1608">
        <f>+E43+G43+I43+K43+M43+O43+Q43+S43+U43+W43+Y43+AA43</f>
        <v>4756953.25</v>
      </c>
      <c r="AE43" s="399">
        <f>D43-AD43</f>
        <v>-4759.25</v>
      </c>
      <c r="AF43" s="774"/>
      <c r="AG43" s="1609" t="str">
        <f>IF(AD43=D43,"","Prior Year Transactions should be zero'd out by Year End")</f>
        <v>Prior Year Transactions should be zero'd out by Year End</v>
      </c>
    </row>
    <row r="44" spans="1:33" ht="15.75">
      <c r="A44" s="411" t="s">
        <v>292</v>
      </c>
      <c r="B44" s="396"/>
      <c r="C44" s="623">
        <v>9330</v>
      </c>
      <c r="D44" s="1077">
        <v>36837</v>
      </c>
      <c r="E44" s="511">
        <v>36837</v>
      </c>
      <c r="F44" s="531">
        <f>IF($D44&lt;1," ",IF(E44&lt;1," ",(E44)/$D44))</f>
        <v>1</v>
      </c>
      <c r="G44" s="398">
        <v>0</v>
      </c>
      <c r="H44" s="531" t="str">
        <f>IF($D44&lt;1," ",IF(G44&lt;1," ",(G44)/$D44))</f>
        <v xml:space="preserve"> </v>
      </c>
      <c r="I44" s="398">
        <v>0</v>
      </c>
      <c r="J44" s="531" t="str">
        <f>IF($D44&lt;1," ",IF(I44&lt;1," ",(I44)/$D44))</f>
        <v xml:space="preserve"> </v>
      </c>
      <c r="K44" s="398">
        <v>0</v>
      </c>
      <c r="L44" s="531" t="str">
        <f>IF($D44&lt;1," ",IF(K44&lt;1," ",(K44)/$D44))</f>
        <v xml:space="preserve"> </v>
      </c>
      <c r="M44" s="398">
        <v>0</v>
      </c>
      <c r="N44" s="340" t="str">
        <f>IF($D44&lt;1," ",IF(M44&lt;1," ",(M44)/$D44))</f>
        <v xml:space="preserve"> </v>
      </c>
      <c r="O44" s="398">
        <v>0</v>
      </c>
      <c r="P44" s="340" t="str">
        <f>IF($D44&lt;1," ",IF(O44&lt;1," ",(O44)/$D44))</f>
        <v xml:space="preserve"> </v>
      </c>
      <c r="Q44" s="398">
        <v>0</v>
      </c>
      <c r="R44" s="341" t="str">
        <f>IF($D44&lt;1," ",IF(Q44&lt;1," ",(Q44)/$D44))</f>
        <v xml:space="preserve"> </v>
      </c>
      <c r="S44" s="397">
        <v>0</v>
      </c>
      <c r="T44" s="340" t="str">
        <f>IF($D44&lt;1," ",IF(S44&lt;1," ",(S44)/$D44))</f>
        <v xml:space="preserve"> </v>
      </c>
      <c r="U44" s="398">
        <v>0</v>
      </c>
      <c r="V44" s="340" t="str">
        <f>IF($D44&lt;1," ",IF(U44&lt;1," ",(U44)/$D44))</f>
        <v xml:space="preserve"> </v>
      </c>
      <c r="W44" s="398">
        <v>0</v>
      </c>
      <c r="X44" s="340" t="str">
        <f>IF($D44&lt;1," ",IF(W44&lt;1," ",(W44)/$D44))</f>
        <v xml:space="preserve"> </v>
      </c>
      <c r="Y44" s="398">
        <v>0</v>
      </c>
      <c r="Z44" s="340" t="str">
        <f>IF($D44&lt;1," ",IF(Y44&lt;1," ",(Y44)/$D44))</f>
        <v xml:space="preserve"> </v>
      </c>
      <c r="AA44" s="398">
        <v>0</v>
      </c>
      <c r="AB44" s="340" t="str">
        <f>IF($D44&lt;1," ",IF(AA44&lt;1," ",(AA44)/$D44))</f>
        <v xml:space="preserve"> </v>
      </c>
      <c r="AC44" s="1605"/>
      <c r="AD44" s="1608">
        <f>+E44+G44+I44+K44+M44+O44+Q44+S44+U44+W44+Y44+AA44</f>
        <v>36837</v>
      </c>
      <c r="AE44" s="399">
        <f>D44-AD44</f>
        <v>0</v>
      </c>
      <c r="AF44" s="774"/>
      <c r="AG44" s="1609" t="str">
        <f>IF(AD44=D44,"","Prior Year Transactions should be zero'd out by Year End")</f>
        <v/>
      </c>
    </row>
    <row r="45" spans="1:33" ht="15.75">
      <c r="A45" s="411" t="s">
        <v>431</v>
      </c>
      <c r="B45" s="396"/>
      <c r="C45" s="623">
        <v>9510</v>
      </c>
      <c r="D45" s="1077">
        <v>-1820065</v>
      </c>
      <c r="E45" s="511">
        <v>122186.28</v>
      </c>
      <c r="F45" s="531" t="str">
        <f>IF($D45&lt;1," ",IF(E45&lt;1," ",(E45)/$D45))</f>
        <v xml:space="preserve"> </v>
      </c>
      <c r="G45" s="398">
        <v>367455.25</v>
      </c>
      <c r="H45" s="531" t="str">
        <f>IF($D45&lt;1," ",IF(G45&lt;1," ",(G45)/$D45))</f>
        <v xml:space="preserve"> </v>
      </c>
      <c r="I45" s="398">
        <v>-61240.459999999803</v>
      </c>
      <c r="J45" s="531" t="str">
        <f>IF($D45&lt;1," ",IF(I45&lt;1," ",(I45)/$D45))</f>
        <v xml:space="preserve"> </v>
      </c>
      <c r="K45" s="398">
        <v>329582.5</v>
      </c>
      <c r="L45" s="531" t="str">
        <f>IF($D45&lt;1," ",IF(K45&lt;1," ",(K45)/$D45))</f>
        <v xml:space="preserve"> </v>
      </c>
      <c r="M45" s="398">
        <v>-82181.499999999898</v>
      </c>
      <c r="N45" s="340" t="str">
        <f>IF($D45&lt;1," ",IF(M45&lt;1," ",(M45)/$D45))</f>
        <v xml:space="preserve"> </v>
      </c>
      <c r="O45" s="398">
        <v>127021.08</v>
      </c>
      <c r="P45" s="340" t="str">
        <f>IF($D45&lt;1," ",IF(O45&lt;1," ",(O45)/$D45))</f>
        <v xml:space="preserve"> </v>
      </c>
      <c r="Q45" s="398">
        <v>39872.980000000098</v>
      </c>
      <c r="R45" s="341" t="str">
        <f>IF($D45&lt;1," ",IF(Q45&lt;1," ",(Q45)/$D45))</f>
        <v xml:space="preserve"> </v>
      </c>
      <c r="S45" s="397">
        <v>235487.549999999</v>
      </c>
      <c r="T45" s="340" t="str">
        <f>IF($D45&lt;1," ",IF(S45&lt;1," ",(S45)/$D45))</f>
        <v xml:space="preserve"> </v>
      </c>
      <c r="U45" s="398">
        <v>172411.6</v>
      </c>
      <c r="V45" s="340" t="str">
        <f>IF($D45&lt;1," ",IF(U45&lt;1," ",(U45)/$D45))</f>
        <v xml:space="preserve"> </v>
      </c>
      <c r="W45" s="398">
        <v>72411.600000000006</v>
      </c>
      <c r="X45" s="340" t="str">
        <f>IF($D45&lt;1," ",IF(W45&lt;1," ",(W45)/$D45))</f>
        <v xml:space="preserve"> </v>
      </c>
      <c r="Y45" s="398">
        <v>72411.600000000006</v>
      </c>
      <c r="Z45" s="340" t="str">
        <f>IF($D45&lt;1," ",IF(Y45&lt;1," ",(Y45)/$D45))</f>
        <v xml:space="preserve"> </v>
      </c>
      <c r="AA45" s="398">
        <v>72411.600000000006</v>
      </c>
      <c r="AB45" s="340" t="str">
        <f>IF($D45&lt;1," ",IF(AA45&lt;1," ",(AA45)/$D45))</f>
        <v xml:space="preserve"> </v>
      </c>
      <c r="AC45" s="1605"/>
      <c r="AD45" s="1608">
        <f>+E45+G45+I45+K45+M45+O45+Q45+S45+U45+W45+Y45+AA45</f>
        <v>1467830.0799999998</v>
      </c>
      <c r="AE45" s="399">
        <f>D45-AD45</f>
        <v>-3287895.08</v>
      </c>
      <c r="AF45" s="774"/>
      <c r="AG45" s="1609" t="str">
        <f>IF(AD45=D45,"","Prior Year Transactions should be zero'd out by Year End")</f>
        <v>Prior Year Transactions should be zero'd out by Year End</v>
      </c>
    </row>
    <row r="46" spans="1:33" ht="15.75">
      <c r="A46" s="411" t="s">
        <v>432</v>
      </c>
      <c r="B46" s="396"/>
      <c r="C46" s="624">
        <v>9640</v>
      </c>
      <c r="D46" s="1078">
        <v>-3362582</v>
      </c>
      <c r="E46" s="511">
        <v>679499</v>
      </c>
      <c r="F46" s="531" t="str">
        <f>IF($D46&lt;1," ",IF(E46&lt;1," ",(E46)/$D46))</f>
        <v xml:space="preserve"> </v>
      </c>
      <c r="G46" s="398">
        <v>631956</v>
      </c>
      <c r="H46" s="531" t="str">
        <f>IF($D46&lt;1," ",IF(G46&lt;1," ",(G46)/$D46))</f>
        <v xml:space="preserve"> </v>
      </c>
      <c r="I46" s="398">
        <v>578577</v>
      </c>
      <c r="J46" s="531" t="str">
        <f>IF($D46&lt;1," ",IF(I46&lt;1," ",(I46)/$D46))</f>
        <v xml:space="preserve"> </v>
      </c>
      <c r="K46" s="398">
        <v>272550</v>
      </c>
      <c r="L46" s="531" t="str">
        <f>IF($D46&lt;1," ",IF(K46&lt;1," ",(K46)/$D46))</f>
        <v xml:space="preserve"> </v>
      </c>
      <c r="M46" s="398">
        <v>-400000</v>
      </c>
      <c r="N46" s="340" t="str">
        <f>IF($D46&lt;1," ",IF(M46&lt;1," ",(M46)/$D46))</f>
        <v xml:space="preserve"> </v>
      </c>
      <c r="O46" s="398">
        <v>0</v>
      </c>
      <c r="P46" s="340" t="str">
        <f>IF($D46&lt;1," ",IF(O46&lt;1," ",(O46)/$D46))</f>
        <v xml:space="preserve"> </v>
      </c>
      <c r="Q46" s="398">
        <v>1600000</v>
      </c>
      <c r="R46" s="341" t="str">
        <f>IF($D46&lt;1," ",IF(Q46&lt;1," ",(Q46)/$D46))</f>
        <v xml:space="preserve"> </v>
      </c>
      <c r="S46" s="397">
        <v>0</v>
      </c>
      <c r="T46" s="340" t="str">
        <f>IF($D46&lt;1," ",IF(S46&lt;1," ",(S46)/$D46))</f>
        <v xml:space="preserve"> </v>
      </c>
      <c r="U46" s="398">
        <v>0</v>
      </c>
      <c r="V46" s="340" t="str">
        <f>IF($D46&lt;1," ",IF(U46&lt;1," ",(U46)/$D46))</f>
        <v xml:space="preserve"> </v>
      </c>
      <c r="W46" s="398">
        <v>0</v>
      </c>
      <c r="X46" s="340" t="str">
        <f>IF($D46&lt;1," ",IF(W46&lt;1," ",(W46)/$D46))</f>
        <v xml:space="preserve"> </v>
      </c>
      <c r="Y46" s="398">
        <v>-1400000</v>
      </c>
      <c r="Z46" s="340" t="str">
        <f>IF($D46&lt;1," ",IF(Y46&lt;1," ",(Y46)/$D46))</f>
        <v xml:space="preserve"> </v>
      </c>
      <c r="AA46" s="398">
        <v>0</v>
      </c>
      <c r="AB46" s="340" t="str">
        <f>IF($D46&lt;1," ",IF(AA46&lt;1," ",(AA46)/$D46))</f>
        <v xml:space="preserve"> </v>
      </c>
      <c r="AC46" s="1605"/>
      <c r="AD46" s="1608">
        <f>+E46+G46+I46+K46+M46+O46+Q46+S46+U46+W46+Y46+AA46</f>
        <v>1962582</v>
      </c>
      <c r="AE46" s="399">
        <f>D46-AD46</f>
        <v>-5325164</v>
      </c>
      <c r="AF46" s="774"/>
      <c r="AG46" s="1609" t="str">
        <f>IF(AD46=D46,"","Prior Year Transactions should be zero'd out by Year End")</f>
        <v>Prior Year Transactions should be zero'd out by Year End</v>
      </c>
    </row>
    <row r="47" spans="1:33" ht="15.75">
      <c r="A47" s="411" t="s">
        <v>433</v>
      </c>
      <c r="B47" s="396"/>
      <c r="C47" s="623">
        <v>9650</v>
      </c>
      <c r="D47" s="1077">
        <v>140814</v>
      </c>
      <c r="E47" s="511">
        <v>0</v>
      </c>
      <c r="F47" s="531" t="str">
        <f>IF($D47&lt;1," ",IF(E47&lt;1," ",(E47)/$D47))</f>
        <v xml:space="preserve"> </v>
      </c>
      <c r="G47" s="398">
        <v>0</v>
      </c>
      <c r="H47" s="531" t="str">
        <f>IF($D47&lt;1," ",IF(G47&lt;1," ",(G47)/$D47))</f>
        <v xml:space="preserve"> </v>
      </c>
      <c r="I47" s="398">
        <v>0</v>
      </c>
      <c r="J47" s="531" t="str">
        <f>IF($D47&lt;1," ",IF(I47&lt;1," ",(I47)/$D47))</f>
        <v xml:space="preserve"> </v>
      </c>
      <c r="K47" s="398">
        <v>140814</v>
      </c>
      <c r="L47" s="531">
        <f>IF($D47&lt;1," ",IF(K47&lt;1," ",(K47)/$D47))</f>
        <v>1</v>
      </c>
      <c r="M47" s="398">
        <v>0</v>
      </c>
      <c r="N47" s="340" t="str">
        <f>IF($D47&lt;1," ",IF(M47&lt;1," ",(M47)/$D47))</f>
        <v xml:space="preserve"> </v>
      </c>
      <c r="O47" s="398">
        <v>0</v>
      </c>
      <c r="P47" s="340" t="str">
        <f>IF($D47&lt;1," ",IF(O47&lt;1," ",(O47)/$D47))</f>
        <v xml:space="preserve"> </v>
      </c>
      <c r="Q47" s="398">
        <v>0</v>
      </c>
      <c r="R47" s="341" t="str">
        <f>IF($D47&lt;1," ",IF(Q47&lt;1," ",(Q47)/$D47))</f>
        <v xml:space="preserve"> </v>
      </c>
      <c r="S47" s="397">
        <v>0</v>
      </c>
      <c r="T47" s="340" t="str">
        <f>IF($D47&lt;1," ",IF(S47&lt;1," ",(S47)/$D47))</f>
        <v xml:space="preserve"> </v>
      </c>
      <c r="U47" s="398">
        <v>0</v>
      </c>
      <c r="V47" s="340" t="str">
        <f>IF($D47&lt;1," ",IF(U47&lt;1," ",(U47)/$D47))</f>
        <v xml:space="preserve"> </v>
      </c>
      <c r="W47" s="398">
        <v>0</v>
      </c>
      <c r="X47" s="340" t="str">
        <f>IF($D47&lt;1," ",IF(W47&lt;1," ",(W47)/$D47))</f>
        <v xml:space="preserve"> </v>
      </c>
      <c r="Y47" s="398">
        <v>0</v>
      </c>
      <c r="Z47" s="340" t="str">
        <f>IF($D47&lt;1," ",IF(Y47&lt;1," ",(Y47)/$D47))</f>
        <v xml:space="preserve"> </v>
      </c>
      <c r="AA47" s="398">
        <v>0</v>
      </c>
      <c r="AB47" s="340" t="str">
        <f>IF($D47&lt;1," ",IF(AA47&lt;1," ",(AA47)/$D47))</f>
        <v xml:space="preserve"> </v>
      </c>
      <c r="AC47" s="1605"/>
      <c r="AD47" s="1608">
        <f>+E47+G47+I47+K47+M47+O47+Q47+S47+U47+W47+Y47+AA47</f>
        <v>140814</v>
      </c>
      <c r="AE47" s="399">
        <f>D47-AD47</f>
        <v>0</v>
      </c>
      <c r="AF47" s="774"/>
      <c r="AG47" s="1609" t="str">
        <f>IF(AD47=D47,"","Prior Year Transactions should be zero'd out by Year End")</f>
        <v/>
      </c>
    </row>
    <row r="48" spans="1:33" ht="16.5" thickBot="1">
      <c r="A48" s="69" t="s">
        <v>434</v>
      </c>
      <c r="B48" s="369"/>
      <c r="C48" s="70"/>
      <c r="D48" s="1079">
        <f>+D43+D44-D45-D46-D47</f>
        <v>9830864</v>
      </c>
      <c r="E48" s="1044">
        <f>+E43+E44-E45-E46-E47</f>
        <v>1421149.7200000002</v>
      </c>
      <c r="F48" s="537"/>
      <c r="G48" s="1053">
        <f>+G43+G44-G45-G46-G47</f>
        <v>-83011.25</v>
      </c>
      <c r="H48" s="537"/>
      <c r="I48" s="1053">
        <f>+I43+I44-I45-I46-I47</f>
        <v>402602.45999999985</v>
      </c>
      <c r="J48" s="537"/>
      <c r="K48" s="1053">
        <f>+K43+K44-K45-K46-K47</f>
        <v>-311999.17000000004</v>
      </c>
      <c r="L48" s="537"/>
      <c r="M48" s="1053">
        <f>+M43+M44-M45-M46-M47</f>
        <v>523965.49999999988</v>
      </c>
      <c r="N48" s="197"/>
      <c r="O48" s="1053">
        <f>+O43+O44-O45-O46-O47</f>
        <v>-127021.08</v>
      </c>
      <c r="P48" s="197"/>
      <c r="Q48" s="1053">
        <f>+Q43+Q44-Q45-Q46-Q47</f>
        <v>-1499708.06</v>
      </c>
      <c r="R48" s="521"/>
      <c r="S48" s="1049">
        <f>+S43+S44-S45-S46-S47</f>
        <v>-235487.549999999</v>
      </c>
      <c r="T48" s="197"/>
      <c r="U48" s="1053">
        <f>+U43+U44-U45-U46-U47</f>
        <v>-50691.600000000006</v>
      </c>
      <c r="V48" s="197"/>
      <c r="W48" s="1053">
        <f>+W43+W44-W45-W46-W47</f>
        <v>-72411.600000000006</v>
      </c>
      <c r="X48" s="197"/>
      <c r="Y48" s="1053">
        <f>+Y43+Y44-Y45-Y46-Y47</f>
        <v>1327588.3999999999</v>
      </c>
      <c r="Z48" s="197"/>
      <c r="AA48" s="1053">
        <f>+AA43+AA44-AA45-AA46-AA47</f>
        <v>-72411.600000000006</v>
      </c>
      <c r="AB48" s="197"/>
      <c r="AC48" s="1602"/>
      <c r="AD48" s="773">
        <f>+AD43+AD44-AD45-AD46-AD47</f>
        <v>1222564.17</v>
      </c>
      <c r="AE48" s="773">
        <f>+AE43+AE44-AE45-AE46-AE47</f>
        <v>8608299.8300000001</v>
      </c>
      <c r="AF48" s="1041"/>
    </row>
    <row r="49" spans="1:33" ht="15.75">
      <c r="A49" s="407"/>
      <c r="B49" s="370"/>
      <c r="C49" s="71"/>
      <c r="D49" s="527"/>
      <c r="E49" s="192"/>
      <c r="F49" s="196"/>
      <c r="G49" s="192"/>
      <c r="H49" s="196"/>
      <c r="I49" s="192"/>
      <c r="J49" s="196"/>
      <c r="K49" s="192"/>
      <c r="L49" s="1063"/>
      <c r="M49" s="1066"/>
      <c r="N49" s="196"/>
      <c r="O49" s="192"/>
      <c r="P49" s="196"/>
      <c r="Q49" s="192"/>
      <c r="R49" s="518"/>
      <c r="S49" s="76"/>
      <c r="T49" s="196"/>
      <c r="U49" s="192"/>
      <c r="V49" s="196"/>
      <c r="W49" s="192"/>
      <c r="X49" s="196"/>
      <c r="Y49" s="192"/>
      <c r="Z49" s="196"/>
      <c r="AA49" s="192"/>
      <c r="AB49" s="196"/>
      <c r="AC49" s="1023"/>
      <c r="AD49" s="1023"/>
      <c r="AE49" s="1023"/>
      <c r="AF49" s="1039"/>
    </row>
    <row r="50" spans="1:33" ht="15.75">
      <c r="A50" s="66" t="s">
        <v>435</v>
      </c>
      <c r="B50" s="180"/>
      <c r="C50" s="373"/>
      <c r="D50" s="1073"/>
      <c r="E50" s="525"/>
      <c r="F50" s="530"/>
      <c r="G50" s="525"/>
      <c r="H50" s="530"/>
      <c r="I50" s="525"/>
      <c r="J50" s="530"/>
      <c r="K50" s="525"/>
      <c r="L50" s="1067"/>
      <c r="M50" s="1062"/>
      <c r="N50" s="530"/>
      <c r="O50" s="525"/>
      <c r="P50" s="530"/>
      <c r="Q50" s="525"/>
      <c r="R50" s="548"/>
      <c r="S50" s="545"/>
      <c r="T50" s="530"/>
      <c r="U50" s="525"/>
      <c r="V50" s="530"/>
      <c r="W50" s="525"/>
      <c r="X50" s="530"/>
      <c r="Y50" s="525"/>
      <c r="Z50" s="530"/>
      <c r="AA50" s="525"/>
      <c r="AB50" s="530"/>
      <c r="AC50" s="1027"/>
      <c r="AD50" s="1027"/>
      <c r="AE50" s="1027"/>
      <c r="AF50" s="1035"/>
    </row>
    <row r="51" spans="1:33" ht="15.75">
      <c r="A51" s="1806" t="s">
        <v>390</v>
      </c>
      <c r="B51" s="1807"/>
      <c r="C51" s="376"/>
      <c r="D51" s="1070"/>
      <c r="E51" s="511"/>
      <c r="F51" s="531" t="str">
        <f>IF($AE51&lt;1," ",IF(E51&lt;1," ",(E51)/$AE51))</f>
        <v xml:space="preserve"> </v>
      </c>
      <c r="G51" s="398"/>
      <c r="H51" s="531" t="str">
        <f>IF($AE51&lt;1," ",IF(G51&lt;1," ",(G51)/$AE51))</f>
        <v xml:space="preserve"> </v>
      </c>
      <c r="I51" s="398"/>
      <c r="J51" s="531" t="str">
        <f>IF($AE51&lt;1," ",IF(I51&lt;1," ",(I51)/$AE51))</f>
        <v xml:space="preserve"> </v>
      </c>
      <c r="K51" s="398"/>
      <c r="L51" s="531" t="str">
        <f>IF($AE51&lt;1," ",IF(K51&lt;1," ",(K51)/$AE51))</f>
        <v xml:space="preserve"> </v>
      </c>
      <c r="M51" s="398"/>
      <c r="N51" s="340" t="str">
        <f>IF($AE51&lt;1," ",IF(M51&lt;1," ",(M51)/$AE51))</f>
        <v xml:space="preserve"> </v>
      </c>
      <c r="O51" s="398"/>
      <c r="P51" s="340" t="str">
        <f>IF($AE51&lt;1," ",IF(O51&lt;1," ",(O51)/$AE51))</f>
        <v xml:space="preserve"> </v>
      </c>
      <c r="Q51" s="398"/>
      <c r="R51" s="341" t="str">
        <f>IF($AE51&lt;1," ",IF(Q51&lt;1," ",(Q51)/$AE51))</f>
        <v xml:space="preserve"> </v>
      </c>
      <c r="S51" s="397">
        <v>-4209.47</v>
      </c>
      <c r="T51" s="340" t="str">
        <f>IF($AE51&lt;1," ",IF(S51&lt;1," ",(S51)/$AE51))</f>
        <v xml:space="preserve"> </v>
      </c>
      <c r="U51" s="398"/>
      <c r="V51" s="340" t="str">
        <f>IF($AE51&lt;1," ",IF(U51&lt;1," ",(U51)/$AE51))</f>
        <v xml:space="preserve"> </v>
      </c>
      <c r="W51" s="398"/>
      <c r="X51" s="340" t="str">
        <f>IF($AE51&lt;1," ",IF(W51&lt;1," ",(W51)/$AE51))</f>
        <v xml:space="preserve"> </v>
      </c>
      <c r="Y51" s="398"/>
      <c r="Z51" s="340" t="str">
        <f>IF($AE51&lt;1," ",IF(Y51&lt;1," ",(Y51)/$AE51))</f>
        <v xml:space="preserve"> </v>
      </c>
      <c r="AA51" s="398"/>
      <c r="AB51" s="340" t="str">
        <f>IF($AE51&lt;1," ",IF(AA51&lt;1," ",(AA51)/$AE51))</f>
        <v xml:space="preserve"> </v>
      </c>
      <c r="AC51" s="1605"/>
      <c r="AD51" s="379">
        <f>+E51+G51+I51+K51+M51+O51+Q51+S51+U51+W51+Y51+AA51+AC51</f>
        <v>-4209.47</v>
      </c>
      <c r="AE51" s="775"/>
      <c r="AF51" s="776"/>
      <c r="AG51" s="1212"/>
    </row>
    <row r="52" spans="1:33" ht="15.75">
      <c r="A52" s="1806" t="s">
        <v>598</v>
      </c>
      <c r="B52" s="1807"/>
      <c r="C52" s="395"/>
      <c r="D52" s="1076"/>
      <c r="E52" s="511"/>
      <c r="F52" s="531" t="str">
        <f>IF($AE52&lt;1," ",IF(E52&lt;1," ",(E52)/$AE52))</f>
        <v xml:space="preserve"> </v>
      </c>
      <c r="G52" s="398"/>
      <c r="H52" s="531" t="str">
        <f>IF($AE52&lt;1," ",IF(G52&lt;1," ",(G52)/$AE52))</f>
        <v xml:space="preserve"> </v>
      </c>
      <c r="I52" s="398"/>
      <c r="J52" s="531" t="str">
        <f>IF($AE52&lt;1," ",IF(I52&lt;1," ",(I52)/$AE52))</f>
        <v xml:space="preserve"> </v>
      </c>
      <c r="K52" s="398"/>
      <c r="L52" s="531" t="str">
        <f>IF($AE52&lt;1," ",IF(K52&lt;1," ",(K52)/$AE52))</f>
        <v xml:space="preserve"> </v>
      </c>
      <c r="M52" s="398">
        <v>-2000000</v>
      </c>
      <c r="N52" s="340" t="str">
        <f>IF($AE52&lt;1," ",IF(M52&lt;1," ",(M52)/$AE52))</f>
        <v xml:space="preserve"> </v>
      </c>
      <c r="O52" s="398"/>
      <c r="P52" s="340" t="str">
        <f>IF($AE52&lt;1," ",IF(O52&lt;1," ",(O52)/$AE52))</f>
        <v xml:space="preserve"> </v>
      </c>
      <c r="Q52" s="398"/>
      <c r="R52" s="341" t="str">
        <f>IF($AE52&lt;1," ",IF(Q52&lt;1," ",(Q52)/$AE52))</f>
        <v xml:space="preserve"> </v>
      </c>
      <c r="S52" s="397"/>
      <c r="T52" s="340" t="str">
        <f>IF($AE52&lt;1," ",IF(S52&lt;1," ",(S52)/$AE52))</f>
        <v xml:space="preserve"> </v>
      </c>
      <c r="U52" s="398"/>
      <c r="V52" s="340" t="str">
        <f>IF($AE52&lt;1," ",IF(U52&lt;1," ",(U52)/$AE52))</f>
        <v xml:space="preserve"> </v>
      </c>
      <c r="W52" s="398"/>
      <c r="X52" s="340" t="str">
        <f>IF($AE52&lt;1," ",IF(W52&lt;1," ",(W52)/$AE52))</f>
        <v xml:space="preserve"> </v>
      </c>
      <c r="Y52" s="398"/>
      <c r="Z52" s="340" t="str">
        <f>IF($AE52&lt;1," ",IF(Y52&lt;1," ",(Y52)/$AE52))</f>
        <v xml:space="preserve"> </v>
      </c>
      <c r="AA52" s="398"/>
      <c r="AB52" s="340" t="str">
        <f>IF($AE52&lt;1," ",IF(AA52&lt;1," ",(AA52)/$AE52))</f>
        <v xml:space="preserve"> </v>
      </c>
      <c r="AC52" s="1605"/>
      <c r="AD52" s="379">
        <f>+E52+G52+I52+K52+M52+O52+Q52+S52+U52+W52+Y52+AA52+AC52</f>
        <v>-2000000</v>
      </c>
      <c r="AE52" s="777"/>
      <c r="AF52" s="778"/>
      <c r="AG52" s="1240"/>
    </row>
    <row r="53" spans="1:33" ht="15.75">
      <c r="A53" s="1806" t="s">
        <v>599</v>
      </c>
      <c r="B53" s="1807"/>
      <c r="C53" s="376"/>
      <c r="D53" s="1070"/>
      <c r="E53" s="511">
        <v>-222142</v>
      </c>
      <c r="F53" s="531" t="str">
        <f>IF($AE53&lt;1," ",IF(E53&lt;1," ",(E53)/$AE53))</f>
        <v xml:space="preserve"> </v>
      </c>
      <c r="G53" s="398">
        <v>-67774</v>
      </c>
      <c r="H53" s="531" t="str">
        <f>IF($AE53&lt;1," ",IF(G53&lt;1," ",(G53)/$AE53))</f>
        <v xml:space="preserve"> </v>
      </c>
      <c r="I53" s="398">
        <v>-84583</v>
      </c>
      <c r="J53" s="531" t="str">
        <f>IF($AE53&lt;1," ",IF(I53&lt;1," ",(I53)/$AE53))</f>
        <v xml:space="preserve"> </v>
      </c>
      <c r="K53" s="398">
        <v>-24890</v>
      </c>
      <c r="L53" s="531" t="str">
        <f>IF($AE53&lt;1," ",IF(K53&lt;1," ",(K53)/$AE53))</f>
        <v xml:space="preserve"> </v>
      </c>
      <c r="M53" s="398">
        <v>-213500</v>
      </c>
      <c r="N53" s="340" t="str">
        <f>IF($AE53&lt;1," ",IF(M53&lt;1," ",(M53)/$AE53))</f>
        <v xml:space="preserve"> </v>
      </c>
      <c r="O53" s="398"/>
      <c r="P53" s="340" t="str">
        <f>IF($AE53&lt;1," ",IF(O53&lt;1," ",(O53)/$AE53))</f>
        <v xml:space="preserve"> </v>
      </c>
      <c r="Q53" s="398"/>
      <c r="R53" s="341" t="str">
        <f>IF($AE53&lt;1," ",IF(Q53&lt;1," ",(Q53)/$AE53))</f>
        <v xml:space="preserve"> </v>
      </c>
      <c r="S53" s="397">
        <v>42000</v>
      </c>
      <c r="T53" s="340" t="str">
        <f>IF($AE53&lt;1," ",IF(S53&lt;1," ",(S53)/$AE53))</f>
        <v xml:space="preserve"> </v>
      </c>
      <c r="U53" s="398"/>
      <c r="V53" s="340" t="str">
        <f>IF($AE53&lt;1," ",IF(U53&lt;1," ",(U53)/$AE53))</f>
        <v xml:space="preserve"> </v>
      </c>
      <c r="W53" s="398"/>
      <c r="X53" s="340" t="str">
        <f>IF($AE53&lt;1," ",IF(W53&lt;1," ",(W53)/$AE53))</f>
        <v xml:space="preserve"> </v>
      </c>
      <c r="Y53" s="398"/>
      <c r="Z53" s="340" t="str">
        <f>IF($AE53&lt;1," ",IF(Y53&lt;1," ",(Y53)/$AE53))</f>
        <v xml:space="preserve"> </v>
      </c>
      <c r="AA53" s="398"/>
      <c r="AB53" s="340" t="str">
        <f>IF($AE53&lt;1," ",IF(AA53&lt;1," ",(AA53)/$AE53))</f>
        <v xml:space="preserve"> </v>
      </c>
      <c r="AC53" s="1605"/>
      <c r="AD53" s="379">
        <f>+E53+G53+I53+K53+M53+O53+Q53+S53+U53+W53+Y53+AA53+AC53</f>
        <v>-570889</v>
      </c>
      <c r="AE53" s="777"/>
      <c r="AF53" s="778"/>
      <c r="AG53" s="1240"/>
    </row>
    <row r="54" spans="1:33" ht="15.75">
      <c r="A54" s="1806" t="s">
        <v>600</v>
      </c>
      <c r="B54" s="1807"/>
      <c r="C54" s="376"/>
      <c r="D54" s="1070"/>
      <c r="E54" s="511"/>
      <c r="F54" s="531" t="str">
        <f>IF($AE54&lt;1," ",IF(E54&lt;1," ",(E54)/$AE54))</f>
        <v xml:space="preserve"> </v>
      </c>
      <c r="G54" s="398"/>
      <c r="H54" s="531" t="str">
        <f>IF($AE54&lt;1," ",IF(G54&lt;1," ",(G54)/$AE54))</f>
        <v xml:space="preserve"> </v>
      </c>
      <c r="I54" s="398">
        <v>-62500</v>
      </c>
      <c r="J54" s="531" t="str">
        <f>IF($AE54&lt;1," ",IF(I54&lt;1," ",(I54)/$AE54))</f>
        <v xml:space="preserve"> </v>
      </c>
      <c r="K54" s="398"/>
      <c r="L54" s="531" t="str">
        <f>IF($AE54&lt;1," ",IF(K54&lt;1," ",(K54)/$AE54))</f>
        <v xml:space="preserve"> </v>
      </c>
      <c r="M54" s="398"/>
      <c r="N54" s="340" t="str">
        <f>IF($AE54&lt;1," ",IF(M54&lt;1," ",(M54)/$AE54))</f>
        <v xml:space="preserve"> </v>
      </c>
      <c r="O54" s="398">
        <v>-62500</v>
      </c>
      <c r="P54" s="340" t="str">
        <f>IF($AE54&lt;1," ",IF(O54&lt;1," ",(O54)/$AE54))</f>
        <v xml:space="preserve"> </v>
      </c>
      <c r="Q54" s="398"/>
      <c r="R54" s="341" t="str">
        <f>IF($AE54&lt;1," ",IF(Q54&lt;1," ",(Q54)/$AE54))</f>
        <v xml:space="preserve"> </v>
      </c>
      <c r="S54" s="397"/>
      <c r="T54" s="340" t="str">
        <f>IF($AE54&lt;1," ",IF(S54&lt;1," ",(S54)/$AE54))</f>
        <v xml:space="preserve"> </v>
      </c>
      <c r="U54" s="398">
        <v>-62500</v>
      </c>
      <c r="V54" s="340" t="str">
        <f>IF($AE54&lt;1," ",IF(U54&lt;1," ",(U54)/$AE54))</f>
        <v xml:space="preserve"> </v>
      </c>
      <c r="W54" s="398"/>
      <c r="X54" s="340" t="str">
        <f>IF($AE54&lt;1," ",IF(W54&lt;1," ",(W54)/$AE54))</f>
        <v xml:space="preserve"> </v>
      </c>
      <c r="Y54" s="398"/>
      <c r="Z54" s="340" t="str">
        <f>IF($AE54&lt;1," ",IF(Y54&lt;1," ",(Y54)/$AE54))</f>
        <v xml:space="preserve"> </v>
      </c>
      <c r="AA54" s="398"/>
      <c r="AB54" s="340" t="str">
        <f>IF($AE54&lt;1," ",IF(AA54&lt;1," ",(AA54)/$AE54))</f>
        <v xml:space="preserve"> </v>
      </c>
      <c r="AC54" s="1605"/>
      <c r="AD54" s="379">
        <f>+E54+G54+I54+K54+M54+O54+Q54+S54+U54+W54+Y54+AA54+AC54</f>
        <v>-187500</v>
      </c>
      <c r="AE54" s="777"/>
      <c r="AF54" s="778"/>
      <c r="AG54" s="1212"/>
    </row>
    <row r="55" spans="1:33" ht="15.75">
      <c r="A55" s="1806" t="s">
        <v>601</v>
      </c>
      <c r="B55" s="1807"/>
      <c r="C55" s="376"/>
      <c r="D55" s="1070"/>
      <c r="E55" s="511"/>
      <c r="F55" s="531" t="str">
        <f>IF($AE55&lt;1," ",IF(E55&lt;1," ",(E55)/$AE55))</f>
        <v xml:space="preserve"> </v>
      </c>
      <c r="G55" s="398"/>
      <c r="H55" s="531" t="str">
        <f>IF($AE55&lt;1," ",IF(G55&lt;1," ",(G55)/$AE55))</f>
        <v xml:space="preserve"> </v>
      </c>
      <c r="I55" s="398"/>
      <c r="J55" s="531" t="str">
        <f>IF($AE55&lt;1," ",IF(I55&lt;1," ",(I55)/$AE55))</f>
        <v xml:space="preserve"> </v>
      </c>
      <c r="K55" s="398"/>
      <c r="L55" s="531" t="str">
        <f>IF($AE55&lt;1," ",IF(K55&lt;1," ",(K55)/$AE55))</f>
        <v xml:space="preserve"> </v>
      </c>
      <c r="M55" s="398"/>
      <c r="N55" s="340" t="str">
        <f>IF($AE55&lt;1," ",IF(M55&lt;1," ",(M55)/$AE55))</f>
        <v xml:space="preserve"> </v>
      </c>
      <c r="O55" s="398"/>
      <c r="P55" s="340" t="str">
        <f>IF($AE55&lt;1," ",IF(O55&lt;1," ",(O55)/$AE55))</f>
        <v xml:space="preserve"> </v>
      </c>
      <c r="Q55" s="398"/>
      <c r="R55" s="341" t="str">
        <f>IF($AE55&lt;1," ",IF(Q55&lt;1," ",(Q55)/$AE55))</f>
        <v xml:space="preserve"> </v>
      </c>
      <c r="S55" s="397"/>
      <c r="T55" s="340" t="str">
        <f>IF($AE55&lt;1," ",IF(S55&lt;1," ",(S55)/$AE55))</f>
        <v xml:space="preserve"> </v>
      </c>
      <c r="U55" s="398">
        <v>100000</v>
      </c>
      <c r="V55" s="340" t="str">
        <f>IF($AE55&lt;1," ",IF(U55&lt;1," ",(U55)/$AE55))</f>
        <v xml:space="preserve"> </v>
      </c>
      <c r="W55" s="398"/>
      <c r="X55" s="340" t="str">
        <f>IF($AE55&lt;1," ",IF(W55&lt;1," ",(W55)/$AE55))</f>
        <v xml:space="preserve"> </v>
      </c>
      <c r="Y55" s="398"/>
      <c r="Z55" s="340" t="str">
        <f>IF($AE55&lt;1," ",IF(Y55&lt;1," ",(Y55)/$AE55))</f>
        <v xml:space="preserve"> </v>
      </c>
      <c r="AA55" s="398"/>
      <c r="AB55" s="340" t="str">
        <f>IF($AE55&lt;1," ",IF(AA55&lt;1," ",(AA55)/$AE55))</f>
        <v xml:space="preserve"> </v>
      </c>
      <c r="AC55" s="1605"/>
      <c r="AD55" s="379">
        <f>+E55+G55+I55+K55+M55+O55+Q55+S55+U55+W55+Y55+AA55+AC55</f>
        <v>100000</v>
      </c>
      <c r="AE55" s="777"/>
      <c r="AF55" s="778"/>
      <c r="AG55" s="1212"/>
    </row>
    <row r="56" spans="1:33" ht="16.5" thickBot="1">
      <c r="A56" s="400" t="s">
        <v>438</v>
      </c>
      <c r="B56" s="401"/>
      <c r="C56" s="376"/>
      <c r="D56" s="1070"/>
      <c r="E56" s="772">
        <f>SUM(E51:E55)</f>
        <v>-222142</v>
      </c>
      <c r="F56" s="1056" t="s">
        <v>103</v>
      </c>
      <c r="G56" s="771">
        <f>SUM(G51:G55)</f>
        <v>-67774</v>
      </c>
      <c r="H56" s="1056" t="s">
        <v>103</v>
      </c>
      <c r="I56" s="771">
        <f>SUM(I51:I55)</f>
        <v>-147083</v>
      </c>
      <c r="J56" s="1056" t="s">
        <v>103</v>
      </c>
      <c r="K56" s="771">
        <f>SUM(K51:K55)</f>
        <v>-24890</v>
      </c>
      <c r="L56" s="1056" t="s">
        <v>103</v>
      </c>
      <c r="M56" s="771">
        <f>SUM(M51:M55)</f>
        <v>-2213500</v>
      </c>
      <c r="N56" s="1054" t="s">
        <v>103</v>
      </c>
      <c r="O56" s="771">
        <f>SUM(O51:O55)</f>
        <v>-62500</v>
      </c>
      <c r="P56" s="1054" t="s">
        <v>103</v>
      </c>
      <c r="Q56" s="771">
        <f>SUM(Q51:Q55)</f>
        <v>0</v>
      </c>
      <c r="R56" s="1055" t="s">
        <v>103</v>
      </c>
      <c r="S56" s="770">
        <f>SUM(S51:S55)</f>
        <v>37790.53</v>
      </c>
      <c r="T56" s="1054" t="s">
        <v>103</v>
      </c>
      <c r="U56" s="771">
        <f>SUM(U51:U55)</f>
        <v>37500</v>
      </c>
      <c r="V56" s="1054" t="s">
        <v>103</v>
      </c>
      <c r="W56" s="771">
        <f>SUM(W51:W55)</f>
        <v>0</v>
      </c>
      <c r="X56" s="1054" t="s">
        <v>103</v>
      </c>
      <c r="Y56" s="771">
        <f>SUM(Y51:Y55)</f>
        <v>0</v>
      </c>
      <c r="Z56" s="1054" t="s">
        <v>103</v>
      </c>
      <c r="AA56" s="771">
        <f>SUM(AA51:AA55)</f>
        <v>0</v>
      </c>
      <c r="AB56" s="1054" t="s">
        <v>103</v>
      </c>
      <c r="AC56" s="1602"/>
      <c r="AD56" s="773">
        <f>SUM(AD51:AD55)</f>
        <v>-2662598.4699999997</v>
      </c>
      <c r="AE56" s="779"/>
      <c r="AF56" s="780"/>
      <c r="AG56" s="1212"/>
    </row>
    <row r="57" spans="1:33" ht="15.75">
      <c r="A57" s="68"/>
      <c r="B57" s="182"/>
      <c r="C57" s="22"/>
      <c r="D57" s="528"/>
      <c r="E57" s="1048"/>
      <c r="F57" s="538"/>
      <c r="G57" s="392"/>
      <c r="H57" s="538"/>
      <c r="I57" s="392"/>
      <c r="J57" s="538"/>
      <c r="K57" s="392"/>
      <c r="L57" s="538"/>
      <c r="M57" s="392"/>
      <c r="N57" s="1052"/>
      <c r="O57" s="392"/>
      <c r="P57" s="51"/>
      <c r="Q57" s="392"/>
      <c r="R57" s="312"/>
      <c r="S57" s="23"/>
      <c r="T57" s="51"/>
      <c r="U57" s="392"/>
      <c r="V57" s="51"/>
      <c r="W57" s="392"/>
      <c r="X57" s="51"/>
      <c r="Y57" s="392"/>
      <c r="Z57" s="51"/>
      <c r="AA57" s="392"/>
      <c r="AB57" s="51"/>
      <c r="AC57" s="1606"/>
      <c r="AD57" s="1035"/>
      <c r="AE57" s="1036"/>
      <c r="AF57" s="1042"/>
      <c r="AG57" s="1212"/>
    </row>
    <row r="58" spans="1:33" ht="16.5" thickBot="1">
      <c r="A58" s="400" t="s">
        <v>439</v>
      </c>
      <c r="B58" s="401"/>
      <c r="C58" s="376"/>
      <c r="D58" s="1070"/>
      <c r="E58" s="772">
        <f>+E23-E34+E39+E48+E56</f>
        <v>556146.03000000026</v>
      </c>
      <c r="F58" s="533"/>
      <c r="G58" s="771">
        <f>+G23-G34+G39+G48+G56</f>
        <v>-527909.17999999993</v>
      </c>
      <c r="H58" s="533"/>
      <c r="I58" s="771">
        <f>+I23-I34+I39+I48+I56</f>
        <v>-357769.72000000009</v>
      </c>
      <c r="J58" s="533"/>
      <c r="K58" s="771">
        <f>+K23-K34+K39+K48+K56</f>
        <v>-212330.62</v>
      </c>
      <c r="L58" s="533"/>
      <c r="M58" s="771">
        <f>+M23-M34+M39+M48+M56</f>
        <v>111090.82999999961</v>
      </c>
      <c r="N58" s="384"/>
      <c r="O58" s="771">
        <f>+O23-O34+O39+O48+O56</f>
        <v>-299231.30000000045</v>
      </c>
      <c r="P58" s="384"/>
      <c r="Q58" s="771">
        <f>+Q23-Q34+Q39+Q48+Q56</f>
        <v>-155680.82000000053</v>
      </c>
      <c r="R58" s="515"/>
      <c r="S58" s="770">
        <f>+S23-S34+S39+S48+S56</f>
        <v>-334818.44999999902</v>
      </c>
      <c r="T58" s="384"/>
      <c r="U58" s="771">
        <f>+U23-U34+U39+U48+U56</f>
        <v>334097.73249999981</v>
      </c>
      <c r="V58" s="384"/>
      <c r="W58" s="771">
        <f>+W23-W34+W39+W48+W56</f>
        <v>-325858.88749999995</v>
      </c>
      <c r="X58" s="384"/>
      <c r="Y58" s="771">
        <f>+Y23-Y34+Y39+Y48+Y56</f>
        <v>620140.03249999997</v>
      </c>
      <c r="Z58" s="384"/>
      <c r="AA58" s="771">
        <f>+AA23-AA34+AA39+AA48+AA56</f>
        <v>-712621.02749999997</v>
      </c>
      <c r="AB58" s="384"/>
      <c r="AC58" s="1602">
        <f>+AC23-AC34+AC39+AC48+AC56</f>
        <v>368581.0823879994</v>
      </c>
      <c r="AD58" s="773">
        <f>+AD23-AD34+AD39+AD48+AD56</f>
        <v>-936164.29761199933</v>
      </c>
      <c r="AE58" s="779"/>
      <c r="AF58" s="780"/>
      <c r="AG58" s="1212"/>
    </row>
    <row r="59" spans="1:33" ht="16.5" thickBot="1">
      <c r="A59" s="69"/>
      <c r="B59" s="369"/>
      <c r="C59" s="70"/>
      <c r="D59" s="1080"/>
      <c r="E59" s="21"/>
      <c r="F59" s="537"/>
      <c r="G59" s="394"/>
      <c r="H59" s="537"/>
      <c r="I59" s="394"/>
      <c r="J59" s="537"/>
      <c r="K59" s="394"/>
      <c r="L59" s="537"/>
      <c r="M59" s="394"/>
      <c r="N59" s="197"/>
      <c r="O59" s="394"/>
      <c r="P59" s="197"/>
      <c r="Q59" s="394"/>
      <c r="R59" s="521"/>
      <c r="S59" s="47"/>
      <c r="T59" s="197"/>
      <c r="U59" s="394"/>
      <c r="V59" s="197"/>
      <c r="W59" s="394"/>
      <c r="X59" s="197"/>
      <c r="Y59" s="394"/>
      <c r="Z59" s="197"/>
      <c r="AA59" s="394"/>
      <c r="AB59" s="197"/>
      <c r="AC59" s="1607"/>
      <c r="AD59" s="191"/>
      <c r="AE59" s="779"/>
      <c r="AF59" s="780"/>
      <c r="AG59" s="1212"/>
    </row>
    <row r="60" spans="1:33" ht="16.5" thickBot="1">
      <c r="A60" s="69" t="s">
        <v>440</v>
      </c>
      <c r="B60" s="369"/>
      <c r="C60" s="70"/>
      <c r="D60" s="1080"/>
      <c r="E60" s="1044">
        <f>+E6+E58</f>
        <v>1982944.8800000004</v>
      </c>
      <c r="F60" s="537"/>
      <c r="G60" s="1053">
        <f>+G6+G58</f>
        <v>1455035.7000000004</v>
      </c>
      <c r="H60" s="537"/>
      <c r="I60" s="1053">
        <f>+I6+I58</f>
        <v>1097265.9800000004</v>
      </c>
      <c r="J60" s="537"/>
      <c r="K60" s="1053">
        <f>+K6+K58</f>
        <v>884935.36000000045</v>
      </c>
      <c r="L60" s="537"/>
      <c r="M60" s="1053">
        <f>+M6+M58</f>
        <v>996026.19000000006</v>
      </c>
      <c r="N60" s="197"/>
      <c r="O60" s="1053">
        <f>+O6+O58</f>
        <v>696794.88999999966</v>
      </c>
      <c r="P60" s="197"/>
      <c r="Q60" s="1053">
        <f>+Q6+Q58</f>
        <v>541114.06999999913</v>
      </c>
      <c r="R60" s="521"/>
      <c r="S60" s="1049">
        <f>+S6+S58</f>
        <v>206295.62000000011</v>
      </c>
      <c r="T60" s="197"/>
      <c r="U60" s="1053">
        <f>+U6+U58</f>
        <v>540393.35249999992</v>
      </c>
      <c r="V60" s="197"/>
      <c r="W60" s="1053">
        <f>+W6+W58</f>
        <v>214534.46499999997</v>
      </c>
      <c r="X60" s="197"/>
      <c r="Y60" s="1053">
        <f>+Y6+Y58</f>
        <v>834674.49749999994</v>
      </c>
      <c r="Z60" s="197"/>
      <c r="AA60" s="1053">
        <f>+AA6+AA58</f>
        <v>122053.46999999997</v>
      </c>
      <c r="AB60" s="197"/>
      <c r="AC60" s="1602">
        <f>+AC6+AC58</f>
        <v>490634.55238799937</v>
      </c>
      <c r="AD60" s="1260"/>
      <c r="AE60" s="1037"/>
      <c r="AF60" s="1043"/>
      <c r="AG60" s="1212"/>
    </row>
    <row r="62" spans="1:33" ht="16.5">
      <c r="AB62" s="1611"/>
      <c r="AC62" s="1612">
        <f>'2nd Interim-Summary MYP'!H55</f>
        <v>2417663</v>
      </c>
    </row>
    <row r="63" spans="1:33" ht="17.25" thickBot="1">
      <c r="AB63" s="1613" t="s">
        <v>442</v>
      </c>
      <c r="AC63" s="1615">
        <f>AC60-AC62</f>
        <v>-1927028.4476120006</v>
      </c>
    </row>
    <row r="64" spans="1:33" ht="13.5" thickTop="1"/>
  </sheetData>
  <sheetProtection password="CC5F" sheet="1" objects="1" scenarios="1"/>
  <mergeCells count="12">
    <mergeCell ref="U2:AA2"/>
    <mergeCell ref="F1:L1"/>
    <mergeCell ref="U1:AA1"/>
    <mergeCell ref="AE40:AE42"/>
    <mergeCell ref="A51:B51"/>
    <mergeCell ref="A54:B54"/>
    <mergeCell ref="A55:B55"/>
    <mergeCell ref="G2:K2"/>
    <mergeCell ref="E7:R7"/>
    <mergeCell ref="D40:D42"/>
    <mergeCell ref="A52:B52"/>
    <mergeCell ref="A53:B53"/>
  </mergeCells>
  <conditionalFormatting sqref="F1">
    <cfRule type="containsText" dxfId="15" priority="7" stopIfTrue="1" operator="containsText" text="Enter">
      <formula>NOT(ISERROR(SEARCH("Enter",F1)))</formula>
    </cfRule>
  </conditionalFormatting>
  <conditionalFormatting sqref="U1">
    <cfRule type="containsText" dxfId="14" priority="6" stopIfTrue="1" operator="containsText" text="Enter">
      <formula>NOT(ISERROR(SEARCH("Enter",U1)))</formula>
    </cfRule>
  </conditionalFormatting>
  <conditionalFormatting sqref="AD47">
    <cfRule type="cellIs" dxfId="13" priority="1" stopIfTrue="1" operator="notEqual">
      <formula>$D$47</formula>
    </cfRule>
  </conditionalFormatting>
  <conditionalFormatting sqref="AD43">
    <cfRule type="cellIs" dxfId="12" priority="5" stopIfTrue="1" operator="notEqual">
      <formula>$D$43</formula>
    </cfRule>
  </conditionalFormatting>
  <conditionalFormatting sqref="AD44">
    <cfRule type="cellIs" dxfId="11" priority="4" stopIfTrue="1" operator="notEqual">
      <formula>$D$44</formula>
    </cfRule>
  </conditionalFormatting>
  <conditionalFormatting sqref="AD45">
    <cfRule type="cellIs" dxfId="10" priority="3" stopIfTrue="1" operator="notEqual">
      <formula>$D$45</formula>
    </cfRule>
  </conditionalFormatting>
  <conditionalFormatting sqref="AD46">
    <cfRule type="cellIs" dxfId="9" priority="2" stopIfTrue="1" operator="notEqual">
      <formula>$D$46</formula>
    </cfRule>
  </conditionalFormatting>
  <pageMargins left="0.7" right="0.7" top="0.75" bottom="0.75" header="0.3" footer="0.3"/>
  <pageSetup scale="53" fitToWidth="2" orientation="landscape" r:id="rId1"/>
  <headerFooter>
    <oddHeader>&amp;RPage &amp;P of &amp;N</oddHeader>
  </headerFooter>
  <colBreaks count="1" manualBreakCount="1">
    <brk id="18" max="1048575" man="1"/>
  </colBreaks>
  <customProperties>
    <customPr name="DrillPoint.FROID" r:id="rId2"/>
    <customPr name="DrillPoint.Mode" r:id="rId3"/>
    <customPr name="DrillPoint.Subsheet" r:id="rId4"/>
  </customProperties>
  <legacyDrawing r:id="rId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theme="5"/>
  </sheetPr>
  <dimension ref="A1:AG64"/>
  <sheetViews>
    <sheetView showGridLines="0" zoomScale="70" zoomScaleNormal="70" workbookViewId="0">
      <pane xSplit="4" ySplit="7" topLeftCell="G8" activePane="bottomRight" state="frozen"/>
      <selection pane="topRight" activeCell="E1" sqref="E1"/>
      <selection pane="bottomLeft" activeCell="A8" sqref="A8"/>
      <selection pane="bottomRight" activeCell="W16" sqref="W16"/>
    </sheetView>
  </sheetViews>
  <sheetFormatPr defaultRowHeight="12.75"/>
  <cols>
    <col min="1" max="1" width="2.5703125" customWidth="1"/>
    <col min="2" max="2" width="45.85546875" customWidth="1"/>
    <col min="3" max="3" width="14.7109375" customWidth="1"/>
    <col min="4" max="4" width="12.85546875" customWidth="1"/>
    <col min="5" max="5" width="13.42578125" customWidth="1"/>
    <col min="6" max="6" width="9" bestFit="1" customWidth="1"/>
    <col min="7" max="7" width="13.42578125" customWidth="1"/>
    <col min="8" max="8" width="8.7109375" customWidth="1"/>
    <col min="9" max="9" width="13.42578125" customWidth="1"/>
    <col min="10" max="10" width="8.7109375" customWidth="1"/>
    <col min="11" max="11" width="13.28515625" customWidth="1"/>
    <col min="12" max="12" width="8.7109375" customWidth="1"/>
    <col min="13" max="13" width="13.42578125" customWidth="1"/>
    <col min="14" max="14" width="8.7109375" customWidth="1"/>
    <col min="15" max="15" width="13.7109375" customWidth="1"/>
    <col min="16" max="16" width="8.7109375" customWidth="1"/>
    <col min="17" max="17" width="13.7109375" customWidth="1"/>
    <col min="18" max="18" width="8.7109375" customWidth="1"/>
    <col min="19" max="19" width="13.42578125" customWidth="1"/>
    <col min="20" max="20" width="9.140625" customWidth="1"/>
    <col min="21" max="21" width="13.42578125" customWidth="1"/>
    <col min="22" max="22" width="9.140625" customWidth="1"/>
    <col min="23" max="23" width="13.42578125" customWidth="1"/>
    <col min="24" max="24" width="9.140625" customWidth="1"/>
    <col min="25" max="25" width="13.42578125" customWidth="1"/>
    <col min="26" max="26" width="9.140625" customWidth="1"/>
    <col min="27" max="27" width="13.7109375" customWidth="1"/>
    <col min="28" max="28" width="9.140625" customWidth="1"/>
    <col min="29" max="29" width="13.42578125" style="174" customWidth="1"/>
    <col min="30" max="30" width="17.140625" style="174" customWidth="1"/>
    <col min="31" max="32" width="13.7109375" customWidth="1"/>
    <col min="33" max="33" width="70.5703125" customWidth="1"/>
  </cols>
  <sheetData>
    <row r="1" spans="1:33" ht="16.5" thickBot="1">
      <c r="A1" s="176"/>
      <c r="B1" s="176"/>
      <c r="C1" s="176"/>
      <c r="D1" s="176"/>
      <c r="E1" s="177"/>
      <c r="F1" s="1815" t="str">
        <f>IF('INTERIM-CERTIFICATION'!$M$1="","CHARTER NAME: Enter Charter Name on INTERIM-CERTIFICATION Worksheet",(CONCATENATE("CHARTER NAME: ",'INTERIM-CERTIFICATION'!$M$1)))</f>
        <v>CHARTER NAME: Encore High School -</v>
      </c>
      <c r="G1" s="1815" t="str">
        <f>IF('INTERIM-CERTIFICATION'!$H$1="","CHARTER NAME: Enter Charter Name on INTERIM-CERTIFICATION Worksheet",(CONCATENATE("CHARTER NAME: ",'INTERIM-CERTIFICATION'!$H$1)))</f>
        <v>CHARTER NAME: Enter Charter Name on INTERIM-CERTIFICATION Worksheet</v>
      </c>
      <c r="H1" s="1815" t="str">
        <f>IF('INTERIM-CERTIFICATION'!$H$1="","CHARTER NAME: Enter Charter Name on INTERIM-CERTIFICATION Worksheet",(CONCATENATE("CHARTER NAME: ",'INTERIM-CERTIFICATION'!$H$1)))</f>
        <v>CHARTER NAME: Enter Charter Name on INTERIM-CERTIFICATION Worksheet</v>
      </c>
      <c r="I1" s="1815"/>
      <c r="J1" s="1815"/>
      <c r="K1" s="1815"/>
      <c r="L1" s="1815"/>
      <c r="M1" s="179"/>
      <c r="N1" s="178"/>
      <c r="O1" s="176"/>
      <c r="P1" s="178"/>
      <c r="Q1" s="178"/>
      <c r="R1" s="178"/>
      <c r="S1" s="181"/>
      <c r="T1" s="1815" t="str">
        <f>F1</f>
        <v>CHARTER NAME: Encore High School -</v>
      </c>
      <c r="U1" s="1815" t="str">
        <f>IF('INTERIM-CERTIFICATION'!$H$1="","CHARTER NAME: Enter Charter Name on INTERIM-CERTIFICATION Worksheet",(CONCATENATE("CHARTER NAME: ",'INTERIM-CERTIFICATION'!$H$1)))</f>
        <v>CHARTER NAME: Enter Charter Name on INTERIM-CERTIFICATION Worksheet</v>
      </c>
      <c r="V1" s="1815" t="str">
        <f>IF('INTERIM-CERTIFICATION'!$H$1="","CHARTER NAME: Enter Charter Name on INTERIM-CERTIFICATION Worksheet",(CONCATENATE("CHARTER NAME: ",'INTERIM-CERTIFICATION'!$H$1)))</f>
        <v>CHARTER NAME: Enter Charter Name on INTERIM-CERTIFICATION Worksheet</v>
      </c>
      <c r="W1" s="1815"/>
      <c r="X1" s="1815"/>
      <c r="Y1" s="1815"/>
      <c r="Z1" s="1815"/>
      <c r="AA1" s="179"/>
      <c r="AB1" s="178"/>
      <c r="AD1" s="1023"/>
      <c r="AE1" s="26"/>
      <c r="AF1" s="26"/>
      <c r="AG1" s="1212"/>
    </row>
    <row r="2" spans="1:33" ht="15.75">
      <c r="A2" t="s">
        <v>405</v>
      </c>
      <c r="B2" s="183"/>
      <c r="C2" s="96">
        <v>44624</v>
      </c>
      <c r="D2" s="184"/>
      <c r="G2" s="1844" t="str">
        <f>""&amp;'Budget-ADA'!N7&amp;"  Second Interim Cash Flow"</f>
        <v>2022-23  Second Interim Cash Flow</v>
      </c>
      <c r="H2" s="1844" t="str">
        <f>""&amp;'Budget-ADA'!N7&amp;"  First Interim Cash Flow"</f>
        <v>2022-23  First Interim Cash Flow</v>
      </c>
      <c r="I2" s="1844"/>
      <c r="J2" s="1844"/>
      <c r="K2" s="1844"/>
      <c r="M2" s="179"/>
      <c r="O2" s="178"/>
      <c r="Q2" s="26"/>
      <c r="T2" s="1844" t="str">
        <f>G2</f>
        <v>2022-23  Second Interim Cash Flow</v>
      </c>
      <c r="U2" s="1844"/>
      <c r="V2" s="1844"/>
      <c r="W2" s="1844"/>
      <c r="X2" s="1844"/>
      <c r="Y2" s="1844"/>
      <c r="Z2" s="1844"/>
      <c r="AA2" s="179"/>
      <c r="AC2" s="1023"/>
      <c r="AD2" s="1023"/>
      <c r="AE2" s="26"/>
      <c r="AF2" s="26"/>
      <c r="AG2" s="1212"/>
    </row>
    <row r="3" spans="1:33" ht="16.5" thickBot="1">
      <c r="A3" s="1090" t="str">
        <f>Instructions!H1</f>
        <v>Rev. 5/28/2021</v>
      </c>
      <c r="B3" s="182"/>
      <c r="C3" s="22"/>
      <c r="D3" s="22"/>
      <c r="E3" s="25"/>
      <c r="F3" s="24"/>
      <c r="G3" s="26"/>
      <c r="H3" s="24"/>
      <c r="I3" s="26"/>
      <c r="J3" s="24"/>
      <c r="K3" s="26"/>
      <c r="L3" s="24"/>
      <c r="M3" s="26"/>
      <c r="N3" s="24"/>
      <c r="O3" s="26"/>
      <c r="P3" s="24"/>
      <c r="Q3" s="26"/>
      <c r="R3" s="24"/>
      <c r="S3" s="26"/>
      <c r="T3" s="24"/>
      <c r="U3" s="26"/>
      <c r="V3" s="24"/>
      <c r="W3" s="26"/>
      <c r="X3" s="24"/>
      <c r="Y3" s="26"/>
      <c r="Z3" s="24"/>
      <c r="AA3" s="26"/>
      <c r="AB3" s="24"/>
      <c r="AC3" s="1023"/>
      <c r="AD3" s="1023"/>
      <c r="AE3" s="26"/>
      <c r="AF3" s="26"/>
      <c r="AG3" s="1212"/>
    </row>
    <row r="4" spans="1:33" ht="15.75">
      <c r="A4" s="402"/>
      <c r="B4" s="71"/>
      <c r="C4" s="71"/>
      <c r="D4" s="71"/>
      <c r="E4" s="625" t="s">
        <v>406</v>
      </c>
      <c r="F4" s="403" t="s">
        <v>407</v>
      </c>
      <c r="G4" s="540" t="s">
        <v>408</v>
      </c>
      <c r="H4" s="403" t="s">
        <v>426</v>
      </c>
      <c r="I4" s="540" t="s">
        <v>409</v>
      </c>
      <c r="J4" s="403" t="s">
        <v>426</v>
      </c>
      <c r="K4" s="540" t="s">
        <v>410</v>
      </c>
      <c r="L4" s="403" t="s">
        <v>426</v>
      </c>
      <c r="M4" s="540" t="s">
        <v>411</v>
      </c>
      <c r="N4" s="403" t="s">
        <v>426</v>
      </c>
      <c r="O4" s="540" t="s">
        <v>412</v>
      </c>
      <c r="P4" s="403" t="s">
        <v>426</v>
      </c>
      <c r="Q4" s="540" t="s">
        <v>413</v>
      </c>
      <c r="R4" s="403" t="s">
        <v>426</v>
      </c>
      <c r="S4" s="540" t="s">
        <v>414</v>
      </c>
      <c r="T4" s="403" t="s">
        <v>426</v>
      </c>
      <c r="U4" s="540" t="s">
        <v>415</v>
      </c>
      <c r="V4" s="403" t="s">
        <v>426</v>
      </c>
      <c r="W4" s="540" t="s">
        <v>416</v>
      </c>
      <c r="X4" s="403" t="s">
        <v>426</v>
      </c>
      <c r="Y4" s="540" t="s">
        <v>417</v>
      </c>
      <c r="Z4" s="403" t="s">
        <v>426</v>
      </c>
      <c r="AA4" s="540" t="s">
        <v>418</v>
      </c>
      <c r="AB4" s="403" t="s">
        <v>426</v>
      </c>
      <c r="AC4" s="1024" t="s">
        <v>229</v>
      </c>
      <c r="AD4" s="1032"/>
      <c r="AE4" s="1032" t="s">
        <v>232</v>
      </c>
      <c r="AF4" s="1032"/>
      <c r="AG4" s="1212"/>
    </row>
    <row r="5" spans="1:33" ht="16.5" thickBot="1">
      <c r="A5" s="186"/>
      <c r="B5" s="22"/>
      <c r="C5" s="22"/>
      <c r="D5" s="22"/>
      <c r="E5" s="219" t="s">
        <v>229</v>
      </c>
      <c r="F5" s="1045" t="s">
        <v>419</v>
      </c>
      <c r="G5" s="187" t="s">
        <v>229</v>
      </c>
      <c r="H5" s="1045" t="s">
        <v>419</v>
      </c>
      <c r="I5" s="187" t="s">
        <v>229</v>
      </c>
      <c r="J5" s="1045" t="s">
        <v>419</v>
      </c>
      <c r="K5" s="187" t="s">
        <v>229</v>
      </c>
      <c r="L5" s="1045" t="s">
        <v>419</v>
      </c>
      <c r="M5" s="187" t="s">
        <v>229</v>
      </c>
      <c r="N5" s="1045" t="s">
        <v>419</v>
      </c>
      <c r="O5" s="187" t="s">
        <v>229</v>
      </c>
      <c r="P5" s="60" t="s">
        <v>419</v>
      </c>
      <c r="Q5" s="187" t="s">
        <v>229</v>
      </c>
      <c r="R5" s="1045" t="s">
        <v>419</v>
      </c>
      <c r="S5" s="187" t="s">
        <v>229</v>
      </c>
      <c r="T5" s="60" t="s">
        <v>419</v>
      </c>
      <c r="U5" s="187" t="s">
        <v>229</v>
      </c>
      <c r="V5" s="60" t="s">
        <v>419</v>
      </c>
      <c r="W5" s="187" t="s">
        <v>229</v>
      </c>
      <c r="X5" s="60" t="s">
        <v>419</v>
      </c>
      <c r="Y5" s="187" t="s">
        <v>229</v>
      </c>
      <c r="Z5" s="60" t="s">
        <v>419</v>
      </c>
      <c r="AA5" s="187" t="s">
        <v>229</v>
      </c>
      <c r="AB5" s="60" t="s">
        <v>419</v>
      </c>
      <c r="AC5" s="1025" t="s">
        <v>420</v>
      </c>
      <c r="AD5" s="1033" t="s">
        <v>400</v>
      </c>
      <c r="AE5" s="1033" t="s">
        <v>234</v>
      </c>
      <c r="AF5" s="1033" t="s">
        <v>421</v>
      </c>
      <c r="AG5" s="1212"/>
    </row>
    <row r="6" spans="1:33" ht="17.25" thickTop="1" thickBot="1">
      <c r="A6" s="189" t="s">
        <v>422</v>
      </c>
      <c r="B6" s="180"/>
      <c r="D6" s="412" t="s">
        <v>575</v>
      </c>
      <c r="E6" s="1439">
        <f>'2nd Interim-Cash Flow Year 1'!AA60</f>
        <v>122053.46999999997</v>
      </c>
      <c r="F6" s="61"/>
      <c r="G6" s="190">
        <f>E60</f>
        <v>181396.84873911767</v>
      </c>
      <c r="H6" s="61"/>
      <c r="I6" s="190">
        <f>G60</f>
        <v>51412.794368738891</v>
      </c>
      <c r="J6" s="61"/>
      <c r="K6" s="190">
        <f>I60</f>
        <v>568007.41810668993</v>
      </c>
      <c r="L6" s="61"/>
      <c r="M6" s="190">
        <f>K60</f>
        <v>185918.27330738131</v>
      </c>
      <c r="N6" s="61"/>
      <c r="O6" s="513">
        <f>M60</f>
        <v>-1533.0407992743421</v>
      </c>
      <c r="P6" s="61"/>
      <c r="Q6" s="513">
        <f>O60</f>
        <v>200844.9981871394</v>
      </c>
      <c r="R6" s="61"/>
      <c r="S6" s="513">
        <f>Q60</f>
        <v>310142.48381989519</v>
      </c>
      <c r="T6" s="61"/>
      <c r="U6" s="190">
        <f>S60</f>
        <v>-77623.436860709509</v>
      </c>
      <c r="V6" s="61"/>
      <c r="W6" s="190">
        <f>U60</f>
        <v>258431.82756476355</v>
      </c>
      <c r="X6" s="61"/>
      <c r="Y6" s="190">
        <f>W60</f>
        <v>88634.252275970939</v>
      </c>
      <c r="Z6" s="61"/>
      <c r="AA6" s="190">
        <f>Y60</f>
        <v>-260312.65374196804</v>
      </c>
      <c r="AB6" s="61"/>
      <c r="AC6" s="389">
        <f>+AA60</f>
        <v>-248870.93075949996</v>
      </c>
      <c r="AD6" s="57"/>
      <c r="AE6" s="57"/>
      <c r="AF6" s="57"/>
      <c r="AG6" s="1212"/>
    </row>
    <row r="7" spans="1:33" ht="16.5" thickTop="1">
      <c r="A7" s="404"/>
      <c r="B7" s="368"/>
      <c r="C7" s="64"/>
      <c r="D7" s="64"/>
      <c r="E7" s="1863"/>
      <c r="F7" s="1864"/>
      <c r="G7" s="1864"/>
      <c r="H7" s="1864"/>
      <c r="I7" s="1864"/>
      <c r="J7" s="1864"/>
      <c r="K7" s="1864"/>
      <c r="L7" s="1864"/>
      <c r="M7" s="1864"/>
      <c r="N7" s="1864"/>
      <c r="O7" s="65"/>
      <c r="P7" s="62"/>
      <c r="Q7" s="65"/>
      <c r="R7" s="62"/>
      <c r="S7" s="65"/>
      <c r="T7" s="62"/>
      <c r="U7" s="65"/>
      <c r="V7" s="62"/>
      <c r="W7" s="65"/>
      <c r="X7" s="62"/>
      <c r="Y7" s="65"/>
      <c r="Z7" s="62"/>
      <c r="AA7" s="65"/>
      <c r="AB7" s="62"/>
      <c r="AC7" s="1026"/>
      <c r="AD7" s="1026"/>
      <c r="AE7" s="65"/>
      <c r="AF7" s="552"/>
      <c r="AG7" s="1212"/>
    </row>
    <row r="8" spans="1:33" ht="15.75">
      <c r="A8" s="66" t="s">
        <v>423</v>
      </c>
      <c r="B8" s="522"/>
      <c r="C8" s="373"/>
      <c r="D8" s="373"/>
      <c r="E8" s="374"/>
      <c r="F8" s="165"/>
      <c r="G8" s="375"/>
      <c r="H8" s="165"/>
      <c r="I8" s="375"/>
      <c r="J8" s="165"/>
      <c r="K8" s="375"/>
      <c r="L8" s="165"/>
      <c r="M8" s="375"/>
      <c r="N8" s="165"/>
      <c r="O8" s="375"/>
      <c r="P8" s="165"/>
      <c r="Q8" s="375"/>
      <c r="R8" s="165"/>
      <c r="S8" s="375"/>
      <c r="T8" s="165"/>
      <c r="U8" s="375"/>
      <c r="V8" s="165"/>
      <c r="W8" s="375"/>
      <c r="X8" s="165"/>
      <c r="Y8" s="375"/>
      <c r="Z8" s="165"/>
      <c r="AA8" s="375"/>
      <c r="AB8" s="165"/>
      <c r="AC8" s="1027"/>
      <c r="AD8" s="1027"/>
      <c r="AE8" s="375"/>
      <c r="AF8" s="524"/>
      <c r="AG8" s="1212"/>
    </row>
    <row r="9" spans="1:33" ht="15.75">
      <c r="A9" s="405" t="s">
        <v>236</v>
      </c>
      <c r="B9" s="146"/>
      <c r="C9" s="140"/>
      <c r="D9" s="1070"/>
      <c r="E9" s="781"/>
      <c r="F9" s="386"/>
      <c r="G9" s="509"/>
      <c r="H9" s="386"/>
      <c r="I9" s="509"/>
      <c r="J9" s="386"/>
      <c r="K9" s="509"/>
      <c r="L9" s="386"/>
      <c r="M9" s="509"/>
      <c r="N9" s="386"/>
      <c r="O9" s="509"/>
      <c r="P9" s="386"/>
      <c r="Q9" s="509"/>
      <c r="R9" s="386"/>
      <c r="S9" s="509"/>
      <c r="T9" s="386"/>
      <c r="U9" s="509"/>
      <c r="V9" s="386"/>
      <c r="W9" s="509"/>
      <c r="X9" s="386"/>
      <c r="Y9" s="509"/>
      <c r="Z9" s="386"/>
      <c r="AA9" s="509"/>
      <c r="AB9" s="386"/>
      <c r="AC9" s="1028"/>
      <c r="AD9" s="1031"/>
      <c r="AE9" s="1031"/>
      <c r="AF9" s="387"/>
      <c r="AG9" s="1212"/>
    </row>
    <row r="10" spans="1:33" ht="15.75">
      <c r="A10" s="406"/>
      <c r="B10" s="140" t="s">
        <v>237</v>
      </c>
      <c r="C10" s="278">
        <v>8011</v>
      </c>
      <c r="D10" s="1070"/>
      <c r="E10" s="378">
        <v>207097</v>
      </c>
      <c r="F10" s="531">
        <f>IF($AE10&lt;1," ",IF(E10&lt;1," ",(E10)/$AE10))</f>
        <v>4.0209933453634807E-2</v>
      </c>
      <c r="G10" s="390">
        <v>207097</v>
      </c>
      <c r="H10" s="531">
        <f>IF($AE10&lt;1," ",IF(G10&lt;1," ",(G10)/$AE10))</f>
        <v>4.0209933453634807E-2</v>
      </c>
      <c r="I10" s="390">
        <v>372774.6</v>
      </c>
      <c r="J10" s="531">
        <f>IF($AE10&lt;1," ",IF(I10&lt;1," ",(I10)/$AE10))</f>
        <v>7.237788021654265E-2</v>
      </c>
      <c r="K10" s="390">
        <v>372774.6</v>
      </c>
      <c r="L10" s="531">
        <f>IF($AE10&lt;1," ",IF(K10&lt;1," ",(K10)/$AE10))</f>
        <v>7.237788021654265E-2</v>
      </c>
      <c r="M10" s="390">
        <v>372774.6</v>
      </c>
      <c r="N10" s="340">
        <f>IF($AE10&lt;1," ",IF(M10&lt;1," ",(M10)/$AE10))</f>
        <v>7.237788021654265E-2</v>
      </c>
      <c r="O10" s="390">
        <v>372774.6</v>
      </c>
      <c r="P10" s="340">
        <f>IF($AE10&lt;1," ",IF(O10&lt;1," ",(O10)/$AE10))</f>
        <v>7.237788021654265E-2</v>
      </c>
      <c r="Q10" s="390">
        <v>372774.6</v>
      </c>
      <c r="R10" s="531">
        <f>IF($AE10&lt;1," ",IF(Q10&lt;1," ",(Q10)/$AE10))</f>
        <v>7.237788021654265E-2</v>
      </c>
      <c r="S10" s="390">
        <v>372774.6</v>
      </c>
      <c r="T10" s="340">
        <f>IF($AE10&lt;1," ",IF(S10&lt;1," ",(S10)/$AE10))</f>
        <v>7.237788021654265E-2</v>
      </c>
      <c r="U10" s="390">
        <v>349601.68256335659</v>
      </c>
      <c r="V10" s="340">
        <f>IF($AE10&lt;1," ",IF(U10&lt;1," ",(U10)/$AE10))</f>
        <v>6.7878628812350392E-2</v>
      </c>
      <c r="W10" s="390">
        <v>349601.68256335659</v>
      </c>
      <c r="X10" s="340">
        <f>IF($AE10&lt;1," ",IF(W10&lt;1," ",(W10)/$AE10))</f>
        <v>6.7878628812350392E-2</v>
      </c>
      <c r="Y10" s="390">
        <v>349601.68256335659</v>
      </c>
      <c r="Z10" s="340">
        <f>IF($AE10&lt;1," ",IF(Y10&lt;1," ",(Y10)/$AE10))</f>
        <v>6.7878628812350392E-2</v>
      </c>
      <c r="AA10" s="390">
        <v>349601.68256335659</v>
      </c>
      <c r="AB10" s="340">
        <f>IF($AE10&lt;1," ",IF(AA10&lt;1," ",(AA10)/$AE10))</f>
        <v>6.7878628812350392E-2</v>
      </c>
      <c r="AC10" s="1600">
        <f>AE10-(E10+G10+I10+K10+M10+O10+Q10+S10+U10+W10+Y10+AA10)</f>
        <v>1101145.6697465735</v>
      </c>
      <c r="AD10" s="379">
        <f>+E10+G10+I10+K10+M10+O10+Q10+S10+U10+W10+Y10+AA10+AC10</f>
        <v>5150394</v>
      </c>
      <c r="AE10" s="379">
        <f>'2nd Interim-Summary MYP'!J13</f>
        <v>5150394</v>
      </c>
      <c r="AF10" s="379">
        <f>+AE10-AD10</f>
        <v>0</v>
      </c>
      <c r="AG10" s="1212"/>
    </row>
    <row r="11" spans="1:33" ht="15.75">
      <c r="A11" s="406"/>
      <c r="B11" s="140" t="s">
        <v>239</v>
      </c>
      <c r="C11" s="278">
        <v>8012</v>
      </c>
      <c r="D11" s="1070"/>
      <c r="E11" s="378"/>
      <c r="F11" s="531" t="str">
        <f>IF($AE11&lt;1," ",IF(E11&lt;1," ",(E11)/$AE11))</f>
        <v xml:space="preserve"> </v>
      </c>
      <c r="G11" s="390"/>
      <c r="H11" s="531" t="str">
        <f>IF($AE11&lt;1," ",IF(G11&lt;1," ",(G11)/$AE11))</f>
        <v xml:space="preserve"> </v>
      </c>
      <c r="I11" s="390">
        <v>611724.5</v>
      </c>
      <c r="J11" s="531">
        <f>IF($AE11&lt;1," ",IF(I11&lt;1," ",(I11)/$AE11))</f>
        <v>0.32885143144364676</v>
      </c>
      <c r="K11" s="390"/>
      <c r="L11" s="531" t="str">
        <f>IF($AE11&lt;1," ",IF(K11&lt;1," ",(K11)/$AE11))</f>
        <v xml:space="preserve"> </v>
      </c>
      <c r="M11" s="390"/>
      <c r="N11" s="340" t="str">
        <f>IF($AE11&lt;1," ",IF(M11&lt;1," ",(M11)/$AE11))</f>
        <v xml:space="preserve"> </v>
      </c>
      <c r="O11" s="390">
        <v>611724.5</v>
      </c>
      <c r="P11" s="340">
        <f>IF($AE11&lt;1," ",IF(O11&lt;1," ",(O11)/$AE11))</f>
        <v>0.32885143144364676</v>
      </c>
      <c r="Q11" s="390"/>
      <c r="R11" s="531" t="str">
        <f>IF($AE11&lt;1," ",IF(Q11&lt;1," ",(Q11)/$AE11))</f>
        <v xml:space="preserve"> </v>
      </c>
      <c r="S11" s="390"/>
      <c r="T11" s="340" t="str">
        <f>IF($AE11&lt;1," ",IF(S11&lt;1," ",(S11)/$AE11))</f>
        <v xml:space="preserve"> </v>
      </c>
      <c r="U11" s="390">
        <v>318368</v>
      </c>
      <c r="V11" s="340">
        <f>IF($AE11&lt;1," ",IF(U11&lt;1," ",(U11)/$AE11))</f>
        <v>0.17114856855635327</v>
      </c>
      <c r="W11" s="390"/>
      <c r="X11" s="340" t="str">
        <f>IF($AE11&lt;1," ",IF(W11&lt;1," ",(W11)/$AE11))</f>
        <v xml:space="preserve"> </v>
      </c>
      <c r="Y11" s="390"/>
      <c r="Z11" s="340" t="str">
        <f>IF($AE11&lt;1," ",IF(Y11&lt;1," ",(Y11)/$AE11))</f>
        <v xml:space="preserve"> </v>
      </c>
      <c r="AA11" s="390">
        <v>318368</v>
      </c>
      <c r="AB11" s="340">
        <f>IF($AE11&lt;1," ",IF(AA11&lt;1," ",(AA11)/$AE11))</f>
        <v>0.17114856855635327</v>
      </c>
      <c r="AC11" s="1600">
        <f t="shared" ref="AC11:AC22" si="0">AE11-(E11+G11+I11+K11+M11+O11+Q11+S11+U11+W11+Y11+AA11)</f>
        <v>0</v>
      </c>
      <c r="AD11" s="379">
        <f>+E11+G11+I11+K11+M11+O11+Q11+S11+U11+W11+Y11+AA11+AC11</f>
        <v>1860185</v>
      </c>
      <c r="AE11" s="379">
        <f>'2nd Interim-Summary MYP'!J14</f>
        <v>1860185</v>
      </c>
      <c r="AF11" s="379">
        <f>+AE11-AD11</f>
        <v>0</v>
      </c>
      <c r="AG11" s="1212"/>
    </row>
    <row r="12" spans="1:33" ht="15.75">
      <c r="A12" s="406"/>
      <c r="B12" s="140" t="s">
        <v>240</v>
      </c>
      <c r="C12" s="278">
        <v>8019</v>
      </c>
      <c r="D12" s="1074"/>
      <c r="E12" s="378"/>
      <c r="F12" s="531" t="str">
        <f>IF($AE12&lt;1," ",IF(E12&lt;1," ",(E12)/$AE12))</f>
        <v xml:space="preserve"> </v>
      </c>
      <c r="G12" s="390"/>
      <c r="H12" s="531" t="str">
        <f>IF($AE12&lt;1," ",IF(G12&lt;1," ",(G12)/$AE12))</f>
        <v xml:space="preserve"> </v>
      </c>
      <c r="I12" s="390"/>
      <c r="J12" s="531" t="str">
        <f>IF($AE12&lt;1," ",IF(I12&lt;1," ",(I12)/$AE12))</f>
        <v xml:space="preserve"> </v>
      </c>
      <c r="K12" s="390"/>
      <c r="L12" s="531" t="str">
        <f>IF($AE12&lt;1," ",IF(K12&lt;1," ",(K12)/$AE12))</f>
        <v xml:space="preserve"> </v>
      </c>
      <c r="M12" s="390"/>
      <c r="N12" s="340" t="str">
        <f>IF($AE12&lt;1," ",IF(M12&lt;1," ",(M12)/$AE12))</f>
        <v xml:space="preserve"> </v>
      </c>
      <c r="O12" s="390"/>
      <c r="P12" s="340" t="str">
        <f>IF($AE12&lt;1," ",IF(O12&lt;1," ",(O12)/$AE12))</f>
        <v xml:space="preserve"> </v>
      </c>
      <c r="Q12" s="390"/>
      <c r="R12" s="531" t="str">
        <f>IF($AE12&lt;1," ",IF(Q12&lt;1," ",(Q12)/$AE12))</f>
        <v xml:space="preserve"> </v>
      </c>
      <c r="S12" s="390"/>
      <c r="T12" s="340" t="str">
        <f>IF($AE12&lt;1," ",IF(S12&lt;1," ",(S12)/$AE12))</f>
        <v xml:space="preserve"> </v>
      </c>
      <c r="U12" s="390"/>
      <c r="V12" s="340" t="str">
        <f>IF($AE12&lt;1," ",IF(U12&lt;1," ",(U12)/$AE12))</f>
        <v xml:space="preserve"> </v>
      </c>
      <c r="W12" s="390"/>
      <c r="X12" s="340" t="str">
        <f>IF($AE12&lt;1," ",IF(W12&lt;1," ",(W12)/$AE12))</f>
        <v xml:space="preserve"> </v>
      </c>
      <c r="Y12" s="390"/>
      <c r="Z12" s="340" t="str">
        <f>IF($AE12&lt;1," ",IF(Y12&lt;1," ",(Y12)/$AE12))</f>
        <v xml:space="preserve"> </v>
      </c>
      <c r="AA12" s="390"/>
      <c r="AB12" s="340" t="str">
        <f>IF($AE12&lt;1," ",IF(AA12&lt;1," ",(AA12)/$AE12))</f>
        <v xml:space="preserve"> </v>
      </c>
      <c r="AC12" s="1600">
        <f t="shared" si="0"/>
        <v>0</v>
      </c>
      <c r="AD12" s="379">
        <f>+E12+G12+I12+K12+M12+O12+Q12+S12+U12+W12+Y12+AA12+AC12</f>
        <v>0</v>
      </c>
      <c r="AE12" s="380">
        <f>'2nd Interim-Summary MYP'!J15</f>
        <v>0</v>
      </c>
      <c r="AF12" s="379">
        <f>+AE12-AD12</f>
        <v>0</v>
      </c>
      <c r="AG12" s="1212"/>
    </row>
    <row r="13" spans="1:33" ht="15.75">
      <c r="A13" s="406"/>
      <c r="B13" s="140" t="s">
        <v>241</v>
      </c>
      <c r="C13" s="278">
        <v>8096</v>
      </c>
      <c r="D13" s="1074"/>
      <c r="E13" s="378"/>
      <c r="F13" s="531" t="str">
        <f>IF($AE13&lt;1," ",IF(E13&lt;1," ",(E13)/$AE13))</f>
        <v xml:space="preserve"> </v>
      </c>
      <c r="G13" s="390">
        <v>14288.88</v>
      </c>
      <c r="H13" s="531">
        <f>IF($AE13&lt;1," ",IF(G13&lt;1," ",(G13)/$AE13))</f>
        <v>5.957150182814213E-2</v>
      </c>
      <c r="I13" s="390">
        <v>28577.759999999998</v>
      </c>
      <c r="J13" s="531">
        <f>IF($AE13&lt;1," ",IF(I13&lt;1," ",(I13)/$AE13))</f>
        <v>0.11914300365628426</v>
      </c>
      <c r="K13" s="390">
        <v>19051.84</v>
      </c>
      <c r="L13" s="531">
        <f>IF($AE13&lt;1," ",IF(K13&lt;1," ",(K13)/$AE13))</f>
        <v>7.9428669104189512E-2</v>
      </c>
      <c r="M13" s="390">
        <v>19051.84</v>
      </c>
      <c r="N13" s="340">
        <f>IF($AE13&lt;1," ",IF(M13&lt;1," ",(M13)/$AE13))</f>
        <v>7.9428669104189512E-2</v>
      </c>
      <c r="O13" s="390">
        <v>19051.84</v>
      </c>
      <c r="P13" s="340">
        <f>IF($AE13&lt;1," ",IF(O13&lt;1," ",(O13)/$AE13))</f>
        <v>7.9428669104189512E-2</v>
      </c>
      <c r="Q13" s="390">
        <v>19051.84</v>
      </c>
      <c r="R13" s="531">
        <f>IF($AE13&lt;1," ",IF(Q13&lt;1," ",(Q13)/$AE13))</f>
        <v>7.9428669104189512E-2</v>
      </c>
      <c r="S13" s="390">
        <v>19051.84</v>
      </c>
      <c r="T13" s="340">
        <f>IF($AE13&lt;1," ",IF(S13&lt;1," ",(S13)/$AE13))</f>
        <v>7.9428669104189512E-2</v>
      </c>
      <c r="U13" s="390">
        <v>33911.72</v>
      </c>
      <c r="V13" s="340">
        <f>IF($AE13&lt;1," ",IF(U13&lt;1," ",(U13)/$AE13))</f>
        <v>0.14138071633154203</v>
      </c>
      <c r="W13" s="390">
        <v>16955.86</v>
      </c>
      <c r="X13" s="340">
        <f>IF($AE13&lt;1," ",IF(W13&lt;1," ",(W13)/$AE13))</f>
        <v>7.0690358165771017E-2</v>
      </c>
      <c r="Y13" s="390">
        <v>16955.86</v>
      </c>
      <c r="Z13" s="340">
        <f>IF($AE13&lt;1," ",IF(Y13&lt;1," ",(Y13)/$AE13))</f>
        <v>7.0690358165771017E-2</v>
      </c>
      <c r="AA13" s="390">
        <v>16955.86</v>
      </c>
      <c r="AB13" s="340">
        <f>IF($AE13&lt;1," ",IF(AA13&lt;1," ",(AA13)/$AE13))</f>
        <v>7.0690358165771017E-2</v>
      </c>
      <c r="AC13" s="1600">
        <f t="shared" si="0"/>
        <v>16955.860000000044</v>
      </c>
      <c r="AD13" s="379">
        <f>+E13+G13+I13+K13+M13+O13+Q13+S13+U13+W13+Y13+AA13+AC13</f>
        <v>239861</v>
      </c>
      <c r="AE13" s="379">
        <f>'2nd Interim-Summary MYP'!J16</f>
        <v>239861</v>
      </c>
      <c r="AF13" s="379">
        <f>+AE13-AD13</f>
        <v>0</v>
      </c>
      <c r="AG13" s="1212"/>
    </row>
    <row r="14" spans="1:33" ht="15.75">
      <c r="A14" s="405" t="s">
        <v>242</v>
      </c>
      <c r="B14" s="146"/>
      <c r="C14" s="278" t="s">
        <v>243</v>
      </c>
      <c r="D14" s="1070"/>
      <c r="E14" s="378">
        <v>5460.69539803524</v>
      </c>
      <c r="F14" s="531">
        <f>IF($AE14&lt;1," ",IF(E14&lt;1," ",(E14)/$AE14))</f>
        <v>8.843185472220641E-3</v>
      </c>
      <c r="G14" s="390">
        <v>29649.171784933704</v>
      </c>
      <c r="H14" s="531">
        <f>IF($AE14&lt;1," ",IF(G14&lt;1," ",(G14)/$AE14))</f>
        <v>4.8014603650340396E-2</v>
      </c>
      <c r="I14" s="390">
        <v>37500</v>
      </c>
      <c r="J14" s="531">
        <f>IF($AE14&lt;1," ",IF(I14&lt;1," ",(I14)/$AE14))</f>
        <v>6.0728429446475038E-2</v>
      </c>
      <c r="K14" s="390">
        <v>23028.965333620734</v>
      </c>
      <c r="L14" s="531">
        <f>IF($AE14&lt;1," ",IF(K14&lt;1," ",(K14)/$AE14))</f>
        <v>3.7293677239682833E-2</v>
      </c>
      <c r="M14" s="390">
        <v>7563.9201128948462</v>
      </c>
      <c r="N14" s="340">
        <f>IF($AE14&lt;1," ",IF(M14&lt;1," ",(M14)/$AE14))</f>
        <v>1.2249199704392219E-2</v>
      </c>
      <c r="O14" s="390">
        <v>11034.886139206821</v>
      </c>
      <c r="P14" s="340">
        <f>IF($AE14&lt;1," ",IF(O14&lt;1," ",(O14)/$AE14))</f>
        <v>1.7870168116125514E-2</v>
      </c>
      <c r="Q14" s="390">
        <v>146011.46978479577</v>
      </c>
      <c r="R14" s="531">
        <f>IF($AE14&lt;1," ",IF(Q14&lt;1," ",(Q14)/$AE14))</f>
        <v>0.23645459309872247</v>
      </c>
      <c r="S14" s="390">
        <v>29003.598520214877</v>
      </c>
      <c r="T14" s="340">
        <f>IF($AE14&lt;1," ",IF(S14&lt;1," ",(S14)/$AE14))</f>
        <v>4.6969146304766854E-2</v>
      </c>
      <c r="U14" s="390">
        <v>4961.245930144225</v>
      </c>
      <c r="V14" s="340">
        <f>IF($AE14&lt;1," ",IF(U14&lt;1," ",(U14)/$AE14))</f>
        <v>8.0343646249433336E-3</v>
      </c>
      <c r="W14" s="390">
        <v>114095.86805426312</v>
      </c>
      <c r="X14" s="340">
        <f>IF($AE14&lt;1," ",IF(W14&lt;1," ",(W14)/$AE14))</f>
        <v>0.18476967662047047</v>
      </c>
      <c r="Y14" s="390">
        <v>15862.229951039313</v>
      </c>
      <c r="Z14" s="340">
        <f>IF($AE14&lt;1," ",IF(Y14&lt;1," ",(Y14)/$AE14))</f>
        <v>2.5687688331878778E-2</v>
      </c>
      <c r="AA14" s="390">
        <v>15862.229951039313</v>
      </c>
      <c r="AB14" s="340">
        <f>IF($AE14&lt;1," ",IF(AA14&lt;1," ",(AA14)/$AE14))</f>
        <v>2.5687688331878778E-2</v>
      </c>
      <c r="AC14" s="1600">
        <f t="shared" si="0"/>
        <v>177468.92703981203</v>
      </c>
      <c r="AD14" s="379">
        <f>+E14+G14+I14+K14+M14+O14+Q14+S14+U14+W14+Y14+AA14+AC14</f>
        <v>617503.20799999998</v>
      </c>
      <c r="AE14" s="379">
        <f>'2nd Interim-Summary MYP'!J17</f>
        <v>617503.20799999998</v>
      </c>
      <c r="AF14" s="379">
        <f t="shared" ref="AF14:AF22" si="1">+AE14-AD14</f>
        <v>0</v>
      </c>
      <c r="AG14" s="1212"/>
    </row>
    <row r="15" spans="1:33" ht="15.75">
      <c r="A15" s="406" t="s">
        <v>244</v>
      </c>
      <c r="B15" s="140"/>
      <c r="C15" s="140"/>
      <c r="D15" s="1070"/>
      <c r="E15" s="510"/>
      <c r="F15" s="531"/>
      <c r="G15" s="391"/>
      <c r="H15" s="531"/>
      <c r="I15" s="391"/>
      <c r="J15" s="531"/>
      <c r="K15" s="391"/>
      <c r="L15" s="531"/>
      <c r="M15" s="391"/>
      <c r="N15" s="340"/>
      <c r="O15" s="391"/>
      <c r="P15" s="340"/>
      <c r="Q15" s="391"/>
      <c r="R15" s="531"/>
      <c r="S15" s="391"/>
      <c r="T15" s="340"/>
      <c r="U15" s="391"/>
      <c r="V15" s="340"/>
      <c r="W15" s="391"/>
      <c r="X15" s="340"/>
      <c r="Y15" s="391"/>
      <c r="Z15" s="340"/>
      <c r="AA15" s="391"/>
      <c r="AB15" s="340"/>
      <c r="AC15" s="1601"/>
      <c r="AD15" s="379"/>
      <c r="AE15" s="379"/>
      <c r="AF15" s="379"/>
      <c r="AG15" s="1212"/>
    </row>
    <row r="16" spans="1:33" ht="15.75">
      <c r="A16" s="406"/>
      <c r="B16" s="140" t="s">
        <v>245</v>
      </c>
      <c r="C16" s="278">
        <v>8560</v>
      </c>
      <c r="D16" s="1070"/>
      <c r="E16" s="378"/>
      <c r="F16" s="531" t="str">
        <f>IF($AE16&lt;1," ",IF(E16&lt;1," ",(E16)/$AE16))</f>
        <v xml:space="preserve"> </v>
      </c>
      <c r="G16" s="390">
        <v>0</v>
      </c>
      <c r="H16" s="531" t="str">
        <f>IF($AE16&lt;1," ",IF(G16&lt;1," ",(G16)/$AE16))</f>
        <v xml:space="preserve"> </v>
      </c>
      <c r="I16" s="390">
        <v>0</v>
      </c>
      <c r="J16" s="531" t="str">
        <f>IF($AE16&lt;1," ",IF(I16&lt;1," ",(I16)/$AE16))</f>
        <v xml:space="preserve"> </v>
      </c>
      <c r="K16" s="390">
        <v>0</v>
      </c>
      <c r="L16" s="531" t="str">
        <f>IF($AE16&lt;1," ",IF(K16&lt;1," ",(K16)/$AE16))</f>
        <v xml:space="preserve"> </v>
      </c>
      <c r="M16" s="390">
        <v>0</v>
      </c>
      <c r="N16" s="340" t="str">
        <f>IF($AE16&lt;1," ",IF(M16&lt;1," ",(M16)/$AE16))</f>
        <v xml:space="preserve"> </v>
      </c>
      <c r="O16" s="390">
        <v>0</v>
      </c>
      <c r="P16" s="340" t="str">
        <f>IF($AE16&lt;1," ",IF(O16&lt;1," ",(O16)/$AE16))</f>
        <v xml:space="preserve"> </v>
      </c>
      <c r="Q16" s="390">
        <v>33249.25</v>
      </c>
      <c r="R16" s="531">
        <f>IF($AE16&lt;1," ",IF(Q16&lt;1," ",(Q16)/$AE16))</f>
        <v>0.30000013359104277</v>
      </c>
      <c r="S16" s="390">
        <v>0</v>
      </c>
      <c r="T16" s="340" t="str">
        <f>IF($AE16&lt;1," ",IF(S16&lt;1," ",(S16)/$AE16))</f>
        <v xml:space="preserve"> </v>
      </c>
      <c r="U16" s="390">
        <v>0</v>
      </c>
      <c r="V16" s="340" t="str">
        <f>IF($AE16&lt;1," ",IF(U16&lt;1," ",(U16)/$AE16))</f>
        <v xml:space="preserve"> </v>
      </c>
      <c r="W16" s="390">
        <v>33249.25</v>
      </c>
      <c r="X16" s="340">
        <f>IF($AE16&lt;1," ",IF(W16&lt;1," ",(W16)/$AE16))</f>
        <v>0.30000013359104277</v>
      </c>
      <c r="Y16" s="390">
        <v>0</v>
      </c>
      <c r="Z16" s="340" t="str">
        <f>IF($AE16&lt;1," ",IF(Y16&lt;1," ",(Y16)/$AE16))</f>
        <v xml:space="preserve"> </v>
      </c>
      <c r="AA16" s="390">
        <v>0</v>
      </c>
      <c r="AB16" s="340" t="str">
        <f>IF($AE16&lt;1," ",IF(AA16&lt;1," ",(AA16)/$AE16))</f>
        <v xml:space="preserve"> </v>
      </c>
      <c r="AC16" s="1600">
        <f t="shared" si="0"/>
        <v>44332.283979999993</v>
      </c>
      <c r="AD16" s="379">
        <f>+E16+G16+I16+K16+M16+O16+Q16+S16+U16+W16+Y16+AA16+AC16</f>
        <v>110830.78397999999</v>
      </c>
      <c r="AE16" s="379">
        <f>'2nd Interim-Summary MYP'!J19</f>
        <v>110830.78397999999</v>
      </c>
      <c r="AF16" s="379">
        <f t="shared" si="1"/>
        <v>0</v>
      </c>
      <c r="AG16" s="1212"/>
    </row>
    <row r="17" spans="1:33" ht="15.75">
      <c r="A17" s="406"/>
      <c r="B17" s="140" t="s">
        <v>246</v>
      </c>
      <c r="C17" s="278">
        <v>8560</v>
      </c>
      <c r="D17" s="1070"/>
      <c r="E17" s="378"/>
      <c r="F17" s="531" t="str">
        <f>IF($AE17&lt;1," ",IF(E17&lt;1," ",(E17)/$AE17))</f>
        <v xml:space="preserve"> </v>
      </c>
      <c r="G17" s="390">
        <v>0</v>
      </c>
      <c r="H17" s="531" t="str">
        <f>IF($AE17&lt;1," ",IF(G17&lt;1," ",(G17)/$AE17))</f>
        <v xml:space="preserve"> </v>
      </c>
      <c r="I17" s="390">
        <v>0</v>
      </c>
      <c r="J17" s="531" t="str">
        <f>IF($AE17&lt;1," ",IF(I17&lt;1," ",(I17)/$AE17))</f>
        <v xml:space="preserve"> </v>
      </c>
      <c r="K17" s="390">
        <v>0</v>
      </c>
      <c r="L17" s="531" t="str">
        <f>IF($AE17&lt;1," ",IF(K17&lt;1," ",(K17)/$AE17))</f>
        <v xml:space="preserve"> </v>
      </c>
      <c r="M17" s="390">
        <v>0</v>
      </c>
      <c r="N17" s="340" t="str">
        <f>IF($AE17&lt;1," ",IF(M17&lt;1," ",(M17)/$AE17))</f>
        <v xml:space="preserve"> </v>
      </c>
      <c r="O17" s="390">
        <v>0</v>
      </c>
      <c r="P17" s="340" t="str">
        <f>IF($AE17&lt;1," ",IF(O17&lt;1," ",(O17)/$AE17))</f>
        <v xml:space="preserve"> </v>
      </c>
      <c r="Q17" s="390">
        <v>0</v>
      </c>
      <c r="R17" s="531" t="str">
        <f>IF($AE17&lt;1," ",IF(Q17&lt;1," ",(Q17)/$AE17))</f>
        <v xml:space="preserve"> </v>
      </c>
      <c r="S17" s="390">
        <v>0</v>
      </c>
      <c r="T17" s="340" t="str">
        <f>IF($AE17&lt;1," ",IF(S17&lt;1," ",(S17)/$AE17))</f>
        <v xml:space="preserve"> </v>
      </c>
      <c r="U17" s="390">
        <v>0</v>
      </c>
      <c r="V17" s="340" t="str">
        <f>IF($AE17&lt;1," ",IF(U17&lt;1," ",(U17)/$AE17))</f>
        <v xml:space="preserve"> </v>
      </c>
      <c r="W17" s="390">
        <v>15049.25</v>
      </c>
      <c r="X17" s="340">
        <f>IF($AE17&lt;1," ",IF(W17&lt;1," ",(W17)/$AE17))</f>
        <v>0.34050908155940363</v>
      </c>
      <c r="Y17" s="390">
        <v>0</v>
      </c>
      <c r="Z17" s="340" t="str">
        <f>IF($AE17&lt;1," ",IF(Y17&lt;1," ",(Y17)/$AE17))</f>
        <v xml:space="preserve"> </v>
      </c>
      <c r="AA17" s="390">
        <v>0</v>
      </c>
      <c r="AB17" s="340" t="str">
        <f>IF($AE17&lt;1," ",IF(AA17&lt;1," ",(AA17)/$AE17))</f>
        <v xml:space="preserve"> </v>
      </c>
      <c r="AC17" s="1600">
        <f t="shared" si="0"/>
        <v>29147.0749</v>
      </c>
      <c r="AD17" s="379">
        <f>+E17+G17+I17+K17+M17+O17+Q17+S17+U17+W17+Y17+AA17+AC17</f>
        <v>44196.3249</v>
      </c>
      <c r="AE17" s="379">
        <f>'2nd Interim-Summary MYP'!J20</f>
        <v>44196.3249</v>
      </c>
      <c r="AF17" s="379">
        <f>+AE17-AD17</f>
        <v>0</v>
      </c>
      <c r="AG17" s="1212"/>
    </row>
    <row r="18" spans="1:33" ht="15.75">
      <c r="A18" s="406"/>
      <c r="B18" s="140" t="s">
        <v>247</v>
      </c>
      <c r="C18" s="278" t="s">
        <v>248</v>
      </c>
      <c r="D18" s="1070"/>
      <c r="E18" s="378"/>
      <c r="F18" s="531" t="str">
        <f>IF($AE18&lt;1," ",IF(E18&lt;1," ",(E18)/$AE18))</f>
        <v xml:space="preserve"> </v>
      </c>
      <c r="G18" s="390"/>
      <c r="H18" s="531" t="str">
        <f>IF($AE18&lt;1," ",IF(G18&lt;1," ",(G18)/$AE18))</f>
        <v xml:space="preserve"> </v>
      </c>
      <c r="I18" s="390">
        <v>112500</v>
      </c>
      <c r="J18" s="531">
        <f>IF($AE18&lt;1," ",IF(I18&lt;1," ",(I18)/$AE18))</f>
        <v>9.6390548532665543E-2</v>
      </c>
      <c r="K18" s="390"/>
      <c r="L18" s="531" t="str">
        <f>IF($AE18&lt;1," ",IF(K18&lt;1," ",(K18)/$AE18))</f>
        <v xml:space="preserve"> </v>
      </c>
      <c r="M18" s="390">
        <v>85247.533370293488</v>
      </c>
      <c r="N18" s="340">
        <f>IF($AE18&lt;1," ",IF(M18&lt;1," ",(M18)/$AE18))</f>
        <v>7.3040502245504887E-2</v>
      </c>
      <c r="O18" s="390">
        <v>33512.936895110193</v>
      </c>
      <c r="P18" s="340">
        <f>IF($AE18&lt;1," ",IF(O18&lt;1," ",(O18)/$AE18))</f>
        <v>2.8714047735646907E-2</v>
      </c>
      <c r="Q18" s="390">
        <v>291472.96999999997</v>
      </c>
      <c r="R18" s="531">
        <f>IF($AE18&lt;1," ",IF(Q18&lt;1," ",(Q18)/$AE18))</f>
        <v>0.24973546187329038</v>
      </c>
      <c r="S18" s="390">
        <v>1679.1183056111693</v>
      </c>
      <c r="T18" s="340">
        <f>IF($AE18&lt;1," ",IF(S18&lt;1," ",(S18)/$AE18))</f>
        <v>1.4386767513697826E-3</v>
      </c>
      <c r="U18" s="390">
        <v>403508.96458547312</v>
      </c>
      <c r="V18" s="340">
        <f>IF($AE18&lt;1," ",IF(U18&lt;1," ",(U18)/$AE18))</f>
        <v>0.34572844830437038</v>
      </c>
      <c r="W18" s="390">
        <v>74625.070197353867</v>
      </c>
      <c r="X18" s="340">
        <f>IF($AE18&lt;1," ",IF(W18&lt;1," ",(W18)/$AE18))</f>
        <v>6.393912400543654E-2</v>
      </c>
      <c r="Y18" s="390">
        <v>41086.085021696512</v>
      </c>
      <c r="Z18" s="340">
        <f>IF($AE18&lt;1," ",IF(Y18&lt;1," ",(Y18)/$AE18))</f>
        <v>3.5202757976009427E-2</v>
      </c>
      <c r="AA18" s="390">
        <v>65786.204372023203</v>
      </c>
      <c r="AB18" s="340">
        <f>IF($AE18&lt;1," ",IF(AA18&lt;1," ",(AA18)/$AE18))</f>
        <v>5.6365940669345395E-2</v>
      </c>
      <c r="AC18" s="1600">
        <f t="shared" si="0"/>
        <v>57707.995484438259</v>
      </c>
      <c r="AD18" s="379">
        <f>+E18+G18+I18+K18+M18+O18+Q18+S18+U18+W18+Y18+AA18+AC18</f>
        <v>1167126.8782319997</v>
      </c>
      <c r="AE18" s="379">
        <f>'2nd Interim-Summary MYP'!J21</f>
        <v>1167126.8782319997</v>
      </c>
      <c r="AF18" s="379">
        <f t="shared" si="1"/>
        <v>0</v>
      </c>
      <c r="AG18" s="1212"/>
    </row>
    <row r="19" spans="1:33" ht="15.75">
      <c r="A19" s="406" t="s">
        <v>249</v>
      </c>
      <c r="B19" s="140"/>
      <c r="C19" s="140"/>
      <c r="D19" s="1070"/>
      <c r="E19" s="510"/>
      <c r="F19" s="531"/>
      <c r="G19" s="391"/>
      <c r="H19" s="531"/>
      <c r="I19" s="391"/>
      <c r="J19" s="531"/>
      <c r="K19" s="391"/>
      <c r="L19" s="531"/>
      <c r="M19" s="391"/>
      <c r="N19" s="340"/>
      <c r="O19" s="391"/>
      <c r="P19" s="340"/>
      <c r="Q19" s="391"/>
      <c r="R19" s="531"/>
      <c r="S19" s="391"/>
      <c r="T19" s="340"/>
      <c r="U19" s="391"/>
      <c r="V19" s="340"/>
      <c r="W19" s="391"/>
      <c r="X19" s="340"/>
      <c r="Y19" s="391"/>
      <c r="Z19" s="340"/>
      <c r="AA19" s="391"/>
      <c r="AB19" s="340"/>
      <c r="AC19" s="1601"/>
      <c r="AD19" s="379"/>
      <c r="AE19" s="379"/>
      <c r="AF19" s="379"/>
      <c r="AG19" s="1212"/>
    </row>
    <row r="20" spans="1:33" ht="15.75">
      <c r="A20" s="406"/>
      <c r="B20" s="140" t="s">
        <v>250</v>
      </c>
      <c r="C20" s="278">
        <v>8660</v>
      </c>
      <c r="D20" s="1070"/>
      <c r="E20" s="378"/>
      <c r="F20" s="531" t="str">
        <f>IF($AE20&lt;1," ",IF(E20&lt;1," ",(E20)/$AE20))</f>
        <v xml:space="preserve"> </v>
      </c>
      <c r="G20" s="390"/>
      <c r="H20" s="531" t="str">
        <f>IF($AE20&lt;1," ",IF(G20&lt;1," ",(G20)/$AE20))</f>
        <v xml:space="preserve"> </v>
      </c>
      <c r="I20" s="390"/>
      <c r="J20" s="531" t="str">
        <f>IF($AE20&lt;1," ",IF(I20&lt;1," ",(I20)/$AE20))</f>
        <v xml:space="preserve"> </v>
      </c>
      <c r="K20" s="390"/>
      <c r="L20" s="531" t="str">
        <f>IF($AE20&lt;1," ",IF(K20&lt;1," ",(K20)/$AE20))</f>
        <v xml:space="preserve"> </v>
      </c>
      <c r="M20" s="390"/>
      <c r="N20" s="340" t="str">
        <f>IF($AE20&lt;1," ",IF(M20&lt;1," ",(M20)/$AE20))</f>
        <v xml:space="preserve"> </v>
      </c>
      <c r="O20" s="390"/>
      <c r="P20" s="340" t="str">
        <f>IF($AE20&lt;1," ",IF(O20&lt;1," ",(O20)/$AE20))</f>
        <v xml:space="preserve"> </v>
      </c>
      <c r="Q20" s="390"/>
      <c r="R20" s="531" t="str">
        <f>IF($AE20&lt;1," ",IF(Q20&lt;1," ",(Q20)/$AE20))</f>
        <v xml:space="preserve"> </v>
      </c>
      <c r="S20" s="390"/>
      <c r="T20" s="340" t="str">
        <f>IF($AE20&lt;1," ",IF(S20&lt;1," ",(S20)/$AE20))</f>
        <v xml:space="preserve"> </v>
      </c>
      <c r="U20" s="390"/>
      <c r="V20" s="340" t="str">
        <f>IF($AE20&lt;1," ",IF(U20&lt;1," ",(U20)/$AE20))</f>
        <v xml:space="preserve"> </v>
      </c>
      <c r="W20" s="390"/>
      <c r="X20" s="340" t="str">
        <f>IF($AE20&lt;1," ",IF(W20&lt;1," ",(W20)/$AE20))</f>
        <v xml:space="preserve"> </v>
      </c>
      <c r="Y20" s="390"/>
      <c r="Z20" s="340" t="str">
        <f>IF($AE20&lt;1," ",IF(Y20&lt;1," ",(Y20)/$AE20))</f>
        <v xml:space="preserve"> </v>
      </c>
      <c r="AA20" s="390"/>
      <c r="AB20" s="340" t="str">
        <f>IF($AE20&lt;1," ",IF(AA20&lt;1," ",(AA20)/$AE20))</f>
        <v xml:space="preserve"> </v>
      </c>
      <c r="AC20" s="1600">
        <f t="shared" si="0"/>
        <v>0</v>
      </c>
      <c r="AD20" s="379">
        <f>+E20+G20+I20+K20+M20+O20+Q20+S20+U20+W20+Y20+AA20+AC20</f>
        <v>0</v>
      </c>
      <c r="AE20" s="379">
        <f>'2nd Interim-Summary MYP'!J23</f>
        <v>0</v>
      </c>
      <c r="AF20" s="379">
        <f t="shared" si="1"/>
        <v>0</v>
      </c>
      <c r="AG20" s="1212"/>
    </row>
    <row r="21" spans="1:33" ht="15.75">
      <c r="A21" s="406"/>
      <c r="B21" s="140" t="s">
        <v>251</v>
      </c>
      <c r="C21" s="278">
        <v>8792</v>
      </c>
      <c r="D21" s="1070"/>
      <c r="E21" s="378"/>
      <c r="F21" s="531" t="str">
        <f>IF($AE21&lt;1," ",IF(E21&lt;1," ",(E21)/$AE21))</f>
        <v xml:space="preserve"> </v>
      </c>
      <c r="G21" s="390"/>
      <c r="H21" s="531" t="str">
        <f>IF($AE21&lt;1," ",IF(G21&lt;1," ",(G21)/$AE21))</f>
        <v xml:space="preserve"> </v>
      </c>
      <c r="I21" s="390"/>
      <c r="J21" s="531" t="str">
        <f>IF($AE21&lt;1," ",IF(I21&lt;1," ",(I21)/$AE21))</f>
        <v xml:space="preserve"> </v>
      </c>
      <c r="K21" s="390"/>
      <c r="L21" s="531" t="str">
        <f>IF($AE21&lt;1," ",IF(K21&lt;1," ",(K21)/$AE21))</f>
        <v xml:space="preserve"> </v>
      </c>
      <c r="M21" s="390"/>
      <c r="N21" s="340" t="str">
        <f>IF($AE21&lt;1," ",IF(M21&lt;1," ",(M21)/$AE21))</f>
        <v xml:space="preserve"> </v>
      </c>
      <c r="O21" s="390"/>
      <c r="P21" s="340" t="str">
        <f>IF($AE21&lt;1," ",IF(O21&lt;1," ",(O21)/$AE21))</f>
        <v xml:space="preserve"> </v>
      </c>
      <c r="Q21" s="390"/>
      <c r="R21" s="531" t="str">
        <f>IF($AE21&lt;1," ",IF(Q21&lt;1," ",(Q21)/$AE21))</f>
        <v xml:space="preserve"> </v>
      </c>
      <c r="S21" s="390"/>
      <c r="T21" s="340" t="str">
        <f>IF($AE21&lt;1," ",IF(S21&lt;1," ",(S21)/$AE21))</f>
        <v xml:space="preserve"> </v>
      </c>
      <c r="U21" s="390"/>
      <c r="V21" s="340" t="str">
        <f>IF($AE21&lt;1," ",IF(U21&lt;1," ",(U21)/$AE21))</f>
        <v xml:space="preserve"> </v>
      </c>
      <c r="W21" s="390"/>
      <c r="X21" s="340" t="str">
        <f>IF($AE21&lt;1," ",IF(W21&lt;1," ",(W21)/$AE21))</f>
        <v xml:space="preserve"> </v>
      </c>
      <c r="Y21" s="390"/>
      <c r="Z21" s="340" t="str">
        <f>IF($AE21&lt;1," ",IF(Y21&lt;1," ",(Y21)/$AE21))</f>
        <v xml:space="preserve"> </v>
      </c>
      <c r="AA21" s="390"/>
      <c r="AB21" s="340" t="str">
        <f>IF($AE21&lt;1," ",IF(AA21&lt;1," ",(AA21)/$AE21))</f>
        <v xml:space="preserve"> </v>
      </c>
      <c r="AC21" s="1600">
        <f t="shared" si="0"/>
        <v>0</v>
      </c>
      <c r="AD21" s="379">
        <f>+E21+G21+I21+K21+M21+O21+Q21+S21+U21+W21+Y21+AA21+AC21</f>
        <v>0</v>
      </c>
      <c r="AE21" s="379">
        <f>'2nd Interim-Summary MYP'!J24</f>
        <v>0</v>
      </c>
      <c r="AF21" s="379">
        <f t="shared" si="1"/>
        <v>0</v>
      </c>
      <c r="AG21" s="1212"/>
    </row>
    <row r="22" spans="1:33" ht="15.75">
      <c r="A22" s="406"/>
      <c r="B22" s="140" t="s">
        <v>252</v>
      </c>
      <c r="C22" s="278" t="s">
        <v>253</v>
      </c>
      <c r="D22" s="1070"/>
      <c r="E22" s="378"/>
      <c r="F22" s="531" t="str">
        <f>IF($AE22&lt;1," ",IF(E22&lt;1," ",(E22)/$AE22))</f>
        <v xml:space="preserve"> </v>
      </c>
      <c r="G22" s="390">
        <v>82</v>
      </c>
      <c r="H22" s="531">
        <f>IF($AE22&lt;1," ",IF(G22&lt;1," ",(G22)/$AE22))</f>
        <v>1.5786013001083193E-3</v>
      </c>
      <c r="I22" s="390">
        <v>208</v>
      </c>
      <c r="J22" s="531">
        <f>IF($AE22&lt;1," ",IF(I22&lt;1," ",(I22)/$AE22))</f>
        <v>4.0042569563723219E-3</v>
      </c>
      <c r="K22" s="390">
        <v>5</v>
      </c>
      <c r="L22" s="531">
        <f>IF($AE22&lt;1," ",IF(K22&lt;1," ",(K22)/$AE22))</f>
        <v>9.6256176835873128E-5</v>
      </c>
      <c r="M22" s="390">
        <v>49162</v>
      </c>
      <c r="N22" s="340">
        <f>IF($AE22&lt;1," ",IF(M22&lt;1," ",(M22)/$AE22))</f>
        <v>0.94642923312103888</v>
      </c>
      <c r="O22" s="390">
        <v>2082</v>
      </c>
      <c r="P22" s="340">
        <f>IF($AE22&lt;1," ",IF(O22&lt;1," ",(O22)/$AE22))</f>
        <v>4.0081072034457571E-2</v>
      </c>
      <c r="Q22" s="390">
        <v>143</v>
      </c>
      <c r="R22" s="531">
        <f>IF($AE22&lt;1," ",IF(Q22&lt;1," ",(Q22)/$AE22))</f>
        <v>2.7529266575059713E-3</v>
      </c>
      <c r="S22" s="390">
        <v>23</v>
      </c>
      <c r="T22" s="340">
        <f>IF($AE22&lt;1," ",IF(S22&lt;1," ",(S22)/$AE22))</f>
        <v>4.4277841344501635E-4</v>
      </c>
      <c r="U22" s="390">
        <v>58</v>
      </c>
      <c r="V22" s="340">
        <f>IF($AE22&lt;1," ",IF(U22&lt;1," ",(U22)/$AE22))</f>
        <v>1.1165716512961282E-3</v>
      </c>
      <c r="W22" s="390">
        <v>58</v>
      </c>
      <c r="X22" s="340">
        <f>IF($AE22&lt;1," ",IF(W22&lt;1," ",(W22)/$AE22))</f>
        <v>1.1165716512961282E-3</v>
      </c>
      <c r="Y22" s="390">
        <v>58</v>
      </c>
      <c r="Z22" s="340">
        <f>IF($AE22&lt;1," ",IF(Y22&lt;1," ",(Y22)/$AE22))</f>
        <v>1.1165716512961282E-3</v>
      </c>
      <c r="AA22" s="390">
        <v>58</v>
      </c>
      <c r="AB22" s="340">
        <f>IF($AE22&lt;1," ",IF(AA22&lt;1," ",(AA22)/$AE22))</f>
        <v>1.1165716512961282E-3</v>
      </c>
      <c r="AC22" s="1600">
        <f t="shared" si="0"/>
        <v>7.7183999996632338</v>
      </c>
      <c r="AD22" s="379">
        <f>+E22+G22+I22+K22+M22+O22+Q22+S22+U22+W22+Y22+AA22+AC22</f>
        <v>51944.718399999663</v>
      </c>
      <c r="AE22" s="379">
        <f>'2nd Interim-Summary MYP'!J25</f>
        <v>51944.718399999663</v>
      </c>
      <c r="AF22" s="379">
        <f t="shared" si="1"/>
        <v>0</v>
      </c>
      <c r="AG22" s="1212"/>
    </row>
    <row r="23" spans="1:33" ht="16.5" thickBot="1">
      <c r="A23" s="1069" t="s">
        <v>254</v>
      </c>
      <c r="B23" s="369"/>
      <c r="C23" s="70"/>
      <c r="D23" s="1075"/>
      <c r="E23" s="772">
        <f>SUM(E10:E22)</f>
        <v>212557.69539803523</v>
      </c>
      <c r="F23" s="533">
        <f>IF($AE23&lt;1," ",IF(E23&lt;1," ",(E23)/$AE23))</f>
        <v>2.299899712500468E-2</v>
      </c>
      <c r="G23" s="771">
        <f>SUM(G10:G22)</f>
        <v>251117.05178493372</v>
      </c>
      <c r="H23" s="533">
        <f>IF($AE23&lt;1," ",IF(G23&lt;1," ",(G23)/$AE23))</f>
        <v>2.7171165650936614E-2</v>
      </c>
      <c r="I23" s="771">
        <f>SUM(I10:I22)</f>
        <v>1163284.8599999999</v>
      </c>
      <c r="J23" s="533">
        <f>IF($AE23&lt;1," ",IF(I23&lt;1," ",(I23)/$AE23))</f>
        <v>0.12586881458514709</v>
      </c>
      <c r="K23" s="771">
        <f>SUM(K10:K22)</f>
        <v>414860.40533362073</v>
      </c>
      <c r="L23" s="533">
        <f>IF($AE23&lt;1," ",IF(K23&lt;1," ",(K23)/$AE23))</f>
        <v>4.4888392545276039E-2</v>
      </c>
      <c r="M23" s="771">
        <f>SUM(M10:M22)</f>
        <v>533799.89348318835</v>
      </c>
      <c r="N23" s="384">
        <f>IF($AE23&lt;1," ",IF(M23&lt;1," ",(M23)/$AE23))</f>
        <v>5.7757787562374631E-2</v>
      </c>
      <c r="O23" s="771">
        <f>SUM(O10:O22)</f>
        <v>1050180.7630343169</v>
      </c>
      <c r="P23" s="384">
        <f>IF($AE23&lt;1," ",IF(O23&lt;1," ",(O23)/$AE23))</f>
        <v>0.11363081588051852</v>
      </c>
      <c r="Q23" s="771">
        <f>SUM(Q10:Q22)</f>
        <v>862703.12978479569</v>
      </c>
      <c r="R23" s="533">
        <f>IF($AE23&lt;1," ",IF(Q23&lt;1," ",(Q23)/$AE23))</f>
        <v>9.3345511506879364E-2</v>
      </c>
      <c r="S23" s="771">
        <f>SUM(S10:S22)</f>
        <v>422532.1568258261</v>
      </c>
      <c r="T23" s="384">
        <f>IF($AE23&lt;1," ",IF(S23&lt;1," ",(S23)/$AE23))</f>
        <v>4.5718485241673483E-2</v>
      </c>
      <c r="U23" s="771">
        <f>SUM(U10:U22)</f>
        <v>1110409.613078974</v>
      </c>
      <c r="V23" s="384">
        <f>IF($AE23&lt;1," ",IF(U23&lt;1," ",(U23)/$AE23))</f>
        <v>0.12014764956384141</v>
      </c>
      <c r="W23" s="771">
        <f>SUM(W10:W22)</f>
        <v>603634.98081497359</v>
      </c>
      <c r="X23" s="384">
        <f>IF($AE23&lt;1," ",IF(W23&lt;1," ",(W23)/$AE23))</f>
        <v>6.5314027621152695E-2</v>
      </c>
      <c r="Y23" s="771">
        <f>SUM(Y10:Y22)</f>
        <v>423563.8575360924</v>
      </c>
      <c r="Z23" s="384">
        <f>IF($AE23&lt;1," ",IF(Y23&lt;1," ",(Y23)/$AE23))</f>
        <v>4.5830116493719417E-2</v>
      </c>
      <c r="AA23" s="771">
        <f>SUM(AA10:AA22)</f>
        <v>766631.97688641911</v>
      </c>
      <c r="AB23" s="384">
        <f>IF($AE23&lt;1," ",IF(AA23&lt;1," ",(AA23)/$AE23))</f>
        <v>8.2950497742884294E-2</v>
      </c>
      <c r="AC23" s="1602">
        <f>SUM(AC10:AC22)</f>
        <v>1426765.5295508236</v>
      </c>
      <c r="AD23" s="773">
        <f>SUM(AD10:AD22)</f>
        <v>9242041.913511999</v>
      </c>
      <c r="AE23" s="773">
        <f>SUM(AE10:AE22)</f>
        <v>9242041.913511999</v>
      </c>
      <c r="AF23" s="773">
        <f>SUM(AF10:AF22)</f>
        <v>0</v>
      </c>
      <c r="AG23" s="1212"/>
    </row>
    <row r="24" spans="1:33" ht="15.75">
      <c r="A24" s="68"/>
      <c r="B24" s="182"/>
      <c r="C24" s="22"/>
      <c r="D24" s="527"/>
      <c r="E24" s="73"/>
      <c r="F24" s="195"/>
      <c r="G24" s="73"/>
      <c r="H24" s="195"/>
      <c r="I24" s="73"/>
      <c r="J24" s="195"/>
      <c r="K24" s="73"/>
      <c r="L24" s="1059"/>
      <c r="M24" s="1060"/>
      <c r="N24" s="195"/>
      <c r="O24" s="73"/>
      <c r="P24" s="195"/>
      <c r="Q24" s="73"/>
      <c r="R24" s="1059"/>
      <c r="S24" s="1060"/>
      <c r="T24" s="195"/>
      <c r="U24" s="73"/>
      <c r="V24" s="195"/>
      <c r="W24" s="73"/>
      <c r="X24" s="195"/>
      <c r="Y24" s="73"/>
      <c r="Z24" s="195"/>
      <c r="AA24" s="73"/>
      <c r="AB24" s="195"/>
      <c r="AC24" s="1023"/>
      <c r="AD24" s="1023"/>
      <c r="AE24" s="1023"/>
      <c r="AF24" s="1039"/>
      <c r="AG24" s="1212"/>
    </row>
    <row r="25" spans="1:33" ht="15.75">
      <c r="A25" s="66" t="s">
        <v>255</v>
      </c>
      <c r="B25" s="180"/>
      <c r="C25" s="373"/>
      <c r="D25" s="1073"/>
      <c r="E25" s="525"/>
      <c r="F25" s="482"/>
      <c r="G25" s="525"/>
      <c r="H25" s="482"/>
      <c r="I25" s="525"/>
      <c r="J25" s="482"/>
      <c r="K25" s="525"/>
      <c r="L25" s="1061"/>
      <c r="M25" s="1062"/>
      <c r="N25" s="482"/>
      <c r="O25" s="525"/>
      <c r="P25" s="482"/>
      <c r="Q25" s="525"/>
      <c r="R25" s="1061"/>
      <c r="S25" s="1062"/>
      <c r="T25" s="482"/>
      <c r="U25" s="525"/>
      <c r="V25" s="482"/>
      <c r="W25" s="525"/>
      <c r="X25" s="482"/>
      <c r="Y25" s="525"/>
      <c r="Z25" s="482"/>
      <c r="AA25" s="525"/>
      <c r="AB25" s="482"/>
      <c r="AC25" s="1027"/>
      <c r="AD25" s="1027"/>
      <c r="AE25" s="1027"/>
      <c r="AF25" s="1035"/>
      <c r="AG25" s="1212"/>
    </row>
    <row r="26" spans="1:33" ht="15.75">
      <c r="A26" s="406" t="s">
        <v>256</v>
      </c>
      <c r="B26" s="140"/>
      <c r="C26" s="278" t="s">
        <v>257</v>
      </c>
      <c r="D26" s="1070"/>
      <c r="E26" s="378">
        <v>36806.474877026616</v>
      </c>
      <c r="F26" s="531">
        <f>IF($AE$26&lt;1," ",IF(E26&lt;1," ",(E26)/$AE$26))</f>
        <v>1.4267765391611146E-2</v>
      </c>
      <c r="G26" s="390">
        <v>69525.889745966328</v>
      </c>
      <c r="H26" s="531">
        <f>IF($AE$26&lt;1," ",IF(G26&lt;1," ",(G26)/$AE$26))</f>
        <v>2.6951211352153451E-2</v>
      </c>
      <c r="I26" s="390">
        <v>164468.65748847611</v>
      </c>
      <c r="J26" s="531">
        <f>IF($AE$26&lt;1," ",IF(I26&lt;1," ",(I26)/$AE$26))</f>
        <v>6.3755092742758063E-2</v>
      </c>
      <c r="K26" s="390">
        <v>256207.24267593637</v>
      </c>
      <c r="L26" s="531">
        <f>IF($AE$26&lt;1," ",IF(K26&lt;1," ",(K26)/$AE$26))</f>
        <v>9.9316895800132393E-2</v>
      </c>
      <c r="M26" s="390">
        <v>256469.63414577511</v>
      </c>
      <c r="N26" s="340">
        <f>IF($AE$26&lt;1," ",IF(M26&lt;1," ",(M26)/$AE$26))</f>
        <v>9.9418609967135002E-2</v>
      </c>
      <c r="O26" s="390">
        <v>238563.2467862987</v>
      </c>
      <c r="P26" s="531">
        <f>IF($AE$26&lt;1," ",IF(O26&lt;1," ",(O26)/$AE$26))</f>
        <v>9.2477327632711132E-2</v>
      </c>
      <c r="Q26" s="390">
        <v>231520.41844437676</v>
      </c>
      <c r="R26" s="531">
        <f>IF($AE$26&lt;1," ",IF(Q26&lt;1," ",(Q26)/$AE$26))</f>
        <v>8.9747225855465088E-2</v>
      </c>
      <c r="S26" s="390">
        <v>250309.29379795081</v>
      </c>
      <c r="T26" s="340">
        <f>IF($AE$26&lt;1," ",IF(S26&lt;1," ",(S26)/$AE$26))</f>
        <v>9.7030598316769259E-2</v>
      </c>
      <c r="U26" s="390">
        <v>235867.48124080387</v>
      </c>
      <c r="V26" s="340">
        <f>IF($AE$26&lt;1," ",IF(U26&lt;1," ",(U26)/$AE$26))</f>
        <v>9.1432333498325385E-2</v>
      </c>
      <c r="W26" s="390">
        <v>235867.48124080387</v>
      </c>
      <c r="X26" s="340">
        <f>IF($AE$26&lt;1," ",IF(W26&lt;1," ",(W26)/$AE$26))</f>
        <v>9.1432333498325385E-2</v>
      </c>
      <c r="Y26" s="390">
        <v>235867.48124080387</v>
      </c>
      <c r="Z26" s="340">
        <f>IF($AE$26&lt;1," ",IF(Y26&lt;1," ",(Y26)/$AE$26))</f>
        <v>9.1432333498325385E-2</v>
      </c>
      <c r="AA26" s="390">
        <v>223058.60943655079</v>
      </c>
      <c r="AB26" s="340">
        <f>IF($AE$26&lt;1," ",IF(AA26&lt;1," ",(AA26)/$AE$26))</f>
        <v>8.6467066423852712E-2</v>
      </c>
      <c r="AC26" s="1603">
        <f t="shared" ref="AC26:AC33" si="2">AE26-(E26+G26+I26+K26+M26+O26+Q26+S26+U26+W26+Y26+AA26)</f>
        <v>145162.51661823038</v>
      </c>
      <c r="AD26" s="387">
        <f t="shared" ref="AD26:AD33" si="3">+E26+G26+I26+K26+M26+O26+Q26+S26+U26+W26+Y26+AA26+AC26</f>
        <v>2579694.4277389995</v>
      </c>
      <c r="AE26" s="387">
        <f>'2nd Interim-Summary MYP'!J29</f>
        <v>2579694.4277389995</v>
      </c>
      <c r="AF26" s="387">
        <f t="shared" ref="AF26:AF33" si="4">+AE26-AD26</f>
        <v>0</v>
      </c>
      <c r="AG26" s="1212"/>
    </row>
    <row r="27" spans="1:33" ht="15.75">
      <c r="A27" s="406" t="s">
        <v>258</v>
      </c>
      <c r="B27" s="140"/>
      <c r="C27" s="278" t="s">
        <v>259</v>
      </c>
      <c r="D27" s="1070"/>
      <c r="E27" s="378">
        <v>41462.930068840367</v>
      </c>
      <c r="F27" s="531">
        <f>IF($AE$27&lt;1," ",IF(E27&lt;1," ",(E27)/$AE$27))</f>
        <v>3.198658281358379E-2</v>
      </c>
      <c r="G27" s="390">
        <v>90300.260849661616</v>
      </c>
      <c r="H27" s="531">
        <f>IF($AE$27&lt;1," ",IF(G27&lt;1," ",(G27)/$AE$27))</f>
        <v>6.9662148018973857E-2</v>
      </c>
      <c r="I27" s="390">
        <v>103957.22395610205</v>
      </c>
      <c r="J27" s="531">
        <f>IF($AE$27&lt;1," ",IF(I27&lt;1," ",(I27)/$AE$27))</f>
        <v>8.0197813990021655E-2</v>
      </c>
      <c r="K27" s="390">
        <v>110638.1349619418</v>
      </c>
      <c r="L27" s="531">
        <f>IF($AE$27&lt;1," ",IF(K27&lt;1," ",(K27)/$AE$27))</f>
        <v>8.5351803657507136E-2</v>
      </c>
      <c r="M27" s="390">
        <v>111304.75737178193</v>
      </c>
      <c r="N27" s="340">
        <f>IF($AE$27&lt;1," ",IF(M27&lt;1," ",(M27)/$AE$27))</f>
        <v>8.5866069602589648E-2</v>
      </c>
      <c r="O27" s="390">
        <v>107338.27684185308</v>
      </c>
      <c r="P27" s="531">
        <f>IF($AE$27&lt;1," ",IF(O27&lt;1," ",(O27)/$AE$27))</f>
        <v>8.2806127680048483E-2</v>
      </c>
      <c r="Q27" s="390">
        <v>97045.906953514903</v>
      </c>
      <c r="R27" s="531">
        <f>IF($AE$27&lt;1," ",IF(Q27&lt;1," ",(Q27)/$AE$27))</f>
        <v>7.4866077586271479E-2</v>
      </c>
      <c r="S27" s="390">
        <v>121842.13211330213</v>
      </c>
      <c r="T27" s="340">
        <f>IF($AE$27&lt;1," ",IF(S27&lt;1," ",(S27)/$AE$27))</f>
        <v>9.3995128722333329E-2</v>
      </c>
      <c r="U27" s="390">
        <v>104780.69455409268</v>
      </c>
      <c r="V27" s="340">
        <f>IF($AE$27&lt;1," ",IF(U27&lt;1," ",(U27)/$AE$27))</f>
        <v>8.0833080490325573E-2</v>
      </c>
      <c r="W27" s="390">
        <v>104780.69455409268</v>
      </c>
      <c r="X27" s="340">
        <f>IF($AE$27&lt;1," ",IF(W27&lt;1," ",(W27)/$AE$27))</f>
        <v>8.0833080490325573E-2</v>
      </c>
      <c r="Y27" s="390">
        <v>104780.69455409268</v>
      </c>
      <c r="Z27" s="340">
        <f>IF($AE$27&lt;1," ",IF(Y27&lt;1," ",(Y27)/$AE$27))</f>
        <v>8.0833080490325573E-2</v>
      </c>
      <c r="AA27" s="390">
        <v>101190.84925800023</v>
      </c>
      <c r="AB27" s="340">
        <f>IF($AE$27&lt;1," ",IF(AA27&lt;1," ",(AA27)/$AE$27))</f>
        <v>7.8063693868088077E-2</v>
      </c>
      <c r="AC27" s="1603">
        <f t="shared" si="2"/>
        <v>96837.5137077244</v>
      </c>
      <c r="AD27" s="387">
        <f t="shared" si="3"/>
        <v>1296260.0697450007</v>
      </c>
      <c r="AE27" s="387">
        <f>'2nd Interim-Summary MYP'!J30</f>
        <v>1296260.0697450007</v>
      </c>
      <c r="AF27" s="387">
        <f t="shared" si="4"/>
        <v>0</v>
      </c>
      <c r="AG27" s="1212"/>
    </row>
    <row r="28" spans="1:33" ht="15.75">
      <c r="A28" s="406" t="s">
        <v>260</v>
      </c>
      <c r="B28" s="140"/>
      <c r="C28" s="278" t="s">
        <v>261</v>
      </c>
      <c r="D28" s="1070"/>
      <c r="E28" s="378">
        <v>39354.301201050534</v>
      </c>
      <c r="F28" s="531">
        <f>IF($AE$28&lt;1," ",IF(E28&lt;1," ",(E28)/$AE$28))</f>
        <v>2.6955868580050547E-2</v>
      </c>
      <c r="G28" s="390">
        <v>80556.345047684546</v>
      </c>
      <c r="H28" s="531">
        <f>IF($AE$28&lt;1," ",IF(G28&lt;1," ",(G28)/$AE$28))</f>
        <v>5.517735505710427E-2</v>
      </c>
      <c r="I28" s="390">
        <v>102545.74430547058</v>
      </c>
      <c r="J28" s="531">
        <f>IF($AE$28&lt;1," ",IF(I28&lt;1," ",(I28)/$AE$28))</f>
        <v>7.0239072288950793E-2</v>
      </c>
      <c r="K28" s="390">
        <v>127253.5619830511</v>
      </c>
      <c r="L28" s="531">
        <f>IF($AE$28&lt;1," ",IF(K28&lt;1," ",(K28)/$AE$28))</f>
        <v>8.7162779886099828E-2</v>
      </c>
      <c r="M28" s="390">
        <v>125626.20556028695</v>
      </c>
      <c r="N28" s="340">
        <f>IF($AE$28&lt;1," ",IF(M28&lt;1," ",(M28)/$AE$28))</f>
        <v>8.604811631626974E-2</v>
      </c>
      <c r="O28" s="390">
        <v>124050.58990775145</v>
      </c>
      <c r="P28" s="531">
        <f>IF($AE$28&lt;1," ",IF(O28&lt;1," ",(O28)/$AE$28))</f>
        <v>8.4968892771035406E-2</v>
      </c>
      <c r="Q28" s="390">
        <v>121988.70824214819</v>
      </c>
      <c r="R28" s="531">
        <f>IF($AE$28&lt;1," ",IF(Q28&lt;1," ",(Q28)/$AE$28))</f>
        <v>8.3556599590636271E-2</v>
      </c>
      <c r="S28" s="390">
        <v>135296.04108317781</v>
      </c>
      <c r="T28" s="340">
        <f>IF($AE$28&lt;1," ",IF(S28&lt;1," ",(S28)/$AE$28))</f>
        <v>9.2671504550610753E-2</v>
      </c>
      <c r="U28" s="390">
        <v>130855.56234660432</v>
      </c>
      <c r="V28" s="340">
        <f>IF($AE$28&lt;1," ",IF(U28&lt;1," ",(U28)/$AE$28))</f>
        <v>8.9629982846437056E-2</v>
      </c>
      <c r="W28" s="390">
        <v>129933.7697968696</v>
      </c>
      <c r="X28" s="340">
        <f>IF($AE$28&lt;1," ",IF(W28&lt;1," ",(W28)/$AE$28))</f>
        <v>8.8998597760934495E-2</v>
      </c>
      <c r="Y28" s="390">
        <v>129011.97724713486</v>
      </c>
      <c r="Z28" s="340">
        <f>IF($AE$28&lt;1," ",IF(Y28&lt;1," ",(Y28)/$AE$28))</f>
        <v>8.8367212675431919E-2</v>
      </c>
      <c r="AA28" s="390">
        <v>128090.18469740011</v>
      </c>
      <c r="AB28" s="340">
        <f>IF($AE$28&lt;1," ",IF(AA28&lt;1," ",(AA28)/$AE$28))</f>
        <v>8.7735827589929344E-2</v>
      </c>
      <c r="AC28" s="1603">
        <f t="shared" si="2"/>
        <v>85390.008581370115</v>
      </c>
      <c r="AD28" s="387">
        <f t="shared" si="3"/>
        <v>1459953</v>
      </c>
      <c r="AE28" s="387">
        <f>'2nd Interim-Summary MYP'!J31</f>
        <v>1459953</v>
      </c>
      <c r="AF28" s="387">
        <f t="shared" si="4"/>
        <v>0</v>
      </c>
      <c r="AG28" s="1212"/>
    </row>
    <row r="29" spans="1:33" ht="15.75">
      <c r="A29" s="406" t="s">
        <v>262</v>
      </c>
      <c r="B29" s="140"/>
      <c r="C29" s="278" t="s">
        <v>263</v>
      </c>
      <c r="D29" s="1070"/>
      <c r="E29" s="378">
        <v>32022.492256000001</v>
      </c>
      <c r="F29" s="531">
        <f>IF($AE$29&lt;1," ",IF(E29&lt;1," ",(E29)/$AE$29))</f>
        <v>5.3906366412886465E-2</v>
      </c>
      <c r="G29" s="390">
        <v>32022.492256000001</v>
      </c>
      <c r="H29" s="531">
        <f>IF($AE$29&lt;1," ",IF(G29&lt;1," ",(G29)/$AE$29))</f>
        <v>5.3906366412886465E-2</v>
      </c>
      <c r="I29" s="390">
        <v>32022.492256000001</v>
      </c>
      <c r="J29" s="531">
        <f>IF($AE$29&lt;1," ",IF(I29&lt;1," ",(I29)/$AE$29))</f>
        <v>5.3906366412886465E-2</v>
      </c>
      <c r="K29" s="390">
        <v>32022.492256000001</v>
      </c>
      <c r="L29" s="531">
        <f>IF($AE$29&lt;1," ",IF(K29&lt;1," ",(K29)/$AE$29))</f>
        <v>5.3906366412886465E-2</v>
      </c>
      <c r="M29" s="390">
        <v>32022.492256000001</v>
      </c>
      <c r="N29" s="340">
        <f>IF($AE$29&lt;1," ",IF(M29&lt;1," ",(M29)/$AE$29))</f>
        <v>5.3906366412886465E-2</v>
      </c>
      <c r="O29" s="390">
        <v>32022.492256000001</v>
      </c>
      <c r="P29" s="531">
        <f>IF($AE$29&lt;1," ",IF(O29&lt;1," ",(O29)/$AE$29))</f>
        <v>5.3906366412886465E-2</v>
      </c>
      <c r="Q29" s="390">
        <v>32022.492256000001</v>
      </c>
      <c r="R29" s="531">
        <f>IF($AE$29&lt;1," ",IF(Q29&lt;1," ",(Q29)/$AE$29))</f>
        <v>5.3906366412886465E-2</v>
      </c>
      <c r="S29" s="390">
        <v>32022.492256000001</v>
      </c>
      <c r="T29" s="340">
        <f>IF($AE$29&lt;1," ",IF(S29&lt;1," ",(S29)/$AE$29))</f>
        <v>5.3906366412886465E-2</v>
      </c>
      <c r="U29" s="390">
        <v>32022.492256000001</v>
      </c>
      <c r="V29" s="340">
        <f>IF($AE$29&lt;1," ",IF(U29&lt;1," ",(U29)/$AE$29))</f>
        <v>5.3906366412886465E-2</v>
      </c>
      <c r="W29" s="390">
        <v>32022.492256000001</v>
      </c>
      <c r="X29" s="340">
        <f>IF($AE$29&lt;1," ",IF(W29&lt;1," ",(W29)/$AE$29))</f>
        <v>5.3906366412886465E-2</v>
      </c>
      <c r="Y29" s="390">
        <v>32022.492256000001</v>
      </c>
      <c r="Z29" s="340">
        <f>IF($AE$29&lt;1," ",IF(Y29&lt;1," ",(Y29)/$AE$29))</f>
        <v>5.3906366412886465E-2</v>
      </c>
      <c r="AA29" s="390">
        <v>32022.492256000001</v>
      </c>
      <c r="AB29" s="340">
        <f>IF($AE$29&lt;1," ",IF(AA29&lt;1," ",(AA29)/$AE$29))</f>
        <v>5.3906366412886465E-2</v>
      </c>
      <c r="AC29" s="1603">
        <f t="shared" si="2"/>
        <v>209769.24612800003</v>
      </c>
      <c r="AD29" s="387">
        <f t="shared" si="3"/>
        <v>594039.15320000006</v>
      </c>
      <c r="AE29" s="387">
        <f>'2nd Interim-Summary MYP'!J32</f>
        <v>594039.15320000006</v>
      </c>
      <c r="AF29" s="387">
        <f t="shared" si="4"/>
        <v>0</v>
      </c>
      <c r="AG29" s="1212"/>
    </row>
    <row r="30" spans="1:33" ht="15.75">
      <c r="A30" s="406" t="s">
        <v>264</v>
      </c>
      <c r="B30" s="140"/>
      <c r="C30" s="278" t="s">
        <v>265</v>
      </c>
      <c r="D30" s="1070"/>
      <c r="E30" s="378">
        <v>270828.11825599999</v>
      </c>
      <c r="F30" s="531">
        <f>IF($AE$30&lt;1," ",IF(E30&lt;1," ",(E30)/$AE$30))</f>
        <v>6.5436837883541793E-2</v>
      </c>
      <c r="G30" s="390">
        <v>270828.11825599999</v>
      </c>
      <c r="H30" s="531">
        <f>IF($AE$30&lt;1," ",IF(G30&lt;1," ",(G30)/$AE$30))</f>
        <v>6.5436837883541793E-2</v>
      </c>
      <c r="I30" s="390">
        <v>270828.11825599999</v>
      </c>
      <c r="J30" s="531">
        <f>IF($AE$30&lt;1," ",IF(I30&lt;1," ",(I30)/$AE$30))</f>
        <v>6.5436837883541793E-2</v>
      </c>
      <c r="K30" s="390">
        <v>270828.11825599999</v>
      </c>
      <c r="L30" s="531">
        <f>IF($AE$30&lt;1," ",IF(K30&lt;1," ",(K30)/$AE$30))</f>
        <v>6.5436837883541793E-2</v>
      </c>
      <c r="M30" s="390">
        <v>270828.11825599999</v>
      </c>
      <c r="N30" s="340">
        <f>IF($AE$30&lt;1," ",IF(M30&lt;1," ",(M30)/$AE$30))</f>
        <v>6.5436837883541793E-2</v>
      </c>
      <c r="O30" s="390">
        <v>270828.11825599999</v>
      </c>
      <c r="P30" s="531">
        <f>IF($AE$30&lt;1," ",IF(O30&lt;1," ",(O30)/$AE$30))</f>
        <v>6.5436837883541793E-2</v>
      </c>
      <c r="Q30" s="390">
        <v>270828.11825599999</v>
      </c>
      <c r="R30" s="531">
        <f>IF($AE$30&lt;1," ",IF(Q30&lt;1," ",(Q30)/$AE$30))</f>
        <v>6.5436837883541793E-2</v>
      </c>
      <c r="S30" s="390">
        <v>270828.11825599999</v>
      </c>
      <c r="T30" s="340">
        <f>IF($AE$30&lt;1," ",IF(S30&lt;1," ",(S30)/$AE$30))</f>
        <v>6.5436837883541793E-2</v>
      </c>
      <c r="U30" s="390">
        <v>270828.11825599999</v>
      </c>
      <c r="V30" s="340">
        <f>IF($AE$30&lt;1," ",IF(U30&lt;1," ",(U30)/$AE$30))</f>
        <v>6.5436837883541793E-2</v>
      </c>
      <c r="W30" s="390">
        <v>270828.11825599999</v>
      </c>
      <c r="X30" s="340">
        <f>IF($AE$30&lt;1," ",IF(W30&lt;1," ",(W30)/$AE$30))</f>
        <v>6.5436837883541793E-2</v>
      </c>
      <c r="Y30" s="390">
        <v>270828.11825599999</v>
      </c>
      <c r="Z30" s="340">
        <f>IF($AE$30&lt;1," ",IF(Y30&lt;1," ",(Y30)/$AE$30))</f>
        <v>6.5436837883541793E-2</v>
      </c>
      <c r="AA30" s="390">
        <v>270828.11825599999</v>
      </c>
      <c r="AB30" s="340">
        <f>IF($AE$30&lt;1," ",IF(AA30&lt;1," ",(AA30)/$AE$30))</f>
        <v>6.5436837883541793E-2</v>
      </c>
      <c r="AC30" s="1603">
        <f t="shared" si="2"/>
        <v>888834.05912800087</v>
      </c>
      <c r="AD30" s="387">
        <f t="shared" si="3"/>
        <v>4138771.4781999998</v>
      </c>
      <c r="AE30" s="387">
        <f>'2nd Interim-Summary MYP'!J33</f>
        <v>4138771.4781999998</v>
      </c>
      <c r="AF30" s="387">
        <f t="shared" si="4"/>
        <v>0</v>
      </c>
      <c r="AG30" s="1212"/>
    </row>
    <row r="31" spans="1:33" ht="15.75">
      <c r="A31" s="406" t="s">
        <v>266</v>
      </c>
      <c r="B31" s="140"/>
      <c r="C31" s="278" t="s">
        <v>267</v>
      </c>
      <c r="D31" s="1070"/>
      <c r="E31" s="378"/>
      <c r="F31" s="531" t="str">
        <f>IF($AE$31&lt;1," ",IF(E31&lt;1," ",(E31)/$AE$31))</f>
        <v xml:space="preserve"> </v>
      </c>
      <c r="G31" s="390"/>
      <c r="H31" s="531" t="str">
        <f>IF($AE$31&lt;1," ",IF(G31&lt;1," ",(G31)/$AE$31))</f>
        <v xml:space="preserve"> </v>
      </c>
      <c r="I31" s="390"/>
      <c r="J31" s="531" t="str">
        <f>IF($AE$31&lt;1," ",IF(I31&lt;1," ",(I31)/$AE$31))</f>
        <v xml:space="preserve"> </v>
      </c>
      <c r="K31" s="390"/>
      <c r="L31" s="531" t="str">
        <f>IF($AE$31&lt;1," ",IF(K31&lt;1," ",(K31)/$AE$31))</f>
        <v xml:space="preserve"> </v>
      </c>
      <c r="M31" s="390"/>
      <c r="N31" s="340" t="str">
        <f>IF($AE$31&lt;1," ",IF(M31&lt;1," ",(M31)/$AE$31))</f>
        <v xml:space="preserve"> </v>
      </c>
      <c r="O31" s="390"/>
      <c r="P31" s="531" t="str">
        <f>IF($AE$31&lt;1," ",IF(O31&lt;1," ",(O31)/$AE$31))</f>
        <v xml:space="preserve"> </v>
      </c>
      <c r="Q31" s="390"/>
      <c r="R31" s="531" t="str">
        <f>IF($AE$31&lt;1," ",IF(Q31&lt;1," ",(Q31)/$AE$31))</f>
        <v xml:space="preserve"> </v>
      </c>
      <c r="S31" s="390"/>
      <c r="T31" s="340" t="str">
        <f>IF($AE$31&lt;1," ",IF(S31&lt;1," ",(S31)/$AE$31))</f>
        <v xml:space="preserve"> </v>
      </c>
      <c r="U31" s="390"/>
      <c r="V31" s="340" t="str">
        <f>IF($AE$31&lt;1," ",IF(U31&lt;1," ",(U31)/$AE$31))</f>
        <v xml:space="preserve"> </v>
      </c>
      <c r="W31" s="390"/>
      <c r="X31" s="340" t="str">
        <f>IF($AE$31&lt;1," ",IF(W31&lt;1," ",(W31)/$AE$31))</f>
        <v xml:space="preserve"> </v>
      </c>
      <c r="Y31" s="390"/>
      <c r="Z31" s="340" t="str">
        <f>IF($AE$31&lt;1," ",IF(Y31&lt;1," ",(Y31)/$AE$31))</f>
        <v xml:space="preserve"> </v>
      </c>
      <c r="AA31" s="390"/>
      <c r="AB31" s="340" t="str">
        <f>IF($AE$31&lt;1," ",IF(AA31&lt;1," ",(AA31)/$AE$31))</f>
        <v xml:space="preserve"> </v>
      </c>
      <c r="AC31" s="1603">
        <f t="shared" si="2"/>
        <v>208325.09142857144</v>
      </c>
      <c r="AD31" s="387">
        <f t="shared" si="3"/>
        <v>208325.09142857144</v>
      </c>
      <c r="AE31" s="387">
        <f>'2nd Interim-Summary MYP'!J34</f>
        <v>208325.09142857144</v>
      </c>
      <c r="AF31" s="387">
        <f t="shared" si="4"/>
        <v>0</v>
      </c>
      <c r="AG31" s="1212"/>
    </row>
    <row r="32" spans="1:33" ht="15.75">
      <c r="A32" s="406" t="s">
        <v>268</v>
      </c>
      <c r="B32" s="140"/>
      <c r="C32" s="278" t="s">
        <v>269</v>
      </c>
      <c r="D32" s="1070"/>
      <c r="E32" s="378"/>
      <c r="F32" s="531" t="str">
        <f>IF($AE$32&lt;1," ",IF(E32&lt;1," ",(E32)/$AE$32))</f>
        <v xml:space="preserve"> </v>
      </c>
      <c r="G32" s="390"/>
      <c r="H32" s="531" t="str">
        <f>IF($AE$32&lt;1," ",IF(G32&lt;1," ",(G32)/$AE$32))</f>
        <v xml:space="preserve"> </v>
      </c>
      <c r="I32" s="390"/>
      <c r="J32" s="531" t="str">
        <f>IF($AE$32&lt;1," ",IF(I32&lt;1," ",(I32)/$AE$32))</f>
        <v xml:space="preserve"> </v>
      </c>
      <c r="K32" s="390"/>
      <c r="L32" s="531" t="str">
        <f>IF($AE$32&lt;1," ",IF(K32&lt;1," ",(K32)/$AE$32))</f>
        <v xml:space="preserve"> </v>
      </c>
      <c r="M32" s="390"/>
      <c r="N32" s="340" t="str">
        <f>IF($AE$32&lt;1," ",IF(M32&lt;1," ",(M32)/$AE$32))</f>
        <v xml:space="preserve"> </v>
      </c>
      <c r="O32" s="390"/>
      <c r="P32" s="531" t="str">
        <f>IF($AE$32&lt;1," ",IF(O32&lt;1," ",(O32)/$AE$32))</f>
        <v xml:space="preserve"> </v>
      </c>
      <c r="Q32" s="390"/>
      <c r="R32" s="531" t="str">
        <f>IF($AE$32&lt;1," ",IF(Q32&lt;1," ",(Q32)/$AE$32))</f>
        <v xml:space="preserve"> </v>
      </c>
      <c r="S32" s="390"/>
      <c r="T32" s="340" t="str">
        <f>IF($AE$32&lt;1," ",IF(S32&lt;1," ",(S32)/$AE$32))</f>
        <v xml:space="preserve"> </v>
      </c>
      <c r="U32" s="390"/>
      <c r="V32" s="340" t="str">
        <f>IF($AE$32&lt;1," ",IF(U32&lt;1," ",(U32)/$AE$32))</f>
        <v xml:space="preserve"> </v>
      </c>
      <c r="W32" s="390"/>
      <c r="X32" s="340" t="str">
        <f>IF($AE$32&lt;1," ",IF(W32&lt;1," ",(W32)/$AE$32))</f>
        <v xml:space="preserve"> </v>
      </c>
      <c r="Y32" s="390"/>
      <c r="Z32" s="340" t="str">
        <f>IF($AE$32&lt;1," ",IF(Y32&lt;1," ",(Y32)/$AE$32))</f>
        <v xml:space="preserve"> </v>
      </c>
      <c r="AA32" s="390"/>
      <c r="AB32" s="340" t="str">
        <f>IF($AE$32&lt;1," ",IF(AA32&lt;1," ",(AA32)/$AE$32))</f>
        <v xml:space="preserve"> </v>
      </c>
      <c r="AC32" s="1603">
        <f t="shared" si="2"/>
        <v>0</v>
      </c>
      <c r="AD32" s="387">
        <f t="shared" si="3"/>
        <v>0</v>
      </c>
      <c r="AE32" s="387">
        <f>'2nd Interim-Summary MYP'!J35</f>
        <v>0</v>
      </c>
      <c r="AF32" s="387">
        <f t="shared" si="4"/>
        <v>0</v>
      </c>
      <c r="AG32" s="1212"/>
    </row>
    <row r="33" spans="1:33" ht="15.75">
      <c r="A33" s="406" t="s">
        <v>270</v>
      </c>
      <c r="B33" s="140"/>
      <c r="C33" s="278" t="s">
        <v>271</v>
      </c>
      <c r="D33" s="1070"/>
      <c r="E33" s="378"/>
      <c r="F33" s="531" t="str">
        <f>IF($AE33&lt;1," ",IF(E33&lt;1," ",(E33)/$AE33))</f>
        <v xml:space="preserve"> </v>
      </c>
      <c r="G33" s="390"/>
      <c r="H33" s="531" t="str">
        <f>IF($AE33&lt;1," ",IF(G33&lt;1," ",(G33)/$AE33))</f>
        <v xml:space="preserve"> </v>
      </c>
      <c r="I33" s="390"/>
      <c r="J33" s="531" t="str">
        <f>IF($AE33&lt;1," ",IF(I33&lt;1," ",(I33)/$AE33))</f>
        <v xml:space="preserve"> </v>
      </c>
      <c r="K33" s="390"/>
      <c r="L33" s="531" t="str">
        <f>IF($AE33&lt;1," ",IF(K33&lt;1," ",(K33)/$AE33))</f>
        <v xml:space="preserve"> </v>
      </c>
      <c r="M33" s="390"/>
      <c r="N33" s="340" t="str">
        <f>IF($AE33&lt;1," ",IF(M33&lt;1," ",(M33)/$AE33))</f>
        <v xml:space="preserve"> </v>
      </c>
      <c r="O33" s="390"/>
      <c r="P33" s="531" t="str">
        <f>IF($AE33&lt;1," ",IF(O33&lt;1," ",(O33)/$AE33))</f>
        <v xml:space="preserve"> </v>
      </c>
      <c r="Q33" s="390"/>
      <c r="R33" s="531" t="str">
        <f>IF($AE33&lt;1," ",IF(Q33&lt;1," ",(Q33)/$AE33))</f>
        <v xml:space="preserve"> </v>
      </c>
      <c r="S33" s="390"/>
      <c r="T33" s="340" t="str">
        <f>IF($AE33&lt;1," ",IF(S33&lt;1," ",(S33)/$AE33))</f>
        <v xml:space="preserve"> </v>
      </c>
      <c r="U33" s="390"/>
      <c r="V33" s="340" t="str">
        <f>IF($AE33&lt;1," ",IF(U33&lt;1," ",(U33)/$AE33))</f>
        <v xml:space="preserve"> </v>
      </c>
      <c r="W33" s="390"/>
      <c r="X33" s="340" t="str">
        <f>IF($AE33&lt;1," ",IF(W33&lt;1," ",(W33)/$AE33))</f>
        <v xml:space="preserve"> </v>
      </c>
      <c r="Y33" s="390"/>
      <c r="Z33" s="340" t="str">
        <f>IF($AE33&lt;1," ",IF(Y33&lt;1," ",(Y33)/$AE33))</f>
        <v xml:space="preserve"> </v>
      </c>
      <c r="AA33" s="390"/>
      <c r="AB33" s="340" t="str">
        <f>IF($AE33&lt;1," ",IF(AA33&lt;1," ",(AA33)/$AE33))</f>
        <v xml:space="preserve"> </v>
      </c>
      <c r="AC33" s="1603">
        <f t="shared" si="2"/>
        <v>0</v>
      </c>
      <c r="AD33" s="387">
        <f t="shared" si="3"/>
        <v>0</v>
      </c>
      <c r="AE33" s="387">
        <f>'2nd Interim-Summary MYP'!J36</f>
        <v>0</v>
      </c>
      <c r="AF33" s="387">
        <f t="shared" si="4"/>
        <v>0</v>
      </c>
      <c r="AG33" s="1212"/>
    </row>
    <row r="34" spans="1:33" ht="16.5" thickBot="1">
      <c r="A34" s="408" t="s">
        <v>272</v>
      </c>
      <c r="B34" s="382"/>
      <c r="C34" s="383"/>
      <c r="D34" s="1075"/>
      <c r="E34" s="772">
        <f>+SUM(E26:E33)</f>
        <v>420474.31665891752</v>
      </c>
      <c r="F34" s="532">
        <f>IF($AE34&lt;1," ",IF(E34&lt;1," ",(E34)/$AE34))</f>
        <v>4.0913938731701564E-2</v>
      </c>
      <c r="G34" s="771">
        <f>+SUM(G26:G33)</f>
        <v>543233.1061553125</v>
      </c>
      <c r="H34" s="532">
        <f>IF($AE34&lt;1," ",IF(G34&lt;1," ",(G34)/$AE34))</f>
        <v>5.2858890880366487E-2</v>
      </c>
      <c r="I34" s="771">
        <f>+SUM(I26:I33)</f>
        <v>673822.23626204883</v>
      </c>
      <c r="J34" s="532">
        <f>IF($AE34&lt;1," ",IF(I34&lt;1," ",(I34)/$AE34))</f>
        <v>6.5565768462493124E-2</v>
      </c>
      <c r="K34" s="771">
        <f>+SUM(K26:K33)</f>
        <v>796949.55013292935</v>
      </c>
      <c r="L34" s="532">
        <f>IF($AE34&lt;1," ",IF(K34&lt;1," ",(K34)/$AE34))</f>
        <v>7.7546579599641924E-2</v>
      </c>
      <c r="M34" s="771">
        <f>+SUM(M26:M33)</f>
        <v>796251.20758984401</v>
      </c>
      <c r="N34" s="388">
        <f>IF($AE34&lt;1," ",IF(M34&lt;1," ",(M34)/$AE34))</f>
        <v>7.7478627901073113E-2</v>
      </c>
      <c r="O34" s="771">
        <f>+SUM(O26:O33)</f>
        <v>772802.7240479032</v>
      </c>
      <c r="P34" s="532">
        <f>IF($AE34&lt;1," ",IF(O34&lt;1," ",(O34)/$AE34))</f>
        <v>7.5196990757074839E-2</v>
      </c>
      <c r="Q34" s="771">
        <f>+SUM(Q26:Q33)</f>
        <v>753405.64415203989</v>
      </c>
      <c r="R34" s="532">
        <f>IF($AE34&lt;1," ",IF(Q34&lt;1," ",(Q34)/$AE34))</f>
        <v>7.3309572413097754E-2</v>
      </c>
      <c r="S34" s="771">
        <f>+SUM(S26:S33)</f>
        <v>810298.0775064308</v>
      </c>
      <c r="T34" s="388">
        <f>IF($AE34&lt;1," ",IF(S34&lt;1," ",(S34)/$AE34))</f>
        <v>7.8845448066704335E-2</v>
      </c>
      <c r="U34" s="771">
        <f>+SUM(U26:U33)</f>
        <v>774354.3486535009</v>
      </c>
      <c r="V34" s="388">
        <f>IF($AE34&lt;1," ",IF(U34&lt;1," ",(U34)/$AE34))</f>
        <v>7.534797042820543E-2</v>
      </c>
      <c r="W34" s="771">
        <f>+SUM(W26:W33)</f>
        <v>773432.5561037662</v>
      </c>
      <c r="X34" s="388">
        <f>IF($AE34&lt;1," ",IF(W34&lt;1," ",(W34)/$AE34))</f>
        <v>7.5258276093952484E-2</v>
      </c>
      <c r="Y34" s="771">
        <f>+SUM(Y26:Y33)</f>
        <v>772510.76355403138</v>
      </c>
      <c r="Z34" s="388">
        <f>IF($AE34&lt;1," ",IF(Y34&lt;1," ",(Y34)/$AE34))</f>
        <v>7.5168581759699524E-2</v>
      </c>
      <c r="AA34" s="771">
        <f>+SUM(AA26:AA33)</f>
        <v>755190.25390395103</v>
      </c>
      <c r="AB34" s="388">
        <f>IF($AE34&lt;1," ",IF(AA34&lt;1," ",(AA34)/$AE34))</f>
        <v>7.3483222529542119E-2</v>
      </c>
      <c r="AC34" s="1602">
        <f>+SUM(AC26:AC33)</f>
        <v>1634318.4355918972</v>
      </c>
      <c r="AD34" s="773">
        <f>+SUM(AD26:AD33)</f>
        <v>10277043.220312573</v>
      </c>
      <c r="AE34" s="773">
        <f>+SUM(AE26:AE33)</f>
        <v>10277043.220312573</v>
      </c>
      <c r="AF34" s="773">
        <f>+SUM(AF26:AF33)</f>
        <v>0</v>
      </c>
      <c r="AG34" s="1212"/>
    </row>
    <row r="35" spans="1:33" ht="15.75">
      <c r="A35" s="409"/>
      <c r="B35" s="371"/>
      <c r="C35" s="71"/>
      <c r="D35" s="527"/>
      <c r="E35" s="75"/>
      <c r="F35" s="196"/>
      <c r="G35" s="75"/>
      <c r="H35" s="196"/>
      <c r="I35" s="75"/>
      <c r="J35" s="196"/>
      <c r="K35" s="75"/>
      <c r="L35" s="1063"/>
      <c r="M35" s="1064"/>
      <c r="N35" s="196"/>
      <c r="O35" s="75"/>
      <c r="P35" s="196"/>
      <c r="Q35" s="75"/>
      <c r="R35" s="1063"/>
      <c r="S35" s="1064"/>
      <c r="T35" s="196"/>
      <c r="U35" s="75"/>
      <c r="V35" s="196"/>
      <c r="W35" s="75"/>
      <c r="X35" s="196"/>
      <c r="Y35" s="75"/>
      <c r="Z35" s="196"/>
      <c r="AA35" s="75"/>
      <c r="AB35" s="196"/>
      <c r="AC35" s="1023"/>
      <c r="AD35" s="1023"/>
      <c r="AE35" s="1023"/>
      <c r="AF35" s="1039"/>
      <c r="AG35" s="1212"/>
    </row>
    <row r="36" spans="1:33" ht="15.75">
      <c r="A36" s="66" t="s">
        <v>424</v>
      </c>
      <c r="B36" s="180"/>
      <c r="C36" s="373"/>
      <c r="D36" s="1073"/>
      <c r="E36" s="523"/>
      <c r="F36" s="482"/>
      <c r="G36" s="523"/>
      <c r="H36" s="482"/>
      <c r="I36" s="523"/>
      <c r="J36" s="482"/>
      <c r="K36" s="523"/>
      <c r="L36" s="1061"/>
      <c r="M36" s="1065"/>
      <c r="N36" s="482"/>
      <c r="O36" s="523"/>
      <c r="P36" s="482"/>
      <c r="Q36" s="523"/>
      <c r="R36" s="1061"/>
      <c r="S36" s="1065"/>
      <c r="T36" s="482"/>
      <c r="U36" s="523"/>
      <c r="V36" s="482"/>
      <c r="W36" s="523"/>
      <c r="X36" s="482"/>
      <c r="Y36" s="523"/>
      <c r="Z36" s="482"/>
      <c r="AA36" s="523"/>
      <c r="AB36" s="482"/>
      <c r="AC36" s="1027"/>
      <c r="AD36" s="1027"/>
      <c r="AE36" s="1027"/>
      <c r="AF36" s="1035"/>
      <c r="AG36" s="1212"/>
    </row>
    <row r="37" spans="1:33" ht="15.75">
      <c r="A37" s="406" t="s">
        <v>275</v>
      </c>
      <c r="B37" s="140"/>
      <c r="C37" s="278">
        <v>8900</v>
      </c>
      <c r="D37" s="1076"/>
      <c r="E37" s="378"/>
      <c r="F37" s="531" t="str">
        <f>IF($AE37&lt;1," ",IF(E37&lt;1," ",(E37)/$AE37))</f>
        <v xml:space="preserve"> </v>
      </c>
      <c r="G37" s="390"/>
      <c r="H37" s="531" t="str">
        <f>IF($AE37&lt;1," ",IF(G37&lt;1," ",(G37)/$AE37))</f>
        <v xml:space="preserve"> </v>
      </c>
      <c r="I37" s="390"/>
      <c r="J37" s="531" t="str">
        <f>IF($AE37&lt;1," ",IF(I37&lt;1," ",(I37)/$AE37))</f>
        <v xml:space="preserve"> </v>
      </c>
      <c r="K37" s="390"/>
      <c r="L37" s="531" t="str">
        <f>IF($AE37&lt;1," ",IF(K37&lt;1," ",(K37)/$AE37))</f>
        <v xml:space="preserve"> </v>
      </c>
      <c r="M37" s="390"/>
      <c r="N37" s="340" t="str">
        <f>IF($AE37&lt;1," ",IF(M37&lt;1," ",(M37)/$AE37))</f>
        <v xml:space="preserve"> </v>
      </c>
      <c r="O37" s="390"/>
      <c r="P37" s="340" t="str">
        <f>IF($AE37&lt;1," ",IF(O37&lt;1," ",(O37)/$AE37))</f>
        <v xml:space="preserve"> </v>
      </c>
      <c r="Q37" s="390"/>
      <c r="R37" s="531" t="str">
        <f>IF($AE37&lt;1," ",IF(Q37&lt;1," ",(Q37)/$AE37))</f>
        <v xml:space="preserve"> </v>
      </c>
      <c r="S37" s="390"/>
      <c r="T37" s="340" t="str">
        <f>IF($AE37&lt;1," ",IF(S37&lt;1," ",(S37)/$AE37))</f>
        <v xml:space="preserve"> </v>
      </c>
      <c r="U37" s="390"/>
      <c r="V37" s="340" t="str">
        <f>IF($AE37&lt;1," ",IF(U37&lt;1," ",(U37)/$AE37))</f>
        <v xml:space="preserve"> </v>
      </c>
      <c r="W37" s="390"/>
      <c r="X37" s="340" t="str">
        <f>IF($AE37&lt;1," ",IF(W37&lt;1," ",(W37)/$AE37))</f>
        <v xml:space="preserve"> </v>
      </c>
      <c r="Y37" s="390"/>
      <c r="Z37" s="340" t="str">
        <f>IF($AE37&lt;1," ",IF(Y37&lt;1," ",(Y37)/$AE37))</f>
        <v xml:space="preserve"> </v>
      </c>
      <c r="AA37" s="390"/>
      <c r="AB37" s="340" t="str">
        <f>IF($AE37&lt;1," ",IF(AA37&lt;1," ",(AA37)/$AE37))</f>
        <v xml:space="preserve"> </v>
      </c>
      <c r="AC37" s="1603">
        <f>AE37-(E37+G37+I37+K37+M37+O37+Q37+S37+U37+W37+Y37+AA37)</f>
        <v>0</v>
      </c>
      <c r="AD37" s="387">
        <f>+E37+G37+I37+K37+M37+O37+Q37+S37+U37+W37+Y37+AA37+AC37</f>
        <v>0</v>
      </c>
      <c r="AE37" s="387">
        <f>'2nd Interim-Summary MYP'!J42</f>
        <v>0</v>
      </c>
      <c r="AF37" s="387">
        <f>+AE37-AD37</f>
        <v>0</v>
      </c>
      <c r="AG37" s="1212"/>
    </row>
    <row r="38" spans="1:33" ht="15.75">
      <c r="A38" s="406" t="s">
        <v>276</v>
      </c>
      <c r="B38" s="140"/>
      <c r="C38" s="278">
        <v>7600</v>
      </c>
      <c r="D38" s="1076"/>
      <c r="E38" s="378"/>
      <c r="F38" s="531" t="str">
        <f>IF($AE38&lt;1," ",IF(E38&lt;1," ",(E38)/$AE38))</f>
        <v xml:space="preserve"> </v>
      </c>
      <c r="G38" s="390"/>
      <c r="H38" s="531" t="str">
        <f>IF($AE38&lt;1," ",IF(G38&lt;1," ",(G38)/$AE38))</f>
        <v xml:space="preserve"> </v>
      </c>
      <c r="I38" s="390"/>
      <c r="J38" s="531" t="str">
        <f>IF($AE38&lt;1," ",IF(I38&lt;1," ",(I38)/$AE38))</f>
        <v xml:space="preserve"> </v>
      </c>
      <c r="K38" s="390"/>
      <c r="L38" s="531" t="str">
        <f>IF($AE38&lt;1," ",IF(K38&lt;1," ",(K38)/$AE38))</f>
        <v xml:space="preserve"> </v>
      </c>
      <c r="M38" s="390"/>
      <c r="N38" s="340" t="str">
        <f>IF($AE38&lt;1," ",IF(M38&lt;1," ",(M38)/$AE38))</f>
        <v xml:space="preserve"> </v>
      </c>
      <c r="O38" s="390"/>
      <c r="P38" s="340" t="str">
        <f>IF($AE38&lt;1," ",IF(O38&lt;1," ",(O38)/$AE38))</f>
        <v xml:space="preserve"> </v>
      </c>
      <c r="Q38" s="390"/>
      <c r="R38" s="531" t="str">
        <f>IF($AE38&lt;1," ",IF(Q38&lt;1," ",(Q38)/$AE38))</f>
        <v xml:space="preserve"> </v>
      </c>
      <c r="S38" s="390"/>
      <c r="T38" s="340" t="str">
        <f>IF($AE38&lt;1," ",IF(S38&lt;1," ",(S38)/$AE38))</f>
        <v xml:space="preserve"> </v>
      </c>
      <c r="U38" s="390"/>
      <c r="V38" s="340" t="str">
        <f>IF($AE38&lt;1," ",IF(U38&lt;1," ",(U38)/$AE38))</f>
        <v xml:space="preserve"> </v>
      </c>
      <c r="W38" s="390"/>
      <c r="X38" s="340" t="str">
        <f>IF($AE38&lt;1," ",IF(W38&lt;1," ",(W38)/$AE38))</f>
        <v xml:space="preserve"> </v>
      </c>
      <c r="Y38" s="390"/>
      <c r="Z38" s="340" t="str">
        <f>IF($AE38&lt;1," ",IF(Y38&lt;1," ",(Y38)/$AE38))</f>
        <v xml:space="preserve"> </v>
      </c>
      <c r="AA38" s="390"/>
      <c r="AB38" s="340" t="str">
        <f>IF($AE38&lt;1," ",IF(AA38&lt;1," ",(AA38)/$AE38))</f>
        <v xml:space="preserve"> </v>
      </c>
      <c r="AC38" s="1603">
        <f>AE38-(E38+G38+I38+K38+M38+O38+Q38+S38+U38+W38+Y38+AA38)</f>
        <v>0</v>
      </c>
      <c r="AD38" s="387">
        <f>+E38+G38+I38+K38+M38+O38+Q38+S38+U38+W38+Y38+AA38+AC38</f>
        <v>0</v>
      </c>
      <c r="AE38" s="387">
        <f>'2nd Interim-Summary MYP'!J43</f>
        <v>0</v>
      </c>
      <c r="AF38" s="387">
        <f>+AE38-AD38</f>
        <v>0</v>
      </c>
      <c r="AG38" s="1212"/>
    </row>
    <row r="39" spans="1:33" ht="16.5" thickBot="1">
      <c r="A39" s="410" t="s">
        <v>277</v>
      </c>
      <c r="B39" s="382"/>
      <c r="C39" s="383"/>
      <c r="D39" s="1075"/>
      <c r="E39" s="772"/>
      <c r="F39" s="532" t="str">
        <f>IF($AE39&lt;1," ",IF(E39&lt;1," ",(E39)/$AE39))</f>
        <v xml:space="preserve"> </v>
      </c>
      <c r="G39" s="771">
        <f>+G37-G38</f>
        <v>0</v>
      </c>
      <c r="H39" s="532" t="str">
        <f>IF($AE39&lt;1," ",IF(G39&lt;1," ",(G39)/$AE39))</f>
        <v xml:space="preserve"> </v>
      </c>
      <c r="I39" s="771">
        <f>+I37-I38</f>
        <v>0</v>
      </c>
      <c r="J39" s="532" t="str">
        <f>IF($AE39&lt;1," ",IF(I39&lt;1," ",(I39)/$AE39))</f>
        <v xml:space="preserve"> </v>
      </c>
      <c r="K39" s="771">
        <f>+K37-K38</f>
        <v>0</v>
      </c>
      <c r="L39" s="532" t="str">
        <f>IF($AE39&lt;1," ",IF(K39&lt;1," ",(K39)/$AE39))</f>
        <v xml:space="preserve"> </v>
      </c>
      <c r="M39" s="771">
        <f>+M37-M38</f>
        <v>0</v>
      </c>
      <c r="N39" s="388" t="str">
        <f>IF($AE39&lt;1," ",IF(M39&lt;1," ",(M39)/$AE39))</f>
        <v xml:space="preserve"> </v>
      </c>
      <c r="O39" s="771">
        <f>+O37-O38</f>
        <v>0</v>
      </c>
      <c r="P39" s="388" t="str">
        <f>IF($AE39&lt;1," ",IF(O39&lt;1," ",(O39)/$AE39))</f>
        <v xml:space="preserve"> </v>
      </c>
      <c r="Q39" s="771">
        <f>+Q37-Q38</f>
        <v>0</v>
      </c>
      <c r="R39" s="532" t="str">
        <f>IF($AE39&lt;1," ",IF(Q39&lt;1," ",(Q39)/$AE39))</f>
        <v xml:space="preserve"> </v>
      </c>
      <c r="S39" s="771">
        <f>+S37-S38</f>
        <v>0</v>
      </c>
      <c r="T39" s="388" t="str">
        <f>IF($AE39&lt;1," ",IF(S39&lt;1," ",(S39)/$AE39))</f>
        <v xml:space="preserve"> </v>
      </c>
      <c r="U39" s="771">
        <f>+U37-U38</f>
        <v>0</v>
      </c>
      <c r="V39" s="388" t="str">
        <f>IF($AE39&lt;1," ",IF(U39&lt;1," ",(U39)/$AE39))</f>
        <v xml:space="preserve"> </v>
      </c>
      <c r="W39" s="771">
        <f>+W37-W38</f>
        <v>0</v>
      </c>
      <c r="X39" s="388" t="str">
        <f>IF($AE39&lt;1," ",IF(W39&lt;1," ",(W39)/$AE39))</f>
        <v xml:space="preserve"> </v>
      </c>
      <c r="Y39" s="771">
        <f>+Y37-Y38</f>
        <v>0</v>
      </c>
      <c r="Z39" s="388" t="str">
        <f>IF($AE39&lt;1," ",IF(Y39&lt;1," ",(Y39)/$AE39))</f>
        <v xml:space="preserve"> </v>
      </c>
      <c r="AA39" s="771">
        <f>+AA37-AA38</f>
        <v>0</v>
      </c>
      <c r="AB39" s="388" t="str">
        <f>IF($AE39&lt;1," ",IF(AA39&lt;1," ",(AA39)/$AE39))</f>
        <v xml:space="preserve"> </v>
      </c>
      <c r="AC39" s="1602">
        <f>+AC37-AC38</f>
        <v>0</v>
      </c>
      <c r="AD39" s="773">
        <f>+AD37-AD38</f>
        <v>0</v>
      </c>
      <c r="AE39" s="773">
        <f>+AE37-AE38</f>
        <v>0</v>
      </c>
      <c r="AF39" s="773">
        <f>+AF37-AF38</f>
        <v>0</v>
      </c>
      <c r="AG39" s="1212"/>
    </row>
    <row r="40" spans="1:33" ht="15.75" customHeight="1">
      <c r="A40" s="409"/>
      <c r="B40" s="182"/>
      <c r="C40" s="22"/>
      <c r="D40" s="1865" t="s">
        <v>425</v>
      </c>
      <c r="E40" s="1047"/>
      <c r="F40" s="535" t="s">
        <v>426</v>
      </c>
      <c r="G40" s="393"/>
      <c r="H40" s="535" t="s">
        <v>426</v>
      </c>
      <c r="I40" s="393"/>
      <c r="J40" s="535" t="s">
        <v>426</v>
      </c>
      <c r="K40" s="393"/>
      <c r="L40" s="535" t="s">
        <v>426</v>
      </c>
      <c r="M40" s="393"/>
      <c r="N40" s="1050" t="s">
        <v>426</v>
      </c>
      <c r="O40" s="393"/>
      <c r="P40" s="198" t="s">
        <v>426</v>
      </c>
      <c r="Q40" s="393"/>
      <c r="R40" s="534" t="s">
        <v>426</v>
      </c>
      <c r="S40" s="393"/>
      <c r="T40" s="198" t="s">
        <v>426</v>
      </c>
      <c r="U40" s="393"/>
      <c r="V40" s="198" t="s">
        <v>426</v>
      </c>
      <c r="W40" s="393"/>
      <c r="X40" s="198" t="s">
        <v>426</v>
      </c>
      <c r="Y40" s="393"/>
      <c r="Z40" s="198" t="s">
        <v>426</v>
      </c>
      <c r="AA40" s="393"/>
      <c r="AB40" s="198" t="s">
        <v>426</v>
      </c>
      <c r="AC40" s="1604"/>
      <c r="AD40" s="1034"/>
      <c r="AE40" s="1813" t="s">
        <v>427</v>
      </c>
      <c r="AF40" s="1040"/>
    </row>
    <row r="41" spans="1:33" ht="15.75">
      <c r="A41" s="66" t="s">
        <v>428</v>
      </c>
      <c r="B41" s="180"/>
      <c r="C41" s="22"/>
      <c r="D41" s="1866"/>
      <c r="E41" s="1047"/>
      <c r="F41" s="535" t="s">
        <v>429</v>
      </c>
      <c r="G41" s="393"/>
      <c r="H41" s="535" t="s">
        <v>429</v>
      </c>
      <c r="I41" s="393"/>
      <c r="J41" s="535" t="s">
        <v>429</v>
      </c>
      <c r="K41" s="393"/>
      <c r="L41" s="535" t="s">
        <v>429</v>
      </c>
      <c r="M41" s="393"/>
      <c r="N41" s="1050" t="s">
        <v>429</v>
      </c>
      <c r="O41" s="393"/>
      <c r="P41" s="198" t="s">
        <v>429</v>
      </c>
      <c r="Q41" s="393"/>
      <c r="R41" s="535" t="s">
        <v>429</v>
      </c>
      <c r="S41" s="393"/>
      <c r="T41" s="198" t="s">
        <v>429</v>
      </c>
      <c r="U41" s="393"/>
      <c r="V41" s="198" t="s">
        <v>429</v>
      </c>
      <c r="W41" s="393"/>
      <c r="X41" s="198" t="s">
        <v>429</v>
      </c>
      <c r="Y41" s="393"/>
      <c r="Z41" s="198" t="s">
        <v>429</v>
      </c>
      <c r="AA41" s="393"/>
      <c r="AB41" s="198" t="s">
        <v>429</v>
      </c>
      <c r="AC41" s="1604"/>
      <c r="AD41" s="1034"/>
      <c r="AE41" s="1813"/>
      <c r="AF41" s="774"/>
    </row>
    <row r="42" spans="1:33" ht="15.75">
      <c r="A42" s="68"/>
      <c r="B42" s="182"/>
      <c r="C42" s="22"/>
      <c r="D42" s="1866"/>
      <c r="E42" s="1047"/>
      <c r="F42" s="536"/>
      <c r="G42" s="393"/>
      <c r="H42" s="536"/>
      <c r="I42" s="393"/>
      <c r="J42" s="536"/>
      <c r="K42" s="393"/>
      <c r="L42" s="536"/>
      <c r="M42" s="393"/>
      <c r="N42" s="1051"/>
      <c r="O42" s="393"/>
      <c r="P42" s="194"/>
      <c r="Q42" s="393"/>
      <c r="R42" s="536"/>
      <c r="S42" s="393"/>
      <c r="T42" s="194"/>
      <c r="U42" s="393"/>
      <c r="V42" s="194"/>
      <c r="W42" s="393"/>
      <c r="X42" s="194"/>
      <c r="Y42" s="393"/>
      <c r="Z42" s="194"/>
      <c r="AA42" s="393"/>
      <c r="AB42" s="194"/>
      <c r="AC42" s="1604"/>
      <c r="AD42" s="1034"/>
      <c r="AE42" s="1813"/>
      <c r="AF42" s="774"/>
    </row>
    <row r="43" spans="1:33" ht="15.75" customHeight="1">
      <c r="A43" s="411" t="s">
        <v>430</v>
      </c>
      <c r="B43" s="396"/>
      <c r="C43" s="623">
        <v>9210</v>
      </c>
      <c r="D43" s="1077"/>
      <c r="E43" s="511">
        <v>1558680</v>
      </c>
      <c r="F43" s="531" t="str">
        <f>IF($D43&lt;1," ",IF(E43&lt;1," ",(E43)/$D43))</f>
        <v xml:space="preserve"> </v>
      </c>
      <c r="G43" s="398">
        <v>162132</v>
      </c>
      <c r="H43" s="531" t="str">
        <f>IF($D43&lt;1," ",IF(G43&lt;1," ",(G43)/$D43))</f>
        <v xml:space="preserve"> </v>
      </c>
      <c r="I43" s="398">
        <v>162132</v>
      </c>
      <c r="J43" s="531" t="str">
        <f>IF($D43&lt;1," ",IF(I43&lt;1," ",(I43)/$D43))</f>
        <v xml:space="preserve"> </v>
      </c>
      <c r="K43" s="398"/>
      <c r="L43" s="531" t="str">
        <f>IF($D43&lt;1," ",IF(K43&lt;1," ",(K43)/$D43))</f>
        <v xml:space="preserve"> </v>
      </c>
      <c r="M43" s="398"/>
      <c r="N43" s="340" t="str">
        <f>IF($D43&lt;1," ",IF(M43&lt;1," ",(M43)/$D43))</f>
        <v xml:space="preserve"> </v>
      </c>
      <c r="O43" s="398"/>
      <c r="P43" s="340" t="str">
        <f>IF($D43&lt;1," ",IF(O43&lt;1," ",(O43)/$D43))</f>
        <v xml:space="preserve"> </v>
      </c>
      <c r="Q43" s="398"/>
      <c r="R43" s="531" t="str">
        <f>IF($D43&lt;1," ",IF(Q43&lt;1," ",(Q43)/$D43))</f>
        <v xml:space="preserve"> </v>
      </c>
      <c r="S43" s="398"/>
      <c r="T43" s="340" t="str">
        <f>IF($D43&lt;1," ",IF(S43&lt;1," ",(S43)/$D43))</f>
        <v xml:space="preserve"> </v>
      </c>
      <c r="U43" s="398"/>
      <c r="V43" s="340" t="str">
        <f>IF($D43&lt;1," ",IF(U43&lt;1," ",(U43)/$D43))</f>
        <v xml:space="preserve"> </v>
      </c>
      <c r="W43" s="398"/>
      <c r="X43" s="340" t="str">
        <f>IF($D43&lt;1," ",IF(W43&lt;1," ",(W43)/$D43))</f>
        <v xml:space="preserve"> </v>
      </c>
      <c r="Y43" s="398"/>
      <c r="Z43" s="340" t="str">
        <f>IF($D43&lt;1," ",IF(Y43&lt;1," ",(Y43)/$D43))</f>
        <v xml:space="preserve"> </v>
      </c>
      <c r="AA43" s="398"/>
      <c r="AB43" s="340" t="str">
        <f>IF($D43&lt;1," ",IF(AA43&lt;1," ",(AA43)/$D43))</f>
        <v xml:space="preserve"> </v>
      </c>
      <c r="AC43" s="1605"/>
      <c r="AD43" s="1608">
        <f>+E43+G43+I43+K43+M43+O43+Q43+S43+U43+W43+Y43+AA43</f>
        <v>1882944</v>
      </c>
      <c r="AE43" s="399">
        <f>D43-AD43</f>
        <v>-1882944</v>
      </c>
      <c r="AF43" s="774"/>
      <c r="AG43" s="1609" t="str">
        <f>IF(AD43=D43,"","Prior Year Transactions should be zero'd out by Year End")</f>
        <v>Prior Year Transactions should be zero'd out by Year End</v>
      </c>
    </row>
    <row r="44" spans="1:33" ht="15.75">
      <c r="A44" s="411" t="s">
        <v>292</v>
      </c>
      <c r="B44" s="396"/>
      <c r="C44" s="623">
        <v>9330</v>
      </c>
      <c r="D44" s="1077"/>
      <c r="E44" s="511"/>
      <c r="F44" s="531" t="str">
        <f>IF($D44&lt;1," ",IF(E44&lt;1," ",(E44)/$D44))</f>
        <v xml:space="preserve"> </v>
      </c>
      <c r="G44" s="398"/>
      <c r="H44" s="531" t="str">
        <f>IF($D44&lt;1," ",IF(G44&lt;1," ",(G44)/$D44))</f>
        <v xml:space="preserve"> </v>
      </c>
      <c r="I44" s="398"/>
      <c r="J44" s="531" t="str">
        <f>IF($D44&lt;1," ",IF(I44&lt;1," ",(I44)/$D44))</f>
        <v xml:space="preserve"> </v>
      </c>
      <c r="K44" s="398"/>
      <c r="L44" s="531" t="str">
        <f>IF($D44&lt;1," ",IF(K44&lt;1," ",(K44)/$D44))</f>
        <v xml:space="preserve"> </v>
      </c>
      <c r="M44" s="398"/>
      <c r="N44" s="340" t="str">
        <f>IF($D44&lt;1," ",IF(M44&lt;1," ",(M44)/$D44))</f>
        <v xml:space="preserve"> </v>
      </c>
      <c r="O44" s="398"/>
      <c r="P44" s="340" t="str">
        <f>IF($D44&lt;1," ",IF(O44&lt;1," ",(O44)/$D44))</f>
        <v xml:space="preserve"> </v>
      </c>
      <c r="Q44" s="398"/>
      <c r="R44" s="531" t="str">
        <f>IF($D44&lt;1," ",IF(Q44&lt;1," ",(Q44)/$D44))</f>
        <v xml:space="preserve"> </v>
      </c>
      <c r="S44" s="398"/>
      <c r="T44" s="340" t="str">
        <f>IF($D44&lt;1," ",IF(S44&lt;1," ",(S44)/$D44))</f>
        <v xml:space="preserve"> </v>
      </c>
      <c r="U44" s="398"/>
      <c r="V44" s="340" t="str">
        <f>IF($D44&lt;1," ",IF(U44&lt;1," ",(U44)/$D44))</f>
        <v xml:space="preserve"> </v>
      </c>
      <c r="W44" s="398"/>
      <c r="X44" s="340" t="str">
        <f>IF($D44&lt;1," ",IF(W44&lt;1," ",(W44)/$D44))</f>
        <v xml:space="preserve"> </v>
      </c>
      <c r="Y44" s="398"/>
      <c r="Z44" s="340" t="str">
        <f>IF($D44&lt;1," ",IF(Y44&lt;1," ",(Y44)/$D44))</f>
        <v xml:space="preserve"> </v>
      </c>
      <c r="AA44" s="398"/>
      <c r="AB44" s="340" t="str">
        <f>IF($D44&lt;1," ",IF(AA44&lt;1," ",(AA44)/$D44))</f>
        <v xml:space="preserve"> </v>
      </c>
      <c r="AC44" s="1605"/>
      <c r="AD44" s="1608">
        <f>+E44+G44+I44+K44+M44+O44+Q44+S44+U44+W44+Y44+AA44</f>
        <v>0</v>
      </c>
      <c r="AE44" s="399">
        <f>D44-AD44</f>
        <v>0</v>
      </c>
      <c r="AF44" s="774"/>
      <c r="AG44" s="1609" t="str">
        <f>IF(AD44=D44,"","Prior Year Transactions should be zero'd out by Year End")</f>
        <v/>
      </c>
    </row>
    <row r="45" spans="1:33" ht="15.75">
      <c r="A45" s="411" t="s">
        <v>431</v>
      </c>
      <c r="B45" s="396"/>
      <c r="C45" s="623">
        <v>9510</v>
      </c>
      <c r="D45" s="1077"/>
      <c r="E45" s="511">
        <v>1291420</v>
      </c>
      <c r="F45" s="531" t="str">
        <f>IF($D45&lt;1," ",IF(E45&lt;1," ",(E45)/$D45))</f>
        <v xml:space="preserve"> </v>
      </c>
      <c r="G45" s="398"/>
      <c r="H45" s="531" t="str">
        <f>IF($D45&lt;1," ",IF(G45&lt;1," ",(G45)/$D45))</f>
        <v xml:space="preserve"> </v>
      </c>
      <c r="I45" s="398">
        <v>135000</v>
      </c>
      <c r="J45" s="531" t="str">
        <f>IF($D45&lt;1," ",IF(I45&lt;1," ",(I45)/$D45))</f>
        <v xml:space="preserve"> </v>
      </c>
      <c r="K45" s="398"/>
      <c r="L45" s="531" t="str">
        <f>IF($D45&lt;1," ",IF(K45&lt;1," ",(K45)/$D45))</f>
        <v xml:space="preserve"> </v>
      </c>
      <c r="M45" s="398">
        <v>-75000</v>
      </c>
      <c r="N45" s="340" t="str">
        <f>IF($D45&lt;1," ",IF(M45&lt;1," ",(M45)/$D45))</f>
        <v xml:space="preserve"> </v>
      </c>
      <c r="O45" s="398">
        <v>75000</v>
      </c>
      <c r="P45" s="340" t="str">
        <f>IF($D45&lt;1," ",IF(O45&lt;1," ",(O45)/$D45))</f>
        <v xml:space="preserve"> </v>
      </c>
      <c r="Q45" s="398"/>
      <c r="R45" s="531" t="str">
        <f>IF($D45&lt;1," ",IF(Q45&lt;1," ",(Q45)/$D45))</f>
        <v xml:space="preserve"> </v>
      </c>
      <c r="S45" s="398"/>
      <c r="T45" s="340" t="str">
        <f>IF($D45&lt;1," ",IF(S45&lt;1," ",(S45)/$D45))</f>
        <v xml:space="preserve"> </v>
      </c>
      <c r="U45" s="398"/>
      <c r="V45" s="340" t="str">
        <f>IF($D45&lt;1," ",IF(U45&lt;1," ",(U45)/$D45))</f>
        <v xml:space="preserve"> </v>
      </c>
      <c r="W45" s="398"/>
      <c r="X45" s="340" t="str">
        <f>IF($D45&lt;1," ",IF(W45&lt;1," ",(W45)/$D45))</f>
        <v xml:space="preserve"> </v>
      </c>
      <c r="Y45" s="398"/>
      <c r="Z45" s="340" t="str">
        <f>IF($D45&lt;1," ",IF(Y45&lt;1," ",(Y45)/$D45))</f>
        <v xml:space="preserve"> </v>
      </c>
      <c r="AA45" s="398"/>
      <c r="AB45" s="340" t="str">
        <f>IF($D45&lt;1," ",IF(AA45&lt;1," ",(AA45)/$D45))</f>
        <v xml:space="preserve"> </v>
      </c>
      <c r="AC45" s="1605"/>
      <c r="AD45" s="1608">
        <f>+E45+G45+I45+K45+M45+O45+Q45+S45+U45+W45+Y45+AA45</f>
        <v>1426420</v>
      </c>
      <c r="AE45" s="399">
        <f>D45-AD45</f>
        <v>-1426420</v>
      </c>
      <c r="AF45" s="774"/>
      <c r="AG45" s="1609" t="str">
        <f>IF(AD45=D45,"","Prior Year Transactions should be zero'd out by Year End")</f>
        <v>Prior Year Transactions should be zero'd out by Year End</v>
      </c>
    </row>
    <row r="46" spans="1:33" ht="15.75">
      <c r="A46" s="411" t="s">
        <v>432</v>
      </c>
      <c r="B46" s="396"/>
      <c r="C46" s="624">
        <v>9640</v>
      </c>
      <c r="D46" s="1078"/>
      <c r="E46" s="511"/>
      <c r="F46" s="531" t="str">
        <f>IF($D46&lt;1," ",IF(E46&lt;1," ",(E46)/$D46))</f>
        <v xml:space="preserve"> </v>
      </c>
      <c r="G46" s="398"/>
      <c r="H46" s="531" t="str">
        <f>IF($D46&lt;1," ",IF(G46&lt;1," ",(G46)/$D46))</f>
        <v xml:space="preserve"> </v>
      </c>
      <c r="I46" s="398"/>
      <c r="J46" s="531" t="str">
        <f>IF($D46&lt;1," ",IF(I46&lt;1," ",(I46)/$D46))</f>
        <v xml:space="preserve"> </v>
      </c>
      <c r="K46" s="398"/>
      <c r="L46" s="531" t="str">
        <f>IF($D46&lt;1," ",IF(K46&lt;1," ",(K46)/$D46))</f>
        <v xml:space="preserve"> </v>
      </c>
      <c r="M46" s="398"/>
      <c r="N46" s="340" t="str">
        <f>IF($D46&lt;1," ",IF(M46&lt;1," ",(M46)/$D46))</f>
        <v xml:space="preserve"> </v>
      </c>
      <c r="O46" s="398"/>
      <c r="P46" s="340" t="str">
        <f>IF($D46&lt;1," ",IF(O46&lt;1," ",(O46)/$D46))</f>
        <v xml:space="preserve"> </v>
      </c>
      <c r="Q46" s="398"/>
      <c r="R46" s="531" t="str">
        <f>IF($D46&lt;1," ",IF(Q46&lt;1," ",(Q46)/$D46))</f>
        <v xml:space="preserve"> </v>
      </c>
      <c r="S46" s="398"/>
      <c r="T46" s="340" t="str">
        <f>IF($D46&lt;1," ",IF(S46&lt;1," ",(S46)/$D46))</f>
        <v xml:space="preserve"> </v>
      </c>
      <c r="U46" s="398"/>
      <c r="V46" s="340" t="str">
        <f>IF($D46&lt;1," ",IF(U46&lt;1," ",(U46)/$D46))</f>
        <v xml:space="preserve"> </v>
      </c>
      <c r="W46" s="398"/>
      <c r="X46" s="340" t="str">
        <f>IF($D46&lt;1," ",IF(W46&lt;1," ",(W46)/$D46))</f>
        <v xml:space="preserve"> </v>
      </c>
      <c r="Y46" s="398"/>
      <c r="Z46" s="340" t="str">
        <f>IF($D46&lt;1," ",IF(Y46&lt;1," ",(Y46)/$D46))</f>
        <v xml:space="preserve"> </v>
      </c>
      <c r="AA46" s="398"/>
      <c r="AB46" s="340" t="str">
        <f>IF($D46&lt;1," ",IF(AA46&lt;1," ",(AA46)/$D46))</f>
        <v xml:space="preserve"> </v>
      </c>
      <c r="AC46" s="1605"/>
      <c r="AD46" s="1608">
        <f>+E46+G46+I46+K46+M46+O46+Q46+S46+U46+W46+Y46+AA46</f>
        <v>0</v>
      </c>
      <c r="AE46" s="399">
        <f>D46-AD46</f>
        <v>0</v>
      </c>
      <c r="AF46" s="774"/>
      <c r="AG46" s="1609" t="str">
        <f>IF(AD46=D46,"","Prior Year Transactions should be zero'd out by Year End")</f>
        <v/>
      </c>
    </row>
    <row r="47" spans="1:33" ht="15.75">
      <c r="A47" s="411" t="s">
        <v>433</v>
      </c>
      <c r="B47" s="396"/>
      <c r="C47" s="623">
        <v>9650</v>
      </c>
      <c r="D47" s="1077"/>
      <c r="E47" s="511"/>
      <c r="F47" s="531" t="str">
        <f>IF($D47&lt;1," ",IF(E47&lt;1," ",(E47)/$D47))</f>
        <v xml:space="preserve"> </v>
      </c>
      <c r="G47" s="398"/>
      <c r="H47" s="531" t="str">
        <f>IF($D47&lt;1," ",IF(G47&lt;1," ",(G47)/$D47))</f>
        <v xml:space="preserve"> </v>
      </c>
      <c r="I47" s="398"/>
      <c r="J47" s="531" t="str">
        <f>IF($D47&lt;1," ",IF(I47&lt;1," ",(I47)/$D47))</f>
        <v xml:space="preserve"> </v>
      </c>
      <c r="K47" s="398"/>
      <c r="L47" s="531" t="str">
        <f>IF($D47&lt;1," ",IF(K47&lt;1," ",(K47)/$D47))</f>
        <v xml:space="preserve"> </v>
      </c>
      <c r="M47" s="398"/>
      <c r="N47" s="340" t="str">
        <f>IF($D47&lt;1," ",IF(M47&lt;1," ",(M47)/$D47))</f>
        <v xml:space="preserve"> </v>
      </c>
      <c r="O47" s="398"/>
      <c r="P47" s="340" t="str">
        <f>IF($D47&lt;1," ",IF(O47&lt;1," ",(O47)/$D47))</f>
        <v xml:space="preserve"> </v>
      </c>
      <c r="Q47" s="398"/>
      <c r="R47" s="531" t="str">
        <f>IF($D47&lt;1," ",IF(Q47&lt;1," ",(Q47)/$D47))</f>
        <v xml:space="preserve"> </v>
      </c>
      <c r="S47" s="398"/>
      <c r="T47" s="340" t="str">
        <f>IF($D47&lt;1," ",IF(S47&lt;1," ",(S47)/$D47))</f>
        <v xml:space="preserve"> </v>
      </c>
      <c r="U47" s="398"/>
      <c r="V47" s="340" t="str">
        <f>IF($D47&lt;1," ",IF(U47&lt;1," ",(U47)/$D47))</f>
        <v xml:space="preserve"> </v>
      </c>
      <c r="W47" s="398"/>
      <c r="X47" s="340" t="str">
        <f>IF($D47&lt;1," ",IF(W47&lt;1," ",(W47)/$D47))</f>
        <v xml:space="preserve"> </v>
      </c>
      <c r="Y47" s="398"/>
      <c r="Z47" s="340" t="str">
        <f>IF($D47&lt;1," ",IF(Y47&lt;1," ",(Y47)/$D47))</f>
        <v xml:space="preserve"> </v>
      </c>
      <c r="AA47" s="398"/>
      <c r="AB47" s="340" t="str">
        <f>IF($D47&lt;1," ",IF(AA47&lt;1," ",(AA47)/$D47))</f>
        <v xml:space="preserve"> </v>
      </c>
      <c r="AC47" s="1605"/>
      <c r="AD47" s="1608">
        <f>+E47+G47+I47+K47+M47+O47+Q47+S47+U47+W47+Y47+AA47</f>
        <v>0</v>
      </c>
      <c r="AE47" s="399">
        <f>D47-AD47</f>
        <v>0</v>
      </c>
      <c r="AF47" s="774"/>
      <c r="AG47" s="1609" t="str">
        <f>IF(AD47=D47,"","Prior Year Transactions should be zero'd out by Year End")</f>
        <v/>
      </c>
    </row>
    <row r="48" spans="1:33" ht="16.5" thickBot="1">
      <c r="A48" s="69" t="s">
        <v>434</v>
      </c>
      <c r="B48" s="369"/>
      <c r="C48" s="70"/>
      <c r="D48" s="1079">
        <f>+D43+D44-D45-D46-D47</f>
        <v>0</v>
      </c>
      <c r="E48" s="1044">
        <f>+E43+E44-E45-E46-E47</f>
        <v>267260</v>
      </c>
      <c r="F48" s="537"/>
      <c r="G48" s="1053">
        <f>+G43+G44-G45-G46-G47</f>
        <v>162132</v>
      </c>
      <c r="H48" s="537"/>
      <c r="I48" s="1053">
        <f>+I43+I44-I45-I46-I47</f>
        <v>27132</v>
      </c>
      <c r="J48" s="537"/>
      <c r="K48" s="1053">
        <f>+K43+K44-K45-K46-K47</f>
        <v>0</v>
      </c>
      <c r="L48" s="537"/>
      <c r="M48" s="1053">
        <f>+M43+M44-M45-M46-M47</f>
        <v>75000</v>
      </c>
      <c r="N48" s="197"/>
      <c r="O48" s="1053">
        <f>+O43+O44-O45-O46-O47</f>
        <v>-75000</v>
      </c>
      <c r="P48" s="197"/>
      <c r="Q48" s="1053">
        <f>+Q43+Q44-Q45-Q46-Q47</f>
        <v>0</v>
      </c>
      <c r="R48" s="537"/>
      <c r="S48" s="1053">
        <f>+S43+S44-S45-S46-S47</f>
        <v>0</v>
      </c>
      <c r="T48" s="197"/>
      <c r="U48" s="1053">
        <f>+U43+U44-U45-U46-U47</f>
        <v>0</v>
      </c>
      <c r="V48" s="197"/>
      <c r="W48" s="1053">
        <f>+W43+W44-W45-W46-W47</f>
        <v>0</v>
      </c>
      <c r="X48" s="197"/>
      <c r="Y48" s="1053">
        <f>+Y43+Y44-Y45-Y46-Y47</f>
        <v>0</v>
      </c>
      <c r="Z48" s="197"/>
      <c r="AA48" s="1053">
        <f>+AA43+AA44-AA45-AA46-AA47</f>
        <v>0</v>
      </c>
      <c r="AB48" s="197"/>
      <c r="AC48" s="1602"/>
      <c r="AD48" s="773">
        <f>+AD43+AD44-AD45-AD46-AD47</f>
        <v>456524</v>
      </c>
      <c r="AE48" s="773">
        <f>+AE43+AE44-AE45-AE46-AE47</f>
        <v>-456524</v>
      </c>
      <c r="AF48" s="1041"/>
    </row>
    <row r="49" spans="1:33" ht="15.75">
      <c r="A49" s="407"/>
      <c r="B49" s="370"/>
      <c r="C49" s="71"/>
      <c r="D49" s="527"/>
      <c r="E49" s="192"/>
      <c r="F49" s="196"/>
      <c r="G49" s="192"/>
      <c r="H49" s="196"/>
      <c r="I49" s="192"/>
      <c r="J49" s="196"/>
      <c r="K49" s="192"/>
      <c r="L49" s="1063"/>
      <c r="M49" s="1066"/>
      <c r="N49" s="196"/>
      <c r="O49" s="192"/>
      <c r="P49" s="196"/>
      <c r="Q49" s="192"/>
      <c r="R49" s="1063"/>
      <c r="S49" s="1066"/>
      <c r="T49" s="196"/>
      <c r="U49" s="192"/>
      <c r="V49" s="196"/>
      <c r="W49" s="192"/>
      <c r="X49" s="196"/>
      <c r="Y49" s="192"/>
      <c r="Z49" s="196"/>
      <c r="AA49" s="192"/>
      <c r="AB49" s="196"/>
      <c r="AC49" s="1023"/>
      <c r="AD49" s="1023"/>
      <c r="AE49" s="1023"/>
      <c r="AF49" s="1039"/>
    </row>
    <row r="50" spans="1:33" ht="15.75">
      <c r="A50" s="66" t="s">
        <v>435</v>
      </c>
      <c r="B50" s="180"/>
      <c r="C50" s="373"/>
      <c r="D50" s="1073"/>
      <c r="E50" s="525"/>
      <c r="F50" s="530"/>
      <c r="G50" s="525"/>
      <c r="H50" s="530"/>
      <c r="I50" s="525"/>
      <c r="J50" s="530"/>
      <c r="K50" s="525"/>
      <c r="L50" s="1067"/>
      <c r="M50" s="1062"/>
      <c r="N50" s="530"/>
      <c r="O50" s="525"/>
      <c r="P50" s="530"/>
      <c r="Q50" s="525"/>
      <c r="R50" s="1067"/>
      <c r="S50" s="1062"/>
      <c r="T50" s="530"/>
      <c r="U50" s="525"/>
      <c r="V50" s="530"/>
      <c r="W50" s="525"/>
      <c r="X50" s="530"/>
      <c r="Y50" s="525"/>
      <c r="Z50" s="530"/>
      <c r="AA50" s="525"/>
      <c r="AB50" s="530"/>
      <c r="AC50" s="1027"/>
      <c r="AD50" s="1027"/>
      <c r="AE50" s="1027"/>
      <c r="AF50" s="1035"/>
    </row>
    <row r="51" spans="1:33" ht="15.75">
      <c r="A51" s="1806"/>
      <c r="B51" s="1807"/>
      <c r="C51" s="376"/>
      <c r="D51" s="1070"/>
      <c r="E51" s="511"/>
      <c r="F51" s="531" t="str">
        <f>IF($AE51&lt;1," ",IF(E51&lt;1," ",(E51)/$AE51))</f>
        <v xml:space="preserve"> </v>
      </c>
      <c r="G51" s="398"/>
      <c r="H51" s="531" t="str">
        <f>IF($AE51&lt;1," ",IF(G51&lt;1," ",(G51)/$AE51))</f>
        <v xml:space="preserve"> </v>
      </c>
      <c r="I51" s="398"/>
      <c r="J51" s="531" t="str">
        <f>IF($AE51&lt;1," ",IF(I51&lt;1," ",(I51)/$AE51))</f>
        <v xml:space="preserve"> </v>
      </c>
      <c r="K51" s="398"/>
      <c r="L51" s="531" t="str">
        <f>IF($AE51&lt;1," ",IF(K51&lt;1," ",(K51)/$AE51))</f>
        <v xml:space="preserve"> </v>
      </c>
      <c r="M51" s="398"/>
      <c r="N51" s="340" t="str">
        <f>IF($AE51&lt;1," ",IF(M51&lt;1," ",(M51)/$AE51))</f>
        <v xml:space="preserve"> </v>
      </c>
      <c r="O51" s="398"/>
      <c r="P51" s="340" t="str">
        <f>IF($AE51&lt;1," ",IF(O51&lt;1," ",(O51)/$AE51))</f>
        <v xml:space="preserve"> </v>
      </c>
      <c r="Q51" s="398"/>
      <c r="R51" s="531" t="str">
        <f>IF($AE51&lt;1," ",IF(Q51&lt;1," ",(Q51)/$AE51))</f>
        <v xml:space="preserve"> </v>
      </c>
      <c r="S51" s="398"/>
      <c r="T51" s="340" t="str">
        <f>IF($AE51&lt;1," ",IF(S51&lt;1," ",(S51)/$AE51))</f>
        <v xml:space="preserve"> </v>
      </c>
      <c r="U51" s="398"/>
      <c r="V51" s="340" t="str">
        <f>IF($AE51&lt;1," ",IF(U51&lt;1," ",(U51)/$AE51))</f>
        <v xml:space="preserve"> </v>
      </c>
      <c r="W51" s="398"/>
      <c r="X51" s="340" t="str">
        <f>IF($AE51&lt;1," ",IF(W51&lt;1," ",(W51)/$AE51))</f>
        <v xml:space="preserve"> </v>
      </c>
      <c r="Y51" s="398"/>
      <c r="Z51" s="340" t="str">
        <f>IF($AE51&lt;1," ",IF(Y51&lt;1," ",(Y51)/$AE51))</f>
        <v xml:space="preserve"> </v>
      </c>
      <c r="AA51" s="398"/>
      <c r="AB51" s="340" t="str">
        <f>IF($AE51&lt;1," ",IF(AA51&lt;1," ",(AA51)/$AE51))</f>
        <v xml:space="preserve"> </v>
      </c>
      <c r="AC51" s="1605"/>
      <c r="AD51" s="379">
        <f>+E51+G51+I51+K51+M51+O51+Q51+S51+U51+W51+Y51+AA51+AC51</f>
        <v>0</v>
      </c>
      <c r="AE51" s="775"/>
      <c r="AF51" s="776"/>
      <c r="AG51" s="1212"/>
    </row>
    <row r="52" spans="1:33" ht="15.75">
      <c r="A52" s="1806"/>
      <c r="B52" s="1807"/>
      <c r="C52" s="395"/>
      <c r="D52" s="1076"/>
      <c r="E52" s="511"/>
      <c r="F52" s="531" t="str">
        <f>IF($AE52&lt;1," ",IF(E52&lt;1," ",(E52)/$AE52))</f>
        <v xml:space="preserve"> </v>
      </c>
      <c r="G52" s="398"/>
      <c r="H52" s="531" t="str">
        <f>IF($AE52&lt;1," ",IF(G52&lt;1," ",(G52)/$AE52))</f>
        <v xml:space="preserve"> </v>
      </c>
      <c r="I52" s="398"/>
      <c r="J52" s="531" t="str">
        <f>IF($AE52&lt;1," ",IF(I52&lt;1," ",(I52)/$AE52))</f>
        <v xml:space="preserve"> </v>
      </c>
      <c r="K52" s="398"/>
      <c r="L52" s="531" t="str">
        <f>IF($AE52&lt;1," ",IF(K52&lt;1," ",(K52)/$AE52))</f>
        <v xml:space="preserve"> </v>
      </c>
      <c r="M52" s="398"/>
      <c r="N52" s="340" t="str">
        <f>IF($AE52&lt;1," ",IF(M52&lt;1," ",(M52)/$AE52))</f>
        <v xml:space="preserve"> </v>
      </c>
      <c r="O52" s="398"/>
      <c r="P52" s="340" t="str">
        <f>IF($AE52&lt;1," ",IF(O52&lt;1," ",(O52)/$AE52))</f>
        <v xml:space="preserve"> </v>
      </c>
      <c r="Q52" s="398"/>
      <c r="R52" s="531" t="str">
        <f>IF($AE52&lt;1," ",IF(Q52&lt;1," ",(Q52)/$AE52))</f>
        <v xml:space="preserve"> </v>
      </c>
      <c r="S52" s="398"/>
      <c r="T52" s="340" t="str">
        <f>IF($AE52&lt;1," ",IF(S52&lt;1," ",(S52)/$AE52))</f>
        <v xml:space="preserve"> </v>
      </c>
      <c r="U52" s="398"/>
      <c r="V52" s="340" t="str">
        <f>IF($AE52&lt;1," ",IF(U52&lt;1," ",(U52)/$AE52))</f>
        <v xml:space="preserve"> </v>
      </c>
      <c r="W52" s="398"/>
      <c r="X52" s="340" t="str">
        <f>IF($AE52&lt;1," ",IF(W52&lt;1," ",(W52)/$AE52))</f>
        <v xml:space="preserve"> </v>
      </c>
      <c r="Y52" s="398"/>
      <c r="Z52" s="340" t="str">
        <f>IF($AE52&lt;1," ",IF(Y52&lt;1," ",(Y52)/$AE52))</f>
        <v xml:space="preserve"> </v>
      </c>
      <c r="AA52" s="398"/>
      <c r="AB52" s="340" t="str">
        <f>IF($AE52&lt;1," ",IF(AA52&lt;1," ",(AA52)/$AE52))</f>
        <v xml:space="preserve"> </v>
      </c>
      <c r="AC52" s="1605"/>
      <c r="AD52" s="379">
        <f>+E52+G52+I52+K52+M52+O52+Q52+S52+U52+W52+Y52+AA52+AC52</f>
        <v>0</v>
      </c>
      <c r="AE52" s="777"/>
      <c r="AF52" s="778"/>
      <c r="AG52" s="1240"/>
    </row>
    <row r="53" spans="1:33" ht="15.75">
      <c r="A53" s="1806"/>
      <c r="B53" s="1807"/>
      <c r="C53" s="376"/>
      <c r="D53" s="1070"/>
      <c r="E53" s="511"/>
      <c r="F53" s="531" t="str">
        <f>IF($AE53&lt;1," ",IF(E53&lt;1," ",(E53)/$AE53))</f>
        <v xml:space="preserve"> </v>
      </c>
      <c r="G53" s="398"/>
      <c r="H53" s="531" t="str">
        <f>IF($AE53&lt;1," ",IF(G53&lt;1," ",(G53)/$AE53))</f>
        <v xml:space="preserve"> </v>
      </c>
      <c r="I53" s="398"/>
      <c r="J53" s="531" t="str">
        <f>IF($AE53&lt;1," ",IF(I53&lt;1," ",(I53)/$AE53))</f>
        <v xml:space="preserve"> </v>
      </c>
      <c r="K53" s="398"/>
      <c r="L53" s="531" t="str">
        <f>IF($AE53&lt;1," ",IF(K53&lt;1," ",(K53)/$AE53))</f>
        <v xml:space="preserve"> </v>
      </c>
      <c r="M53" s="398"/>
      <c r="N53" s="340" t="str">
        <f>IF($AE53&lt;1," ",IF(M53&lt;1," ",(M53)/$AE53))</f>
        <v xml:space="preserve"> </v>
      </c>
      <c r="O53" s="398"/>
      <c r="P53" s="340" t="str">
        <f>IF($AE53&lt;1," ",IF(O53&lt;1," ",(O53)/$AE53))</f>
        <v xml:space="preserve"> </v>
      </c>
      <c r="Q53" s="398"/>
      <c r="R53" s="531" t="str">
        <f>IF($AE53&lt;1," ",IF(Q53&lt;1," ",(Q53)/$AE53))</f>
        <v xml:space="preserve"> </v>
      </c>
      <c r="S53" s="398"/>
      <c r="T53" s="340" t="str">
        <f>IF($AE53&lt;1," ",IF(S53&lt;1," ",(S53)/$AE53))</f>
        <v xml:space="preserve"> </v>
      </c>
      <c r="U53" s="398"/>
      <c r="V53" s="340" t="str">
        <f>IF($AE53&lt;1," ",IF(U53&lt;1," ",(U53)/$AE53))</f>
        <v xml:space="preserve"> </v>
      </c>
      <c r="W53" s="398"/>
      <c r="X53" s="340" t="str">
        <f>IF($AE53&lt;1," ",IF(W53&lt;1," ",(W53)/$AE53))</f>
        <v xml:space="preserve"> </v>
      </c>
      <c r="Y53" s="398"/>
      <c r="Z53" s="340" t="str">
        <f>IF($AE53&lt;1," ",IF(Y53&lt;1," ",(Y53)/$AE53))</f>
        <v xml:space="preserve"> </v>
      </c>
      <c r="AA53" s="398"/>
      <c r="AB53" s="340" t="str">
        <f>IF($AE53&lt;1," ",IF(AA53&lt;1," ",(AA53)/$AE53))</f>
        <v xml:space="preserve"> </v>
      </c>
      <c r="AC53" s="1605"/>
      <c r="AD53" s="379">
        <f>+E53+G53+I53+K53+M53+O53+Q53+S53+U53+W53+Y53+AA53+AC53</f>
        <v>0</v>
      </c>
      <c r="AE53" s="777"/>
      <c r="AF53" s="778"/>
      <c r="AG53" s="1240"/>
    </row>
    <row r="54" spans="1:33" ht="15.75">
      <c r="A54" s="1806"/>
      <c r="B54" s="1807"/>
      <c r="C54" s="376"/>
      <c r="D54" s="1070"/>
      <c r="E54" s="511"/>
      <c r="F54" s="531" t="str">
        <f>IF($AE54&lt;1," ",IF(E54&lt;1," ",(E54)/$AE54))</f>
        <v xml:space="preserve"> </v>
      </c>
      <c r="G54" s="398"/>
      <c r="H54" s="531" t="str">
        <f>IF($AE54&lt;1," ",IF(G54&lt;1," ",(G54)/$AE54))</f>
        <v xml:space="preserve"> </v>
      </c>
      <c r="I54" s="398"/>
      <c r="J54" s="531" t="str">
        <f>IF($AE54&lt;1," ",IF(I54&lt;1," ",(I54)/$AE54))</f>
        <v xml:space="preserve"> </v>
      </c>
      <c r="K54" s="398"/>
      <c r="L54" s="531" t="str">
        <f>IF($AE54&lt;1," ",IF(K54&lt;1," ",(K54)/$AE54))</f>
        <v xml:space="preserve"> </v>
      </c>
      <c r="M54" s="398"/>
      <c r="N54" s="340" t="str">
        <f>IF($AE54&lt;1," ",IF(M54&lt;1," ",(M54)/$AE54))</f>
        <v xml:space="preserve"> </v>
      </c>
      <c r="O54" s="398"/>
      <c r="P54" s="340" t="str">
        <f>IF($AE54&lt;1," ",IF(O54&lt;1," ",(O54)/$AE54))</f>
        <v xml:space="preserve"> </v>
      </c>
      <c r="Q54" s="398"/>
      <c r="R54" s="531" t="str">
        <f>IF($AE54&lt;1," ",IF(Q54&lt;1," ",(Q54)/$AE54))</f>
        <v xml:space="preserve"> </v>
      </c>
      <c r="S54" s="398"/>
      <c r="T54" s="340" t="str">
        <f>IF($AE54&lt;1," ",IF(S54&lt;1," ",(S54)/$AE54))</f>
        <v xml:space="preserve"> </v>
      </c>
      <c r="U54" s="398"/>
      <c r="V54" s="340" t="str">
        <f>IF($AE54&lt;1," ",IF(U54&lt;1," ",(U54)/$AE54))</f>
        <v xml:space="preserve"> </v>
      </c>
      <c r="W54" s="398"/>
      <c r="X54" s="340" t="str">
        <f>IF($AE54&lt;1," ",IF(W54&lt;1," ",(W54)/$AE54))</f>
        <v xml:space="preserve"> </v>
      </c>
      <c r="Y54" s="398"/>
      <c r="Z54" s="340" t="str">
        <f>IF($AE54&lt;1," ",IF(Y54&lt;1," ",(Y54)/$AE54))</f>
        <v xml:space="preserve"> </v>
      </c>
      <c r="AA54" s="398"/>
      <c r="AB54" s="340" t="str">
        <f>IF($AE54&lt;1," ",IF(AA54&lt;1," ",(AA54)/$AE54))</f>
        <v xml:space="preserve"> </v>
      </c>
      <c r="AC54" s="1605"/>
      <c r="AD54" s="379">
        <f>+E54+G54+I54+K54+M54+O54+Q54+S54+U54+W54+Y54+AA54+AC54</f>
        <v>0</v>
      </c>
      <c r="AE54" s="777"/>
      <c r="AF54" s="778"/>
      <c r="AG54" s="1212"/>
    </row>
    <row r="55" spans="1:33" ht="15.75">
      <c r="A55" s="1806"/>
      <c r="B55" s="1807"/>
      <c r="C55" s="376"/>
      <c r="D55" s="1070"/>
      <c r="E55" s="511"/>
      <c r="F55" s="531" t="str">
        <f>IF($AE55&lt;1," ",IF(E55&lt;1," ",(E55)/$AE55))</f>
        <v xml:space="preserve"> </v>
      </c>
      <c r="G55" s="398"/>
      <c r="H55" s="531" t="str">
        <f>IF($AE55&lt;1," ",IF(G55&lt;1," ",(G55)/$AE55))</f>
        <v xml:space="preserve"> </v>
      </c>
      <c r="I55" s="398"/>
      <c r="J55" s="531" t="str">
        <f>IF($AE55&lt;1," ",IF(I55&lt;1," ",(I55)/$AE55))</f>
        <v xml:space="preserve"> </v>
      </c>
      <c r="K55" s="398"/>
      <c r="L55" s="531" t="str">
        <f>IF($AE55&lt;1," ",IF(K55&lt;1," ",(K55)/$AE55))</f>
        <v xml:space="preserve"> </v>
      </c>
      <c r="M55" s="398"/>
      <c r="N55" s="340" t="str">
        <f>IF($AE55&lt;1," ",IF(M55&lt;1," ",(M55)/$AE55))</f>
        <v xml:space="preserve"> </v>
      </c>
      <c r="O55" s="398"/>
      <c r="P55" s="340" t="str">
        <f>IF($AE55&lt;1," ",IF(O55&lt;1," ",(O55)/$AE55))</f>
        <v xml:space="preserve"> </v>
      </c>
      <c r="Q55" s="398"/>
      <c r="R55" s="531" t="str">
        <f>IF($AE55&lt;1," ",IF(Q55&lt;1," ",(Q55)/$AE55))</f>
        <v xml:space="preserve"> </v>
      </c>
      <c r="S55" s="398"/>
      <c r="T55" s="340" t="str">
        <f>IF($AE55&lt;1," ",IF(S55&lt;1," ",(S55)/$AE55))</f>
        <v xml:space="preserve"> </v>
      </c>
      <c r="U55" s="398"/>
      <c r="V55" s="340" t="str">
        <f>IF($AE55&lt;1," ",IF(U55&lt;1," ",(U55)/$AE55))</f>
        <v xml:space="preserve"> </v>
      </c>
      <c r="W55" s="398"/>
      <c r="X55" s="340" t="str">
        <f>IF($AE55&lt;1," ",IF(W55&lt;1," ",(W55)/$AE55))</f>
        <v xml:space="preserve"> </v>
      </c>
      <c r="Y55" s="398"/>
      <c r="Z55" s="340" t="str">
        <f>IF($AE55&lt;1," ",IF(Y55&lt;1," ",(Y55)/$AE55))</f>
        <v xml:space="preserve"> </v>
      </c>
      <c r="AA55" s="398"/>
      <c r="AB55" s="340" t="str">
        <f>IF($AE55&lt;1," ",IF(AA55&lt;1," ",(AA55)/$AE55))</f>
        <v xml:space="preserve"> </v>
      </c>
      <c r="AC55" s="1605"/>
      <c r="AD55" s="379">
        <f>+E55+G55+I55+K55+M55+O55+Q55+S55+U55+W55+Y55+AA55+AC55</f>
        <v>0</v>
      </c>
      <c r="AE55" s="777"/>
      <c r="AF55" s="778"/>
      <c r="AG55" s="1212"/>
    </row>
    <row r="56" spans="1:33" ht="16.5" thickBot="1">
      <c r="A56" s="400" t="s">
        <v>438</v>
      </c>
      <c r="B56" s="401"/>
      <c r="C56" s="376"/>
      <c r="D56" s="1070"/>
      <c r="E56" s="772">
        <f>SUM(E51:E55)</f>
        <v>0</v>
      </c>
      <c r="F56" s="1056" t="s">
        <v>103</v>
      </c>
      <c r="G56" s="771">
        <f>SUM(G51:G55)</f>
        <v>0</v>
      </c>
      <c r="H56" s="1056" t="s">
        <v>103</v>
      </c>
      <c r="I56" s="771">
        <f>SUM(I51:I55)</f>
        <v>0</v>
      </c>
      <c r="J56" s="1056" t="s">
        <v>103</v>
      </c>
      <c r="K56" s="771">
        <f>SUM(K51:K55)</f>
        <v>0</v>
      </c>
      <c r="L56" s="1056" t="s">
        <v>103</v>
      </c>
      <c r="M56" s="771">
        <f>SUM(M51:M55)</f>
        <v>0</v>
      </c>
      <c r="N56" s="1054" t="s">
        <v>103</v>
      </c>
      <c r="O56" s="771">
        <f>SUM(O51:O55)</f>
        <v>0</v>
      </c>
      <c r="P56" s="1054" t="s">
        <v>103</v>
      </c>
      <c r="Q56" s="771">
        <f>SUM(Q51:Q55)</f>
        <v>0</v>
      </c>
      <c r="R56" s="1056" t="s">
        <v>103</v>
      </c>
      <c r="S56" s="771">
        <f>SUM(S51:S55)</f>
        <v>0</v>
      </c>
      <c r="T56" s="1054" t="s">
        <v>103</v>
      </c>
      <c r="U56" s="771">
        <f>SUM(U51:U55)</f>
        <v>0</v>
      </c>
      <c r="V56" s="1054" t="s">
        <v>103</v>
      </c>
      <c r="W56" s="771">
        <f>SUM(W51:W55)</f>
        <v>0</v>
      </c>
      <c r="X56" s="1054" t="s">
        <v>103</v>
      </c>
      <c r="Y56" s="771">
        <f>SUM(Y51:Y55)</f>
        <v>0</v>
      </c>
      <c r="Z56" s="1054" t="s">
        <v>103</v>
      </c>
      <c r="AA56" s="771">
        <f>SUM(AA51:AA55)</f>
        <v>0</v>
      </c>
      <c r="AB56" s="1054" t="s">
        <v>103</v>
      </c>
      <c r="AC56" s="1602"/>
      <c r="AD56" s="773">
        <f>SUM(AD51:AD55)</f>
        <v>0</v>
      </c>
      <c r="AE56" s="779"/>
      <c r="AF56" s="780"/>
      <c r="AG56" s="1212"/>
    </row>
    <row r="57" spans="1:33" ht="15.75">
      <c r="A57" s="68"/>
      <c r="B57" s="182"/>
      <c r="C57" s="22"/>
      <c r="D57" s="528"/>
      <c r="E57" s="1048"/>
      <c r="F57" s="538"/>
      <c r="G57" s="392"/>
      <c r="H57" s="538"/>
      <c r="I57" s="392"/>
      <c r="J57" s="538"/>
      <c r="K57" s="392"/>
      <c r="L57" s="538"/>
      <c r="M57" s="392"/>
      <c r="N57" s="1052"/>
      <c r="O57" s="392"/>
      <c r="P57" s="51"/>
      <c r="Q57" s="392"/>
      <c r="R57" s="538"/>
      <c r="S57" s="392"/>
      <c r="T57" s="51"/>
      <c r="U57" s="392"/>
      <c r="V57" s="51"/>
      <c r="W57" s="392"/>
      <c r="X57" s="51"/>
      <c r="Y57" s="392"/>
      <c r="Z57" s="51"/>
      <c r="AA57" s="392"/>
      <c r="AB57" s="51"/>
      <c r="AC57" s="1606"/>
      <c r="AD57" s="1035"/>
      <c r="AE57" s="1036"/>
      <c r="AF57" s="1042"/>
      <c r="AG57" s="1212"/>
    </row>
    <row r="58" spans="1:33" ht="16.5" thickBot="1">
      <c r="A58" s="400" t="s">
        <v>439</v>
      </c>
      <c r="B58" s="401"/>
      <c r="C58" s="376"/>
      <c r="D58" s="1070"/>
      <c r="E58" s="772">
        <f>+E23-E34+E39+E48+E56</f>
        <v>59343.378739117703</v>
      </c>
      <c r="F58" s="533"/>
      <c r="G58" s="771">
        <f>+G23-G34+G39+G48+G56</f>
        <v>-129984.05437037878</v>
      </c>
      <c r="H58" s="533"/>
      <c r="I58" s="771">
        <f>+I23-I34+I39+I48+I56</f>
        <v>516594.62373795104</v>
      </c>
      <c r="J58" s="533"/>
      <c r="K58" s="771">
        <f>+K23-K34+K39+K48+K56</f>
        <v>-382089.14479930862</v>
      </c>
      <c r="L58" s="533"/>
      <c r="M58" s="771">
        <f>+M23-M34+M39+M48+M56</f>
        <v>-187451.31410665566</v>
      </c>
      <c r="N58" s="384"/>
      <c r="O58" s="771">
        <f>+O23-O34+O39+O48+O56</f>
        <v>202378.03898641374</v>
      </c>
      <c r="P58" s="384"/>
      <c r="Q58" s="771">
        <f>+Q23-Q34+Q39+Q48+Q56</f>
        <v>109297.48563275579</v>
      </c>
      <c r="R58" s="533"/>
      <c r="S58" s="771">
        <f>+S23-S34+S39+S48+S56</f>
        <v>-387765.9206806047</v>
      </c>
      <c r="T58" s="384"/>
      <c r="U58" s="771">
        <f>+U23-U34+U39+U48+U56</f>
        <v>336055.26442547305</v>
      </c>
      <c r="V58" s="384"/>
      <c r="W58" s="771">
        <f>+W23-W34+W39+W48+W56</f>
        <v>-169797.57528879261</v>
      </c>
      <c r="X58" s="384"/>
      <c r="Y58" s="771">
        <f>+Y23-Y34+Y39+Y48+Y56</f>
        <v>-348946.90601793898</v>
      </c>
      <c r="Z58" s="384"/>
      <c r="AA58" s="771">
        <f>+AA23-AA34+AA39+AA48+AA56</f>
        <v>11441.722982468084</v>
      </c>
      <c r="AB58" s="384"/>
      <c r="AC58" s="1602">
        <f>+AC23-AC34+AC39+AC48+AC56</f>
        <v>-207552.90604107361</v>
      </c>
      <c r="AD58" s="773">
        <f>+AD23-AD34+AD39+AD48+AD56</f>
        <v>-578477.30680057406</v>
      </c>
      <c r="AE58" s="779"/>
      <c r="AF58" s="780"/>
      <c r="AG58" s="1212"/>
    </row>
    <row r="59" spans="1:33" ht="16.5" thickBot="1">
      <c r="A59" s="69"/>
      <c r="B59" s="369"/>
      <c r="C59" s="70"/>
      <c r="D59" s="1080"/>
      <c r="E59" s="21"/>
      <c r="F59" s="537"/>
      <c r="G59" s="394"/>
      <c r="H59" s="537"/>
      <c r="I59" s="394"/>
      <c r="J59" s="537"/>
      <c r="K59" s="394"/>
      <c r="L59" s="537"/>
      <c r="M59" s="394"/>
      <c r="N59" s="197"/>
      <c r="O59" s="394"/>
      <c r="P59" s="197"/>
      <c r="Q59" s="394"/>
      <c r="R59" s="537"/>
      <c r="S59" s="394"/>
      <c r="T59" s="197"/>
      <c r="U59" s="394"/>
      <c r="V59" s="197"/>
      <c r="W59" s="394"/>
      <c r="X59" s="197"/>
      <c r="Y59" s="394"/>
      <c r="Z59" s="197"/>
      <c r="AA59" s="394"/>
      <c r="AB59" s="197"/>
      <c r="AC59" s="1607"/>
      <c r="AD59" s="191"/>
      <c r="AE59" s="779"/>
      <c r="AF59" s="780"/>
      <c r="AG59" s="1212"/>
    </row>
    <row r="60" spans="1:33" ht="16.5" thickBot="1">
      <c r="A60" s="69" t="s">
        <v>440</v>
      </c>
      <c r="B60" s="369"/>
      <c r="C60" s="70"/>
      <c r="D60" s="1080"/>
      <c r="E60" s="1044">
        <f>+E6+E58</f>
        <v>181396.84873911767</v>
      </c>
      <c r="F60" s="537"/>
      <c r="G60" s="1053">
        <f>+G6+G58</f>
        <v>51412.794368738891</v>
      </c>
      <c r="H60" s="537"/>
      <c r="I60" s="1053">
        <f>+I6+I58</f>
        <v>568007.41810668993</v>
      </c>
      <c r="J60" s="537"/>
      <c r="K60" s="1053">
        <f>+K6+K58</f>
        <v>185918.27330738131</v>
      </c>
      <c r="L60" s="537"/>
      <c r="M60" s="1053">
        <f>+M6+M58</f>
        <v>-1533.0407992743421</v>
      </c>
      <c r="N60" s="197"/>
      <c r="O60" s="1053">
        <f>+O6+O58</f>
        <v>200844.9981871394</v>
      </c>
      <c r="P60" s="197"/>
      <c r="Q60" s="1053">
        <f>+Q6+Q58</f>
        <v>310142.48381989519</v>
      </c>
      <c r="R60" s="537"/>
      <c r="S60" s="1053">
        <f>+S6+S58</f>
        <v>-77623.436860709509</v>
      </c>
      <c r="T60" s="197"/>
      <c r="U60" s="1053">
        <f>+U6+U58</f>
        <v>258431.82756476355</v>
      </c>
      <c r="V60" s="197"/>
      <c r="W60" s="1053">
        <f>+W6+W58</f>
        <v>88634.252275970939</v>
      </c>
      <c r="X60" s="197"/>
      <c r="Y60" s="1053">
        <f>+Y6+Y58</f>
        <v>-260312.65374196804</v>
      </c>
      <c r="Z60" s="197"/>
      <c r="AA60" s="1053">
        <f>+AA6+AA58</f>
        <v>-248870.93075949996</v>
      </c>
      <c r="AB60" s="197"/>
      <c r="AC60" s="1602">
        <f>+AC6+AC58</f>
        <v>-456423.83680057357</v>
      </c>
      <c r="AD60" s="1260"/>
      <c r="AE60" s="1037"/>
      <c r="AF60" s="1043"/>
      <c r="AG60" s="1212"/>
    </row>
    <row r="62" spans="1:33" ht="16.5">
      <c r="AB62" s="1611" t="s">
        <v>441</v>
      </c>
      <c r="AC62" s="1612">
        <f>'2nd Interim-Summary MYP'!H55</f>
        <v>2417663</v>
      </c>
    </row>
    <row r="63" spans="1:33" ht="17.25" thickBot="1">
      <c r="AB63" s="1613" t="s">
        <v>442</v>
      </c>
      <c r="AC63" s="1615">
        <f>AC60-AC62</f>
        <v>-2874086.8368005734</v>
      </c>
    </row>
    <row r="64" spans="1:33" ht="13.5" thickTop="1"/>
  </sheetData>
  <sheetProtection password="CC5F" sheet="1" objects="1" scenarios="1"/>
  <mergeCells count="12">
    <mergeCell ref="A55:B55"/>
    <mergeCell ref="F1:L1"/>
    <mergeCell ref="AE40:AE42"/>
    <mergeCell ref="A51:B51"/>
    <mergeCell ref="A52:B52"/>
    <mergeCell ref="A53:B53"/>
    <mergeCell ref="A54:B54"/>
    <mergeCell ref="T1:Z1"/>
    <mergeCell ref="G2:K2"/>
    <mergeCell ref="T2:Z2"/>
    <mergeCell ref="E7:N7"/>
    <mergeCell ref="D40:D42"/>
  </mergeCells>
  <conditionalFormatting sqref="F1">
    <cfRule type="containsText" dxfId="8" priority="7" stopIfTrue="1" operator="containsText" text="Enter">
      <formula>NOT(ISERROR(SEARCH("Enter",F1)))</formula>
    </cfRule>
  </conditionalFormatting>
  <conditionalFormatting sqref="T1">
    <cfRule type="containsText" dxfId="7" priority="6" stopIfTrue="1" operator="containsText" text="Enter">
      <formula>NOT(ISERROR(SEARCH("Enter",T1)))</formula>
    </cfRule>
  </conditionalFormatting>
  <conditionalFormatting sqref="AD47">
    <cfRule type="cellIs" dxfId="6" priority="1" stopIfTrue="1" operator="notEqual">
      <formula>$D$47</formula>
    </cfRule>
  </conditionalFormatting>
  <conditionalFormatting sqref="AD43">
    <cfRule type="cellIs" dxfId="5" priority="5" stopIfTrue="1" operator="notEqual">
      <formula>$D$43</formula>
    </cfRule>
  </conditionalFormatting>
  <conditionalFormatting sqref="AD44">
    <cfRule type="cellIs" dxfId="4" priority="4" stopIfTrue="1" operator="notEqual">
      <formula>$D$44</formula>
    </cfRule>
  </conditionalFormatting>
  <conditionalFormatting sqref="AD45">
    <cfRule type="cellIs" dxfId="3" priority="3" stopIfTrue="1" operator="notEqual">
      <formula>$D$45</formula>
    </cfRule>
  </conditionalFormatting>
  <conditionalFormatting sqref="AD46">
    <cfRule type="cellIs" dxfId="2" priority="2" stopIfTrue="1" operator="notEqual">
      <formula>$D$46</formula>
    </cfRule>
  </conditionalFormatting>
  <pageMargins left="0.7" right="0.7" top="0.75" bottom="0.75" header="0.3" footer="0.3"/>
  <pageSetup scale="53" fitToWidth="0" orientation="landscape" r:id="rId1"/>
  <headerFooter>
    <oddHeader>&amp;RPage &amp;P of &amp;N</oddHeader>
  </headerFooter>
  <colBreaks count="1" manualBreakCount="1">
    <brk id="18" max="1048575" man="1"/>
  </colBreaks>
  <customProperties>
    <customPr name="DrillPoint.FROID" r:id="rId2"/>
    <customPr name="DrillPoint.Mode" r:id="rId3"/>
    <customPr name="DrillPoint.Subsheet" r:id="rId4"/>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148"/>
  <sheetViews>
    <sheetView workbookViewId="0">
      <selection activeCell="T43" sqref="T43"/>
    </sheetView>
  </sheetViews>
  <sheetFormatPr defaultRowHeight="12.75"/>
  <cols>
    <col min="1" max="1" width="56.85546875" customWidth="1"/>
    <col min="2" max="2" width="17" customWidth="1"/>
    <col min="3" max="3" width="14" customWidth="1"/>
    <col min="4" max="4" width="14.85546875" customWidth="1"/>
    <col min="5" max="5" width="14" customWidth="1"/>
    <col min="9" max="9" width="19" customWidth="1"/>
  </cols>
  <sheetData>
    <row r="1" spans="1:9">
      <c r="A1" s="133" t="str">
        <f>'BUDGET-CERTIFICATION'!H1</f>
        <v>Encore High School -</v>
      </c>
    </row>
    <row r="2" spans="1:9">
      <c r="A2" s="133" t="s">
        <v>582</v>
      </c>
    </row>
    <row r="3" spans="1:9">
      <c r="A3" s="133" t="str">
        <f>'Budget-ADA'!K7</f>
        <v>2021-22</v>
      </c>
    </row>
    <row r="4" spans="1:9">
      <c r="A4" s="133" t="str">
        <f>'BUDGET-CERTIFICATION'!H3</f>
        <v>Hesperia Unified School District</v>
      </c>
    </row>
    <row r="5" spans="1:9">
      <c r="B5" s="1243" t="s">
        <v>447</v>
      </c>
      <c r="C5" s="1243" t="s">
        <v>448</v>
      </c>
      <c r="D5" s="1243" t="s">
        <v>449</v>
      </c>
      <c r="E5" s="1243" t="s">
        <v>449</v>
      </c>
      <c r="H5" s="1243"/>
      <c r="I5" s="1243"/>
    </row>
    <row r="6" spans="1:9">
      <c r="A6" s="135" t="s">
        <v>450</v>
      </c>
      <c r="B6" s="92">
        <f>'2nd Interim-ADA'!J76</f>
        <v>899.27</v>
      </c>
      <c r="C6" s="92">
        <f>'2nd Interim-ADA'!L76</f>
        <v>796.07999999999993</v>
      </c>
      <c r="D6" s="92">
        <f>'2nd Interim-ADA'!O76</f>
        <v>646.34999999999991</v>
      </c>
      <c r="E6" s="92">
        <f>'2nd Interim-ADA'!R76</f>
        <v>651</v>
      </c>
      <c r="H6" s="1263"/>
      <c r="I6" s="1264"/>
    </row>
    <row r="7" spans="1:9">
      <c r="A7" s="135" t="s">
        <v>451</v>
      </c>
      <c r="B7" s="1227">
        <f>'2nd Interim-Assumptions'!F24</f>
        <v>858</v>
      </c>
      <c r="C7" s="1228">
        <f>'2nd Interim-Assumptions'!G24</f>
        <v>722</v>
      </c>
      <c r="D7" s="1228">
        <f>'2nd Interim-Assumptions'!H24</f>
        <v>700</v>
      </c>
      <c r="E7" s="1228">
        <f>'2nd Interim-Assumptions'!J24</f>
        <v>700</v>
      </c>
      <c r="H7" s="1263"/>
      <c r="I7" s="1264"/>
    </row>
    <row r="8" spans="1:9">
      <c r="A8" t="s">
        <v>181</v>
      </c>
      <c r="B8" s="1227">
        <f>'2nd Interim-Assumptions'!F27</f>
        <v>466</v>
      </c>
      <c r="C8" s="1228">
        <f>'2nd Interim-Assumptions'!G27</f>
        <v>365</v>
      </c>
      <c r="D8" s="1228">
        <f>'2nd Interim-Assumptions'!H27</f>
        <v>386</v>
      </c>
      <c r="E8" s="1228">
        <f>'2nd Interim-Assumptions'!J27</f>
        <v>386</v>
      </c>
      <c r="H8" s="1263"/>
      <c r="I8" s="1264"/>
    </row>
    <row r="9" spans="1:9">
      <c r="A9" t="s">
        <v>452</v>
      </c>
      <c r="B9" s="1247">
        <f>'2nd Interim-Assumptions'!F28</f>
        <v>0.57840000000000003</v>
      </c>
      <c r="C9" s="1247">
        <f>'2nd Interim-Assumptions'!G28</f>
        <v>0.54959999999999998</v>
      </c>
      <c r="D9" s="1247">
        <f>'2nd Interim-Assumptions'!H28</f>
        <v>0.53380000000000005</v>
      </c>
      <c r="E9" s="1247">
        <f>'2nd Interim-Assumptions'!J28</f>
        <v>0.53580000000000005</v>
      </c>
      <c r="H9" s="1263"/>
      <c r="I9" s="1264"/>
    </row>
    <row r="10" spans="1:9">
      <c r="H10" s="1263"/>
      <c r="I10" s="1264"/>
    </row>
    <row r="11" spans="1:9">
      <c r="A11" t="s">
        <v>237</v>
      </c>
      <c r="B11" s="1229">
        <f>'2nd Interim-Unrestricted MYP'!E13+'2nd Interim-Unrestricted MYP'!E14+'2nd Interim-Unrestricted MYP'!E15+'2nd Interim-Unrestricted MYP'!E16</f>
        <v>8609563</v>
      </c>
      <c r="C11" s="1229">
        <f>'2nd Interim-Assumptions'!H11</f>
        <v>7250440</v>
      </c>
      <c r="D11" s="1229">
        <f>'2nd Interim-Assumptions'!J11</f>
        <v>7479379</v>
      </c>
      <c r="E11" s="1229">
        <f>'2nd Interim-Assumptions'!L11</f>
        <v>0</v>
      </c>
      <c r="H11" s="1263"/>
      <c r="I11" s="1264"/>
    </row>
    <row r="12" spans="1:9">
      <c r="H12" s="1263"/>
      <c r="I12" s="1264"/>
    </row>
    <row r="13" spans="1:9">
      <c r="A13" t="s">
        <v>453</v>
      </c>
      <c r="C13" s="1230">
        <f>'2nd Interim-Assumptions'!G31</f>
        <v>34.6</v>
      </c>
      <c r="D13" s="1230">
        <f>'2nd Interim-Assumptions'!H31</f>
        <v>30.6</v>
      </c>
      <c r="E13" s="1230">
        <f>'2nd Interim-Assumptions'!J31</f>
        <v>30.6</v>
      </c>
      <c r="H13" s="1263"/>
      <c r="I13" s="1264"/>
    </row>
    <row r="14" spans="1:9">
      <c r="A14" t="s">
        <v>454</v>
      </c>
      <c r="C14" s="1230">
        <f>'2nd Interim-Assumptions'!G33</f>
        <v>3</v>
      </c>
      <c r="D14" s="1230">
        <f>'2nd Interim-Assumptions'!H33</f>
        <v>2</v>
      </c>
      <c r="E14" s="1230">
        <f>'2nd Interim-Assumptions'!J33</f>
        <v>2</v>
      </c>
      <c r="H14" s="1263"/>
      <c r="I14" s="1264"/>
    </row>
    <row r="15" spans="1:9">
      <c r="A15" s="135" t="s">
        <v>455</v>
      </c>
      <c r="C15" s="1230">
        <f>'2nd Interim-Assumptions'!G32</f>
        <v>3</v>
      </c>
      <c r="D15" s="1230">
        <f>'2nd Interim-Assumptions'!H32</f>
        <v>2</v>
      </c>
      <c r="E15" s="1230">
        <f>'2nd Interim-Assumptions'!J32</f>
        <v>2</v>
      </c>
      <c r="H15" s="1263"/>
    </row>
    <row r="16" spans="1:9">
      <c r="A16" s="135"/>
      <c r="C16" s="1230"/>
      <c r="D16" s="1230"/>
      <c r="E16" s="1230"/>
      <c r="H16" s="1263"/>
    </row>
    <row r="17" spans="1:8">
      <c r="A17" s="135" t="s">
        <v>456</v>
      </c>
      <c r="C17" s="1230">
        <f>'2nd Interim-Assumptions'!G48</f>
        <v>34.5</v>
      </c>
      <c r="D17" s="1230">
        <f>'2nd Interim-Assumptions'!H48</f>
        <v>34.5</v>
      </c>
      <c r="E17" s="1230">
        <f>'2nd Interim-Assumptions'!J48</f>
        <v>34.5</v>
      </c>
      <c r="H17" s="135"/>
    </row>
    <row r="18" spans="1:8">
      <c r="A18" s="135" t="s">
        <v>457</v>
      </c>
      <c r="C18" s="1230">
        <f>'2nd Interim-Assumptions'!G49</f>
        <v>7</v>
      </c>
      <c r="D18" s="1230">
        <f>'2nd Interim-Assumptions'!H49</f>
        <v>7</v>
      </c>
      <c r="E18" s="1230">
        <f>'2nd Interim-Assumptions'!J49</f>
        <v>7</v>
      </c>
      <c r="H18" s="135"/>
    </row>
    <row r="19" spans="1:8">
      <c r="A19" s="135"/>
      <c r="C19" s="1230"/>
      <c r="D19" s="1230"/>
      <c r="E19" s="1230"/>
      <c r="H19" s="135"/>
    </row>
    <row r="20" spans="1:8">
      <c r="A20" t="s">
        <v>458</v>
      </c>
      <c r="C20" s="1229">
        <f>'2nd Interim-Assumptions'!G36</f>
        <v>65980.317919075111</v>
      </c>
      <c r="D20" s="1229">
        <f>'2nd Interim-Assumptions'!H36</f>
        <v>70046.269490490173</v>
      </c>
      <c r="E20" s="1229">
        <f>'2nd Interim-Assumptions'!J36</f>
        <v>71699.361450465745</v>
      </c>
    </row>
    <row r="21" spans="1:8">
      <c r="A21" t="s">
        <v>459</v>
      </c>
      <c r="C21" s="1229">
        <f>'2nd Interim-Assumptions'!G38</f>
        <v>86695.076666666646</v>
      </c>
      <c r="D21" s="1229">
        <f>'2nd Interim-Assumptions'!H38</f>
        <v>83488.744297499972</v>
      </c>
      <c r="E21" s="1229">
        <f>'2nd Interim-Assumptions'!J38</f>
        <v>85459.078662920976</v>
      </c>
    </row>
    <row r="22" spans="1:8">
      <c r="A22" s="135" t="s">
        <v>460</v>
      </c>
      <c r="C22" s="1229">
        <f>'2nd Interim-Assumptions'!G37</f>
        <v>119651.90000000001</v>
      </c>
      <c r="D22" s="1229">
        <f>'2nd Interim-Assumptions'!H37</f>
        <v>109234.01302499999</v>
      </c>
      <c r="E22" s="1229">
        <f>'2nd Interim-Assumptions'!J37</f>
        <v>111811.93573239</v>
      </c>
    </row>
    <row r="23" spans="1:8">
      <c r="A23" s="135"/>
      <c r="C23" s="1229"/>
      <c r="D23" s="1229"/>
      <c r="E23" s="1229"/>
    </row>
    <row r="24" spans="1:8">
      <c r="A24" t="s">
        <v>461</v>
      </c>
      <c r="C24" s="1229">
        <f>'2nd Interim-Assumptions'!G50</f>
        <v>42919.298603351956</v>
      </c>
      <c r="D24" s="1229">
        <f>'2nd Interim-Assumptions'!H50</f>
        <v>29455.454545454544</v>
      </c>
      <c r="E24" s="1229">
        <f>'2nd Interim-Assumptions'!J50</f>
        <v>30150.616883116883</v>
      </c>
    </row>
    <row r="25" spans="1:8">
      <c r="A25" s="135" t="s">
        <v>462</v>
      </c>
      <c r="C25" s="1229">
        <f>'2nd Interim-Assumptions'!G51</f>
        <v>95741.92</v>
      </c>
      <c r="D25" s="1229">
        <f>'2nd Interim-Assumptions'!H51</f>
        <v>77590.713232000038</v>
      </c>
      <c r="E25" s="1229">
        <f>'2nd Interim-Assumptions'!J51</f>
        <v>79421.854064275249</v>
      </c>
    </row>
    <row r="26" spans="1:8">
      <c r="A26" s="135"/>
      <c r="C26" s="1229"/>
      <c r="D26" s="1229"/>
      <c r="E26" s="1229"/>
    </row>
    <row r="27" spans="1:8">
      <c r="A27" s="135" t="s">
        <v>463</v>
      </c>
      <c r="C27" s="1229">
        <f>'2nd Interim-Assumptions'!G40</f>
        <v>12138.656148886692</v>
      </c>
      <c r="D27" s="1229">
        <f>'2nd Interim-Assumptions'!H40</f>
        <v>13389.079754601227</v>
      </c>
      <c r="E27" s="1229">
        <f>'2nd Interim-Assumptions'!J40</f>
        <v>13705.061349693251</v>
      </c>
    </row>
    <row r="28" spans="1:8">
      <c r="A28" s="135" t="s">
        <v>464</v>
      </c>
      <c r="C28" s="1229">
        <f>'2nd Interim-Assumptions'!G53</f>
        <v>11812.055186985981</v>
      </c>
      <c r="D28" s="1229">
        <f>'2nd Interim-Assumptions'!H53</f>
        <v>8295.3351955307262</v>
      </c>
      <c r="E28" s="1229">
        <f>'2nd Interim-Assumptions'!J53</f>
        <v>8491.117318435754</v>
      </c>
    </row>
    <row r="30" spans="1:8">
      <c r="A30" s="135" t="s">
        <v>196</v>
      </c>
      <c r="B30" s="979"/>
      <c r="C30" s="979">
        <f>'2nd Interim-Assumptions'!G42</f>
        <v>0.16919999999999999</v>
      </c>
      <c r="D30" s="979">
        <f>'2nd Interim-Assumptions'!H42</f>
        <v>0.191</v>
      </c>
      <c r="E30" s="979">
        <f>'2nd Interim-Assumptions'!J42</f>
        <v>0.191</v>
      </c>
    </row>
    <row r="31" spans="1:8">
      <c r="A31" s="135" t="s">
        <v>206</v>
      </c>
      <c r="C31" s="979">
        <f>'2nd Interim-Assumptions'!G55</f>
        <v>0.2291</v>
      </c>
      <c r="D31" s="979">
        <f>'2nd Interim-Assumptions'!H55</f>
        <v>0.26100000000000001</v>
      </c>
      <c r="E31" s="979">
        <f>'2nd Interim-Assumptions'!J55</f>
        <v>0.27100000000000002</v>
      </c>
    </row>
    <row r="33" spans="1:5">
      <c r="A33" s="135" t="s">
        <v>465</v>
      </c>
      <c r="C33" s="979">
        <f>'2nd Interim-Assumptions'!G61</f>
        <v>6.2E-2</v>
      </c>
      <c r="D33" s="979">
        <f>'2nd Interim-Assumptions'!H61</f>
        <v>6.2E-2</v>
      </c>
      <c r="E33" s="979">
        <f>'2nd Interim-Assumptions'!J61</f>
        <v>6.2E-2</v>
      </c>
    </row>
    <row r="34" spans="1:5">
      <c r="A34" s="135" t="s">
        <v>466</v>
      </c>
      <c r="C34" s="979">
        <f>'2nd Interim-Assumptions'!G62</f>
        <v>1.4500000000000001E-2</v>
      </c>
      <c r="D34" s="979">
        <f>'2nd Interim-Assumptions'!H62</f>
        <v>1.4500000000000001E-2</v>
      </c>
      <c r="E34" s="979">
        <f>'2nd Interim-Assumptions'!J62</f>
        <v>1.4500000000000001E-2</v>
      </c>
    </row>
    <row r="35" spans="1:5">
      <c r="A35" s="135" t="s">
        <v>210</v>
      </c>
      <c r="C35" s="979">
        <f>'2nd Interim-Assumptions'!G63</f>
        <v>5.0000000000000001E-3</v>
      </c>
      <c r="D35" s="979">
        <f>'2nd Interim-Assumptions'!H63</f>
        <v>5.0000000000000001E-3</v>
      </c>
      <c r="E35" s="979">
        <f>'2nd Interim-Assumptions'!J63</f>
        <v>5.0000000000000001E-3</v>
      </c>
    </row>
    <row r="36" spans="1:5">
      <c r="A36" s="135" t="s">
        <v>211</v>
      </c>
      <c r="C36" s="979">
        <f>'2nd Interim-Assumptions'!G64</f>
        <v>2.3E-2</v>
      </c>
      <c r="D36" s="979">
        <f>'2nd Interim-Assumptions'!H64</f>
        <v>2.3E-2</v>
      </c>
      <c r="E36" s="979">
        <f>'2nd Interim-Assumptions'!J64</f>
        <v>2.3E-2</v>
      </c>
    </row>
    <row r="38" spans="1:5">
      <c r="A38" s="133" t="s">
        <v>467</v>
      </c>
    </row>
    <row r="39" spans="1:5" ht="15.75">
      <c r="A39" s="1" t="s">
        <v>468</v>
      </c>
      <c r="B39" s="983">
        <f>'2nd Interim-Unrestricted MYP'!E49</f>
        <v>2328491.2500000005</v>
      </c>
      <c r="C39" s="1237">
        <f>'2nd Interim-Unrestricted MYP'!H49</f>
        <v>2328491.2500000005</v>
      </c>
      <c r="D39" s="174">
        <f>'2nd Interim-Unrestricted MYP'!J49</f>
        <v>0</v>
      </c>
      <c r="E39" s="174">
        <f>'2nd Interim-Unrestricted MYP'!L49</f>
        <v>0</v>
      </c>
    </row>
    <row r="40" spans="1:5" ht="15.75">
      <c r="A40" s="1" t="s">
        <v>469</v>
      </c>
      <c r="B40" s="983">
        <f>'2nd Interim-Unrestricted MYP'!E50</f>
        <v>0</v>
      </c>
      <c r="C40" s="1237">
        <f>'2nd Interim-Unrestricted MYP'!H50</f>
        <v>-331642.78000000003</v>
      </c>
      <c r="D40" s="92">
        <f>'2nd Interim-Unrestricted MYP'!J50</f>
        <v>0</v>
      </c>
      <c r="E40" s="174">
        <f>'2nd Interim-Unrestricted MYP'!L50</f>
        <v>0</v>
      </c>
    </row>
    <row r="41" spans="1:5" ht="15.75">
      <c r="A41" s="1" t="s">
        <v>282</v>
      </c>
      <c r="B41" s="983">
        <f>'2nd Interim-Unrestricted MYP'!E51</f>
        <v>0</v>
      </c>
      <c r="C41" s="1237">
        <f>'2nd Interim-Unrestricted MYP'!H51</f>
        <v>1996848.4700000004</v>
      </c>
      <c r="D41" s="92">
        <f>'2nd Interim-Unrestricted MYP'!J51</f>
        <v>0</v>
      </c>
      <c r="E41" s="174">
        <f>'2nd Interim-Unrestricted MYP'!L51</f>
        <v>0</v>
      </c>
    </row>
    <row r="42" spans="1:5" ht="15.75">
      <c r="A42" s="1" t="s">
        <v>470</v>
      </c>
      <c r="B42" s="983">
        <f>'2nd Interim-Unrestricted MYP'!E52</f>
        <v>0</v>
      </c>
      <c r="C42" s="1237">
        <f>'2nd Interim-Unrestricted MYP'!H52</f>
        <v>-243377</v>
      </c>
      <c r="D42" s="92">
        <f>'2nd Interim-Unrestricted MYP'!J52</f>
        <v>0</v>
      </c>
      <c r="E42" s="174">
        <f>'2nd Interim-Unrestricted MYP'!L52</f>
        <v>0</v>
      </c>
    </row>
    <row r="43" spans="1:5" ht="15.75">
      <c r="A43" s="1" t="s">
        <v>471</v>
      </c>
      <c r="B43" s="983">
        <f>'2nd Interim-Unrestricted MYP'!E53</f>
        <v>0</v>
      </c>
      <c r="C43" s="1237">
        <f>'2nd Interim-Unrestricted MYP'!H53</f>
        <v>-191856</v>
      </c>
      <c r="D43" s="92">
        <f>'2nd Interim-Unrestricted MYP'!J53</f>
        <v>0</v>
      </c>
      <c r="E43" s="174">
        <f>'2nd Interim-Unrestricted MYP'!L53</f>
        <v>0</v>
      </c>
    </row>
    <row r="44" spans="1:5" ht="15.75">
      <c r="A44" s="1" t="s">
        <v>285</v>
      </c>
      <c r="B44" s="983">
        <f>'2nd Interim-Unrestricted MYP'!E54</f>
        <v>0</v>
      </c>
      <c r="C44" s="1237">
        <f>'2nd Interim-Unrestricted MYP'!H54</f>
        <v>1561615.4700000004</v>
      </c>
      <c r="D44" s="174">
        <f>'2nd Interim-Unrestricted MYP'!J54</f>
        <v>2065485</v>
      </c>
      <c r="E44" s="174">
        <f>'2nd Interim-Unrestricted MYP'!L54</f>
        <v>2179864</v>
      </c>
    </row>
    <row r="45" spans="1:5" ht="15.75">
      <c r="A45" s="1" t="s">
        <v>472</v>
      </c>
      <c r="B45" s="983">
        <f>'2nd Interim-Unrestricted MYP'!E55</f>
        <v>3964597.6578057152</v>
      </c>
      <c r="C45" s="1237">
        <f>'2nd Interim-Unrestricted MYP'!H55</f>
        <v>2065485</v>
      </c>
      <c r="D45" s="1229">
        <f>'2nd Interim-Unrestricted MYP'!J55</f>
        <v>2179864</v>
      </c>
      <c r="E45" s="174">
        <f>'2nd Interim-Unrestricted MYP'!L55</f>
        <v>3248413</v>
      </c>
    </row>
    <row r="47" spans="1:5" ht="15.75">
      <c r="A47" s="98" t="s">
        <v>473</v>
      </c>
      <c r="B47" s="1239">
        <f>'2nd Interim-Unrestricted MYP'!E59</f>
        <v>0</v>
      </c>
      <c r="C47" s="1239">
        <f>'2nd Interim-Unrestricted MYP'!H59</f>
        <v>0</v>
      </c>
      <c r="D47" s="1239">
        <f>'2nd Interim-Unrestricted MYP'!J59</f>
        <v>0</v>
      </c>
      <c r="E47" s="1239">
        <f>'2nd Interim-Unrestricted MYP'!L59</f>
        <v>0</v>
      </c>
    </row>
    <row r="48" spans="1:5" ht="15.75">
      <c r="A48" s="98" t="s">
        <v>474</v>
      </c>
      <c r="B48" s="1239">
        <f>'2nd Interim-Unrestricted MYP'!E60</f>
        <v>0</v>
      </c>
      <c r="C48" s="1239">
        <f>'2nd Interim-Unrestricted MYP'!H60</f>
        <v>0</v>
      </c>
      <c r="D48" s="1239">
        <f>'2nd Interim-Unrestricted MYP'!J60</f>
        <v>0</v>
      </c>
      <c r="E48" s="1239">
        <f>'2nd Interim-Unrestricted MYP'!L60</f>
        <v>0</v>
      </c>
    </row>
    <row r="49" spans="1:9" ht="15.75">
      <c r="A49" s="98" t="s">
        <v>475</v>
      </c>
      <c r="B49" s="1239">
        <f>'2nd Interim-Unrestricted MYP'!E61</f>
        <v>0</v>
      </c>
      <c r="C49" s="1239">
        <f>'2nd Interim-Unrestricted MYP'!H61</f>
        <v>0</v>
      </c>
      <c r="D49" s="1239">
        <f>'2nd Interim-Unrestricted MYP'!J61</f>
        <v>0</v>
      </c>
      <c r="E49" s="1239">
        <f>'2nd Interim-Unrestricted MYP'!L61</f>
        <v>0</v>
      </c>
    </row>
    <row r="50" spans="1:9" ht="15.75">
      <c r="A50" s="98" t="s">
        <v>476</v>
      </c>
      <c r="B50" s="1239">
        <f>'2nd Interim-Unrestricted MYP'!E62</f>
        <v>0</v>
      </c>
      <c r="C50" s="1239">
        <f>'2nd Interim-Unrestricted MYP'!H62</f>
        <v>0</v>
      </c>
      <c r="D50" s="1239">
        <f>'2nd Interim-Unrestricted MYP'!J62</f>
        <v>0</v>
      </c>
      <c r="E50" s="1239">
        <f>'2nd Interim-Unrestricted MYP'!L62</f>
        <v>0</v>
      </c>
    </row>
    <row r="51" spans="1:9" ht="15.75">
      <c r="A51" s="98" t="s">
        <v>477</v>
      </c>
      <c r="B51" s="1239">
        <f>'2nd Interim-Unrestricted MYP'!E65</f>
        <v>0</v>
      </c>
      <c r="C51" s="1239">
        <f>'2nd Interim-Unrestricted MYP'!H65</f>
        <v>0</v>
      </c>
      <c r="D51" s="1239">
        <f>'2nd Interim-Unrestricted MYP'!J65</f>
        <v>0</v>
      </c>
      <c r="E51" s="1239">
        <f>'2nd Interim-Unrestricted MYP'!L65</f>
        <v>0</v>
      </c>
    </row>
    <row r="52" spans="1:9" ht="15.75">
      <c r="A52" s="98" t="s">
        <v>478</v>
      </c>
      <c r="B52" s="1239">
        <f>'2nd Interim-Unrestricted MYP'!E66</f>
        <v>0</v>
      </c>
      <c r="C52" s="1239">
        <f>'2nd Interim-Unrestricted MYP'!H66</f>
        <v>0</v>
      </c>
      <c r="D52" s="1239">
        <f>'2nd Interim-Unrestricted MYP'!J66</f>
        <v>0</v>
      </c>
      <c r="E52" s="1239">
        <f>'2nd Interim-Unrestricted MYP'!L66</f>
        <v>0</v>
      </c>
    </row>
    <row r="53" spans="1:9" ht="15.75">
      <c r="A53" s="98" t="s">
        <v>479</v>
      </c>
      <c r="B53" s="1239">
        <f>'2nd Interim-Unrestricted MYP'!E66</f>
        <v>0</v>
      </c>
      <c r="C53" s="1239">
        <f>'2nd Interim-Unrestricted MYP'!H66</f>
        <v>0</v>
      </c>
      <c r="D53" s="1239">
        <f>'2nd Interim-Unrestricted MYP'!J66</f>
        <v>0</v>
      </c>
      <c r="E53" s="1239">
        <f>'2nd Interim-Unrestricted MYP'!L66</f>
        <v>0</v>
      </c>
    </row>
    <row r="54" spans="1:9" ht="15.75">
      <c r="A54" s="98" t="s">
        <v>480</v>
      </c>
      <c r="B54" s="1239">
        <f>'2nd Interim-Unrestricted MYP'!E69</f>
        <v>0</v>
      </c>
      <c r="C54" s="1239">
        <f>'2nd Interim-Unrestricted MYP'!H69</f>
        <v>0</v>
      </c>
      <c r="D54" s="1239">
        <f>'2nd Interim-Unrestricted MYP'!J69</f>
        <v>0</v>
      </c>
      <c r="E54" s="1239">
        <f>'2nd Interim-Unrestricted MYP'!L69</f>
        <v>0</v>
      </c>
    </row>
    <row r="55" spans="1:9" ht="16.5">
      <c r="A55" s="1238" t="s">
        <v>481</v>
      </c>
      <c r="B55" s="1239">
        <f>'2nd Interim-Unrestricted MYP'!E70</f>
        <v>3964597.6578057152</v>
      </c>
      <c r="C55" s="1239">
        <f>'2nd Interim-Unrestricted MYP'!H70</f>
        <v>2065485</v>
      </c>
      <c r="D55" s="1239">
        <f>'2nd Interim-Unrestricted MYP'!J70</f>
        <v>2179864</v>
      </c>
      <c r="E55" s="1239">
        <f>'2nd Interim-Unrestricted MYP'!L70</f>
        <v>3248413</v>
      </c>
    </row>
    <row r="57" spans="1:9">
      <c r="A57" s="133" t="s">
        <v>482</v>
      </c>
      <c r="B57" s="133"/>
      <c r="C57" s="133"/>
      <c r="D57" s="133"/>
      <c r="E57" s="133"/>
      <c r="F57" s="133"/>
      <c r="G57" s="133"/>
      <c r="H57" s="133"/>
      <c r="I57" s="133"/>
    </row>
    <row r="58" spans="1:9" ht="15.75">
      <c r="A58" s="1" t="s">
        <v>468</v>
      </c>
      <c r="B58" s="174">
        <f>'2nd Interim-Restricted MYP'!E49</f>
        <v>-240336</v>
      </c>
      <c r="C58" s="174">
        <f>'2nd Interim-Restricted MYP'!H49</f>
        <v>-240336</v>
      </c>
      <c r="D58" s="174">
        <f>'2nd Interim-Restricted MYP'!J49</f>
        <v>0</v>
      </c>
      <c r="E58" s="174">
        <f>'2nd Interim-Restricted MYP'!L49</f>
        <v>0</v>
      </c>
    </row>
    <row r="59" spans="1:9" ht="15.75">
      <c r="A59" s="1" t="s">
        <v>469</v>
      </c>
      <c r="B59" s="174">
        <f>'2nd Interim-Restricted MYP'!E50</f>
        <v>0</v>
      </c>
      <c r="C59" s="174">
        <f>'2nd Interim-Restricted MYP'!H50</f>
        <v>369118.08</v>
      </c>
      <c r="D59" s="92">
        <f>'2nd Interim-Restricted MYP'!J50</f>
        <v>0</v>
      </c>
      <c r="E59" s="92">
        <f>'2nd Interim-Restricted MYP'!L50</f>
        <v>0</v>
      </c>
    </row>
    <row r="60" spans="1:9" ht="15.75">
      <c r="A60" s="1" t="s">
        <v>282</v>
      </c>
      <c r="B60" s="174">
        <f>B58+B59</f>
        <v>-240336</v>
      </c>
      <c r="C60" s="174">
        <f>C58+C59</f>
        <v>128782.08000000002</v>
      </c>
      <c r="D60" s="174">
        <f>D58+D59</f>
        <v>0</v>
      </c>
      <c r="E60" s="174">
        <f>E58+E59</f>
        <v>0</v>
      </c>
    </row>
    <row r="61" spans="1:9" ht="15.75">
      <c r="A61" s="1" t="s">
        <v>470</v>
      </c>
      <c r="B61" s="174">
        <f>'2nd Interim-Restricted MYP'!E52</f>
        <v>0</v>
      </c>
      <c r="C61" s="174">
        <f>'2nd Interim-Restricted MYP'!H52</f>
        <v>31542</v>
      </c>
      <c r="D61" s="92">
        <f>'2nd Interim-Restricted MYP'!J52</f>
        <v>0</v>
      </c>
      <c r="E61" s="92">
        <f>'2nd Interim-Restricted MYP'!L52</f>
        <v>0</v>
      </c>
    </row>
    <row r="62" spans="1:9" ht="15.75">
      <c r="A62" s="1" t="s">
        <v>471</v>
      </c>
      <c r="B62" s="174">
        <f>'2nd Interim-Restricted MYP'!E53</f>
        <v>0</v>
      </c>
      <c r="C62" s="174">
        <f>'2nd Interim-Restricted MYP'!H53</f>
        <v>191854</v>
      </c>
      <c r="D62" s="92">
        <f>'2nd Interim-Restricted MYP'!J53</f>
        <v>0</v>
      </c>
      <c r="E62" s="92">
        <f>'2nd Interim-Restricted MYP'!L53</f>
        <v>0</v>
      </c>
    </row>
    <row r="63" spans="1:9" ht="15.75">
      <c r="A63" s="1" t="s">
        <v>285</v>
      </c>
      <c r="B63" s="174">
        <f>'2nd Interim-Restricted MYP'!E54</f>
        <v>0</v>
      </c>
      <c r="C63" s="174">
        <f>'2nd Interim-Restricted MYP'!H54</f>
        <v>352178.08</v>
      </c>
      <c r="D63" s="174">
        <f>'2nd Interim-Restricted MYP'!J54</f>
        <v>352178</v>
      </c>
      <c r="E63" s="174">
        <f>'2nd Interim-Restricted MYP'!L54</f>
        <v>-797202</v>
      </c>
    </row>
    <row r="64" spans="1:9" ht="15.75">
      <c r="A64" s="1" t="s">
        <v>472</v>
      </c>
      <c r="B64" s="174">
        <f>'2nd Interim-Restricted MYP'!E55</f>
        <v>-353495.85</v>
      </c>
      <c r="C64" s="174">
        <f>'2nd Interim-Restricted MYP'!H55</f>
        <v>352178</v>
      </c>
      <c r="D64" s="1229">
        <f>'2nd Interim-Restricted MYP'!J55</f>
        <v>-797202</v>
      </c>
      <c r="E64" s="1229">
        <f>'2nd Interim-Restricted MYP'!L55</f>
        <v>-1907297</v>
      </c>
    </row>
    <row r="65" spans="1:5">
      <c r="B65" s="174"/>
      <c r="C65" s="174"/>
      <c r="D65" s="174"/>
      <c r="E65" s="174"/>
    </row>
    <row r="66" spans="1:5" ht="15.75">
      <c r="A66" s="1" t="s">
        <v>483</v>
      </c>
      <c r="B66" s="174">
        <f>'2nd Interim-Unrestricted MYP'!E13</f>
        <v>6570869</v>
      </c>
      <c r="C66" s="174">
        <f>'2nd Interim-Unrestricted MYP'!H13</f>
        <v>4141940</v>
      </c>
      <c r="D66" s="174">
        <f>'2nd Interim-Unrestricted MYP'!J13</f>
        <v>5150394</v>
      </c>
      <c r="E66" s="174">
        <f>'2nd Interim-Unrestricted MYP'!L13</f>
        <v>5379333</v>
      </c>
    </row>
    <row r="67" spans="1:5" ht="15.75">
      <c r="A67" s="1" t="s">
        <v>484</v>
      </c>
      <c r="B67" s="174">
        <f>'2nd Interim-Unrestricted MYP'!E14</f>
        <v>1743325</v>
      </c>
      <c r="C67" s="174">
        <f>'2nd Interim-Unrestricted MYP'!H15</f>
        <v>0</v>
      </c>
      <c r="D67" s="174">
        <f>'2nd Interim-Unrestricted MYP'!J14</f>
        <v>1860185</v>
      </c>
      <c r="E67" s="174">
        <f>'2nd Interim-Unrestricted MYP'!L14</f>
        <v>1860185</v>
      </c>
    </row>
    <row r="68" spans="1:5" ht="15.75">
      <c r="A68" s="1" t="s">
        <v>485</v>
      </c>
      <c r="B68" s="174">
        <f>'2nd Interim-Unrestricted MYP'!E15</f>
        <v>0</v>
      </c>
      <c r="C68" s="174">
        <f>'2nd Interim-Unrestricted MYP'!H15</f>
        <v>0</v>
      </c>
      <c r="D68" s="174">
        <f>'2nd Interim-Unrestricted MYP'!J15</f>
        <v>0</v>
      </c>
      <c r="E68" s="174">
        <f>'2nd Interim-Unrestricted MYP'!L15</f>
        <v>0</v>
      </c>
    </row>
    <row r="69" spans="1:5" ht="15.75">
      <c r="A69" s="1" t="s">
        <v>486</v>
      </c>
      <c r="B69" s="174">
        <f>'2nd Interim-Unrestricted MYP'!E16</f>
        <v>295369</v>
      </c>
      <c r="C69" s="174">
        <f>'2nd Interim-Unrestricted MYP'!H16</f>
        <v>238148</v>
      </c>
      <c r="D69" s="174">
        <f>'2nd Interim-Unrestricted MYP'!J16</f>
        <v>239861</v>
      </c>
      <c r="E69" s="174">
        <f>'2nd Interim-Unrestricted MYP'!L16</f>
        <v>239861</v>
      </c>
    </row>
    <row r="71" spans="1:5">
      <c r="A71" s="135" t="s">
        <v>359</v>
      </c>
      <c r="B71" s="1246">
        <f>'2nd Interim-Summary MYP'!E73</f>
        <v>0</v>
      </c>
      <c r="C71" s="1246">
        <f>'2nd Interim-Summary MYP'!H73</f>
        <v>0.05</v>
      </c>
      <c r="D71" s="1246">
        <f>'2nd Interim-Summary MYP'!J73</f>
        <v>0.05</v>
      </c>
      <c r="E71" s="1246">
        <f>'2nd Interim-Summary MYP'!L73</f>
        <v>0.05</v>
      </c>
    </row>
    <row r="72" spans="1:5">
      <c r="A72" s="135" t="s">
        <v>487</v>
      </c>
      <c r="B72" s="1246" t="str">
        <f>IF('2nd Interim-Summary MYP'!E74="","",'2nd Interim-Summary MYP'!E74)</f>
        <v/>
      </c>
      <c r="C72" s="1246" t="str">
        <f>IF('2nd Interim-Summary MYP'!H74="","",'2nd Interim-Summary MYP'!H74)</f>
        <v/>
      </c>
      <c r="D72" s="1246" t="str">
        <f>IF('2nd Interim-Summary MYP'!J74="","",'2nd Interim-Summary MYP'!J74)</f>
        <v/>
      </c>
      <c r="E72" s="1246" t="str">
        <f>IF('2nd Interim-Summary MYP'!L74="","",'2nd Interim-Summary MYP'!L74)</f>
        <v/>
      </c>
    </row>
    <row r="73" spans="1:5" ht="15.75">
      <c r="A73" s="1" t="s">
        <v>488</v>
      </c>
      <c r="B73" s="1246">
        <f>'2nd Interim-Summary MYP'!E71</f>
        <v>0.31964127693448463</v>
      </c>
      <c r="C73" s="1246">
        <f>'2nd Interim-Summary MYP'!H71</f>
        <v>0.16450759663447906</v>
      </c>
      <c r="D73" s="1246">
        <f>'2nd Interim-Summary MYP'!J71</f>
        <v>0.21211003527663477</v>
      </c>
      <c r="E73" s="1246">
        <f>'2nd Interim-Summary MYP'!L71</f>
        <v>0.34426938898615117</v>
      </c>
    </row>
    <row r="74" spans="1:5" ht="15.75">
      <c r="A74" s="1" t="s">
        <v>366</v>
      </c>
      <c r="B74" s="1246">
        <f>'2nd Interim-Summary MYP'!E81</f>
        <v>0.107</v>
      </c>
      <c r="C74" s="1246">
        <f>'2nd Interim-Summary MYP'!H81</f>
        <v>5.5E-2</v>
      </c>
      <c r="D74" s="1246">
        <f>'2nd Interim-Summary MYP'!J81</f>
        <v>7.0999999999999994E-2</v>
      </c>
      <c r="E74" s="1246">
        <f>'2nd Interim-Summary MYP'!L81</f>
        <v>0.115</v>
      </c>
    </row>
    <row r="75" spans="1:5" ht="15.75">
      <c r="A75" s="1" t="s">
        <v>489</v>
      </c>
      <c r="B75" s="1246">
        <f>'2nd Interim-Summary MYP'!E80</f>
        <v>0</v>
      </c>
      <c r="C75" s="1246">
        <f>'2nd Interim-Summary MYP'!H80</f>
        <v>0</v>
      </c>
      <c r="D75" s="1246">
        <f>'2nd Interim-Summary MYP'!J80</f>
        <v>0</v>
      </c>
      <c r="E75" s="1246">
        <f>'2nd Interim-Summary MYP'!L80</f>
        <v>0</v>
      </c>
    </row>
    <row r="77" spans="1:5" ht="15.75">
      <c r="A77" s="1" t="s">
        <v>490</v>
      </c>
      <c r="B77" s="1229">
        <f>'2nd Interim-Unrestricted MYP'!E26+'2nd Interim-Unrestricted MYP'!E42</f>
        <v>10766827.05752</v>
      </c>
      <c r="C77" s="1229">
        <f>'2nd Interim-Unrestricted MYP'!H26+'2nd Interim-Unrestricted MYP'!H42</f>
        <v>8888885.925522998</v>
      </c>
      <c r="D77" s="1229">
        <f>'2nd Interim-Unrestricted MYP'!J26+'2nd Interim-Unrestricted MYP'!J42</f>
        <v>7446565.5687799994</v>
      </c>
      <c r="E77" s="1229">
        <f>'2nd Interim-Unrestricted MYP'!L26+'2nd Interim-Unrestricted MYP'!L42</f>
        <v>7678157.2365872795</v>
      </c>
    </row>
    <row r="78" spans="1:5" ht="15.75">
      <c r="A78" s="1" t="s">
        <v>491</v>
      </c>
      <c r="B78" s="1229">
        <f>'2nd Interim-Unrestricted MYP'!E37+'2nd Interim-Unrestricted MYP'!E43</f>
        <v>9130720.6497142855</v>
      </c>
      <c r="C78" s="1229">
        <f>'2nd Interim-Unrestricted MYP'!H37+'2nd Interim-Unrestricted MYP'!H43</f>
        <v>8385015.9199999999</v>
      </c>
      <c r="D78" s="1229">
        <f>'2nd Interim-Unrestricted MYP'!J37+'2nd Interim-Unrestricted MYP'!J43</f>
        <v>7332186.8424067777</v>
      </c>
      <c r="E78" s="1229">
        <f>'2nd Interim-Unrestricted MYP'!L37+'2nd Interim-Unrestricted MYP'!L43</f>
        <v>6609608.4010151466</v>
      </c>
    </row>
    <row r="80" spans="1:5" ht="15.75">
      <c r="A80" s="1" t="s">
        <v>492</v>
      </c>
      <c r="B80" s="1229">
        <f>'2nd Interim-Restricted MYP'!E26+'2nd Interim-Restricted MYP'!E42</f>
        <v>3159391.3721232004</v>
      </c>
      <c r="C80" s="1229">
        <f>'2nd Interim-Restricted MYP'!H26+'2nd Interim-Restricted MYP'!H42</f>
        <v>4170544.0768649997</v>
      </c>
      <c r="D80" s="1229">
        <f>'2nd Interim-Restricted MYP'!J26+'2nd Interim-Restricted MYP'!J42</f>
        <v>1795476.3447319998</v>
      </c>
      <c r="E80" s="1229">
        <f>'2nd Interim-Restricted MYP'!L26+'2nd Interim-Restricted MYP'!L42</f>
        <v>1715968.2390487748</v>
      </c>
    </row>
    <row r="81" spans="1:5" ht="15.75">
      <c r="A81" s="1" t="s">
        <v>493</v>
      </c>
      <c r="B81" s="1229">
        <f>'2nd Interim-Restricted MYP'!E37+'2nd Interim-Restricted MYP'!E43</f>
        <v>3272551.2175118001</v>
      </c>
      <c r="C81" s="1229">
        <f>'2nd Interim-Restricted MYP'!H37+'2nd Interim-Restricted MYP'!H43</f>
        <v>4170544.08</v>
      </c>
      <c r="D81" s="1229">
        <f>'2nd Interim-Restricted MYP'!J37+'2nd Interim-Restricted MYP'!J43</f>
        <v>2944856.3779057935</v>
      </c>
      <c r="E81" s="1229">
        <f>'2nd Interim-Restricted MYP'!L37+'2nd Interim-Restricted MYP'!L43</f>
        <v>2826063.4998946176</v>
      </c>
    </row>
    <row r="83" spans="1:5" ht="15.75">
      <c r="A83" s="1" t="s">
        <v>344</v>
      </c>
      <c r="B83" s="158"/>
      <c r="C83" s="158">
        <f>'2nd Interim-Restricted MYP'!H143</f>
        <v>0</v>
      </c>
      <c r="D83" s="158">
        <f>'2nd Interim-Restricted MYP'!J143</f>
        <v>0</v>
      </c>
      <c r="E83" s="979">
        <f>'2nd Interim-Restricted MYP'!L143</f>
        <v>0</v>
      </c>
    </row>
    <row r="84" spans="1:5" ht="15.75">
      <c r="A84" s="1" t="s">
        <v>494</v>
      </c>
      <c r="B84" s="1274" t="str">
        <f>T('2nd Interim-Restricted MYP'!E144)</f>
        <v/>
      </c>
      <c r="C84" s="1274"/>
      <c r="D84" s="1274"/>
      <c r="E84" s="1274"/>
    </row>
    <row r="85" spans="1:5" ht="15.75">
      <c r="A85" s="1" t="s">
        <v>346</v>
      </c>
      <c r="B85" s="1270"/>
      <c r="C85" s="1270">
        <f>'2nd Interim-Restricted MYP'!H145</f>
        <v>0</v>
      </c>
      <c r="D85" s="983">
        <f>'2nd Interim-Restricted MYP'!J145</f>
        <v>0</v>
      </c>
      <c r="E85" s="983">
        <f>'2nd Interim-Restricted MYP'!L145</f>
        <v>0</v>
      </c>
    </row>
    <row r="86" spans="1:5" ht="15.75">
      <c r="A86" s="1" t="s">
        <v>347</v>
      </c>
      <c r="B86" s="1270"/>
      <c r="C86" s="1270">
        <f>'2nd Interim-Restricted MYP'!H146</f>
        <v>0</v>
      </c>
      <c r="D86" s="983">
        <f>'2nd Interim-Restricted MYP'!J146</f>
        <v>0</v>
      </c>
      <c r="E86" s="983">
        <f>'2nd Interim-Restricted MYP'!L146</f>
        <v>0</v>
      </c>
    </row>
    <row r="87" spans="1:5" ht="15.75">
      <c r="A87" s="1" t="s">
        <v>495</v>
      </c>
      <c r="B87" s="1270"/>
      <c r="C87" s="1270">
        <f>'2nd Interim-Restricted MYP'!H147</f>
        <v>0</v>
      </c>
      <c r="D87" s="983">
        <f>'2nd Interim-Restricted MYP'!J147</f>
        <v>0</v>
      </c>
      <c r="E87" s="983">
        <f>'2nd Interim-Restricted MYP'!L147</f>
        <v>0</v>
      </c>
    </row>
    <row r="88" spans="1:5" ht="15.75">
      <c r="A88" s="1" t="s">
        <v>349</v>
      </c>
      <c r="B88" s="1270"/>
      <c r="C88" s="1270">
        <f>'2nd Interim-Restricted MYP'!H148</f>
        <v>0</v>
      </c>
      <c r="D88" s="983">
        <f>'2nd Interim-Restricted MYP'!J148</f>
        <v>0</v>
      </c>
      <c r="E88" s="983">
        <f>'2nd Interim-Restricted MYP'!L148</f>
        <v>0</v>
      </c>
    </row>
    <row r="89" spans="1:5" ht="15.75">
      <c r="A89" s="1" t="s">
        <v>350</v>
      </c>
      <c r="B89" s="1270"/>
      <c r="C89" s="1270">
        <f>'2nd Interim-Restricted MYP'!H149</f>
        <v>0</v>
      </c>
      <c r="D89" s="983">
        <f>'2nd Interim-Restricted MYP'!J149</f>
        <v>0</v>
      </c>
      <c r="E89" s="983">
        <f>'2nd Interim-Restricted MYP'!L149</f>
        <v>0</v>
      </c>
    </row>
    <row r="91" spans="1:5" ht="15.75">
      <c r="A91" s="81" t="s">
        <v>496</v>
      </c>
    </row>
    <row r="92" spans="1:5" ht="15.75">
      <c r="A92" s="1" t="s">
        <v>256</v>
      </c>
      <c r="B92" s="174">
        <f>'2nd Interim-Unrestricted MYP'!E29</f>
        <v>2141205.7039999999</v>
      </c>
      <c r="C92" s="174">
        <f>'2nd Interim-Unrestricted MYP'!H29</f>
        <v>1848754</v>
      </c>
      <c r="D92" s="174">
        <f>'2nd Interim-Unrestricted MYP'!J29</f>
        <v>1580743.8912210276</v>
      </c>
      <c r="E92" s="174">
        <f>'2nd Interim-Unrestricted MYP'!L29</f>
        <v>1618049.4470538439</v>
      </c>
    </row>
    <row r="93" spans="1:5" ht="15.75">
      <c r="A93" s="1" t="s">
        <v>258</v>
      </c>
      <c r="B93" s="174">
        <f>'2nd Interim-Unrestricted MYP'!E30</f>
        <v>1361635.92</v>
      </c>
      <c r="C93" s="174">
        <f>'2nd Interim-Unrestricted MYP'!H30</f>
        <v>1434993</v>
      </c>
      <c r="D93" s="174">
        <f>'2nd Interim-Unrestricted MYP'!J30</f>
        <v>825425.55981073168</v>
      </c>
      <c r="E93" s="174">
        <f>'2nd Interim-Unrestricted MYP'!L30</f>
        <v>844905.60302226478</v>
      </c>
    </row>
    <row r="94" spans="1:5" ht="15.75">
      <c r="A94" s="1" t="s">
        <v>260</v>
      </c>
      <c r="B94" s="174">
        <f>'2nd Interim-Unrestricted MYP'!E31</f>
        <v>1389040.6</v>
      </c>
      <c r="C94" s="174">
        <f>'2nd Interim-Unrestricted MYP'!H31</f>
        <v>1266000.51</v>
      </c>
      <c r="D94" s="174">
        <f>'2nd Interim-Unrestricted MYP'!J31</f>
        <v>932059.66854644706</v>
      </c>
      <c r="E94" s="174">
        <f>'2nd Interim-Unrestricted MYP'!L31</f>
        <v>954056.34643934353</v>
      </c>
    </row>
    <row r="95" spans="1:5" ht="15.75">
      <c r="A95" s="1" t="s">
        <v>262</v>
      </c>
      <c r="B95" s="174">
        <f>'2nd Interim-Unrestricted MYP'!E32</f>
        <v>545283.35</v>
      </c>
      <c r="C95" s="174">
        <f>'2nd Interim-Unrestricted MYP'!H32</f>
        <v>344868</v>
      </c>
      <c r="D95" s="174">
        <f>'2nd Interim-Unrestricted MYP'!J32</f>
        <v>400281.1532</v>
      </c>
      <c r="E95" s="174">
        <f>'2nd Interim-Unrestricted MYP'!L32</f>
        <v>122385.95929716712</v>
      </c>
    </row>
    <row r="96" spans="1:5" ht="15.75">
      <c r="A96" s="1" t="s">
        <v>264</v>
      </c>
      <c r="B96" s="174">
        <f>'2nd Interim-Unrestricted MYP'!E33</f>
        <v>3437167.79</v>
      </c>
      <c r="C96" s="174">
        <f>'2nd Interim-Unrestricted MYP'!H33</f>
        <v>3286160.41</v>
      </c>
      <c r="D96" s="174">
        <f>'2nd Interim-Unrestricted MYP'!J33</f>
        <v>3385351.4781999998</v>
      </c>
      <c r="E96" s="174">
        <f>'2nd Interim-Unrestricted MYP'!L33</f>
        <v>2857719.451945385</v>
      </c>
    </row>
    <row r="97" spans="1:5" ht="15.75">
      <c r="A97" s="1" t="s">
        <v>266</v>
      </c>
      <c r="B97" s="174">
        <f>'2nd Interim-Unrestricted MYP'!E34</f>
        <v>204240.28571428571</v>
      </c>
      <c r="C97" s="174">
        <f>'2nd Interim-Unrestricted MYP'!H34</f>
        <v>204240</v>
      </c>
      <c r="D97" s="174">
        <f>'2nd Interim-Unrestricted MYP'!J34</f>
        <v>208325.09142857144</v>
      </c>
      <c r="E97" s="174">
        <f>'2nd Interim-Unrestricted MYP'!L34</f>
        <v>212491.59325714287</v>
      </c>
    </row>
    <row r="98" spans="1:5" ht="15.75">
      <c r="A98" s="1" t="s">
        <v>268</v>
      </c>
      <c r="B98" s="174">
        <f>'2nd Interim-Unrestricted MYP'!E35</f>
        <v>0</v>
      </c>
      <c r="C98" s="174">
        <f>'2nd Interim-Unrestricted MYP'!H35</f>
        <v>0</v>
      </c>
      <c r="D98" s="174">
        <f>'2nd Interim-Unrestricted MYP'!J35</f>
        <v>0</v>
      </c>
      <c r="E98" s="174">
        <f>'2nd Interim-Unrestricted MYP'!L35</f>
        <v>0</v>
      </c>
    </row>
    <row r="99" spans="1:5" ht="15.75">
      <c r="A99" s="1" t="s">
        <v>270</v>
      </c>
      <c r="B99" s="174">
        <f>'2nd Interim-Unrestricted MYP'!E36</f>
        <v>52147</v>
      </c>
      <c r="C99" s="174">
        <f>'2nd Interim-Unrestricted MYP'!H36</f>
        <v>0</v>
      </c>
      <c r="D99" s="174">
        <f>'2nd Interim-Unrestricted MYP'!J36</f>
        <v>0</v>
      </c>
      <c r="E99" s="174">
        <f>'2nd Interim-Unrestricted MYP'!L36</f>
        <v>0</v>
      </c>
    </row>
    <row r="100" spans="1:5" ht="15.75">
      <c r="A100" s="1" t="s">
        <v>497</v>
      </c>
      <c r="B100" s="174">
        <f>'2nd Interim-Unrestricted MYP'!E37</f>
        <v>9130720.6497142855</v>
      </c>
      <c r="C100" s="174">
        <f>'2nd Interim-Unrestricted MYP'!H37</f>
        <v>8385015.9199999999</v>
      </c>
      <c r="D100" s="174">
        <f>'2nd Interim-Unrestricted MYP'!J37</f>
        <v>7332186.8424067777</v>
      </c>
      <c r="E100" s="174">
        <f>'2nd Interim-Unrestricted MYP'!L37</f>
        <v>6609608.4010151466</v>
      </c>
    </row>
    <row r="102" spans="1:5" ht="15.75">
      <c r="A102" s="81" t="s">
        <v>498</v>
      </c>
    </row>
    <row r="103" spans="1:5" ht="15.75">
      <c r="A103" s="1" t="s">
        <v>256</v>
      </c>
      <c r="B103" s="174">
        <f>'2nd Interim-Restricted MYP'!E29</f>
        <v>965931.3759999997</v>
      </c>
      <c r="C103" s="174">
        <f>'2nd Interim-Restricted MYP'!H29</f>
        <v>1131952</v>
      </c>
      <c r="D103" s="174">
        <f>'2nd Interim-Restricted MYP'!J29</f>
        <v>998950.53651797178</v>
      </c>
      <c r="E103" s="174">
        <f>'2nd Interim-Restricted MYP'!L29</f>
        <v>1022525.769179796</v>
      </c>
    </row>
    <row r="104" spans="1:5" ht="15.75">
      <c r="A104" s="1" t="s">
        <v>258</v>
      </c>
      <c r="B104" s="174">
        <f>'2nd Interim-Restricted MYP'!E30</f>
        <v>638957.80500000017</v>
      </c>
      <c r="C104" s="174">
        <f>'2nd Interim-Restricted MYP'!H30</f>
        <v>773261</v>
      </c>
      <c r="D104" s="174">
        <f>'2nd Interim-Restricted MYP'!J30</f>
        <v>470834.50993426895</v>
      </c>
      <c r="E104" s="174">
        <f>'2nd Interim-Restricted MYP'!L30</f>
        <v>481946.20436871762</v>
      </c>
    </row>
    <row r="105" spans="1:5" ht="15.75">
      <c r="A105" s="1" t="s">
        <v>260</v>
      </c>
      <c r="B105" s="174">
        <f>'2nd Interim-Restricted MYP'!E31</f>
        <v>543372.37651180022</v>
      </c>
      <c r="C105" s="174">
        <f>'2nd Interim-Restricted MYP'!H31</f>
        <v>746131.49</v>
      </c>
      <c r="D105" s="174">
        <f>'2nd Interim-Restricted MYP'!J31</f>
        <v>527893.33145355294</v>
      </c>
      <c r="E105" s="174">
        <f>'2nd Interim-Restricted MYP'!L31</f>
        <v>540351.65356065647</v>
      </c>
    </row>
    <row r="106" spans="1:5" ht="15.75">
      <c r="A106" s="1" t="s">
        <v>262</v>
      </c>
      <c r="B106" s="174">
        <f>'2nd Interim-Restricted MYP'!E32</f>
        <v>195969</v>
      </c>
      <c r="C106" s="174">
        <f>'2nd Interim-Restricted MYP'!H32</f>
        <v>427957</v>
      </c>
      <c r="D106" s="174">
        <f>'2nd Interim-Restricted MYP'!J32</f>
        <v>193758</v>
      </c>
      <c r="E106" s="174">
        <f>'2nd Interim-Restricted MYP'!L32</f>
        <v>305900.81696683279</v>
      </c>
    </row>
    <row r="107" spans="1:5" ht="15.75">
      <c r="A107" s="1" t="s">
        <v>264</v>
      </c>
      <c r="B107" s="174">
        <f>'2nd Interim-Restricted MYP'!E33</f>
        <v>928320.65999999992</v>
      </c>
      <c r="C107" s="174">
        <f>'2nd Interim-Restricted MYP'!H33</f>
        <v>1091242.5899999999</v>
      </c>
      <c r="D107" s="174">
        <f>'2nd Interim-Restricted MYP'!J33</f>
        <v>753420</v>
      </c>
      <c r="E107" s="174">
        <f>'2nd Interim-Restricted MYP'!L33</f>
        <v>475339.05581861496</v>
      </c>
    </row>
    <row r="108" spans="1:5" ht="15.75">
      <c r="A108" s="1" t="s">
        <v>266</v>
      </c>
      <c r="B108" s="174">
        <f>'2nd Interim-Restricted MYP'!E34</f>
        <v>0</v>
      </c>
      <c r="C108" s="174">
        <f>'2nd Interim-Restricted MYP'!H34</f>
        <v>0</v>
      </c>
      <c r="D108" s="174">
        <f>'2nd Interim-Restricted MYP'!J34</f>
        <v>0</v>
      </c>
      <c r="E108" s="174">
        <f>'2nd Interim-Restricted MYP'!L34</f>
        <v>0</v>
      </c>
    </row>
    <row r="109" spans="1:5" ht="15.75">
      <c r="A109" s="1" t="s">
        <v>268</v>
      </c>
      <c r="B109" s="174">
        <f>'2nd Interim-Restricted MYP'!E35</f>
        <v>0</v>
      </c>
      <c r="C109" s="174">
        <f>'2nd Interim-Restricted MYP'!H35</f>
        <v>0</v>
      </c>
      <c r="D109" s="174">
        <f>'2nd Interim-Restricted MYP'!J35</f>
        <v>0</v>
      </c>
      <c r="E109" s="174">
        <f>'2nd Interim-Restricted MYP'!L35</f>
        <v>0</v>
      </c>
    </row>
    <row r="110" spans="1:5" ht="15.75">
      <c r="A110" s="1" t="s">
        <v>270</v>
      </c>
      <c r="B110" s="174">
        <f>'2nd Interim-Restricted MYP'!E36</f>
        <v>0</v>
      </c>
      <c r="C110" s="174">
        <f>'2nd Interim-Restricted MYP'!H36</f>
        <v>0</v>
      </c>
      <c r="D110" s="174">
        <f>'2nd Interim-Restricted MYP'!J36</f>
        <v>0</v>
      </c>
      <c r="E110" s="174">
        <f>'2nd Interim-Restricted MYP'!L36</f>
        <v>0</v>
      </c>
    </row>
    <row r="111" spans="1:5" ht="15.75">
      <c r="A111" s="1" t="s">
        <v>497</v>
      </c>
      <c r="B111" s="174">
        <f>'2nd Interim-Restricted MYP'!E37</f>
        <v>3272551.2175118001</v>
      </c>
      <c r="C111" s="174">
        <f>'2nd Interim-Restricted MYP'!H37</f>
        <v>4170544.08</v>
      </c>
      <c r="D111" s="174">
        <f>'2nd Interim-Restricted MYP'!J37</f>
        <v>2944856.3779057935</v>
      </c>
      <c r="E111" s="174">
        <f>'2nd Interim-Restricted MYP'!L37</f>
        <v>2826063.4998946176</v>
      </c>
    </row>
    <row r="113" spans="1:5">
      <c r="A113" t="s">
        <v>213</v>
      </c>
      <c r="C113" s="1229">
        <f>'2nd Interim-Assumptions'!G67</f>
        <v>1152802.93</v>
      </c>
      <c r="D113" s="1229">
        <f>'2nd Interim-Assumptions'!H67</f>
        <v>1375858.9886</v>
      </c>
      <c r="E113" s="1229">
        <f>'2nd Interim-Assumptions'!J67</f>
        <v>1403376.1683720001</v>
      </c>
    </row>
    <row r="114" spans="1:5">
      <c r="A114" t="s">
        <v>214</v>
      </c>
      <c r="C114" s="1229">
        <f>'2nd Interim-Assumptions'!G68</f>
        <v>225000</v>
      </c>
      <c r="D114" s="1229">
        <f>'2nd Interim-Assumptions'!H68</f>
        <v>229500</v>
      </c>
      <c r="E114" s="1229">
        <f>'2nd Interim-Assumptions'!J68</f>
        <v>184090</v>
      </c>
    </row>
    <row r="115" spans="1:5">
      <c r="A115" t="s">
        <v>215</v>
      </c>
      <c r="C115" s="1229" t="str">
        <f>'2nd Interim-Assumptions'!G69</f>
        <v>in the above</v>
      </c>
      <c r="D115" s="1229" t="str">
        <f>'2nd Interim-Assumptions'!H69</f>
        <v>in the above</v>
      </c>
      <c r="E115" s="1229" t="str">
        <f>'2nd Interim-Assumptions'!J69</f>
        <v>in the above</v>
      </c>
    </row>
    <row r="116" spans="1:5">
      <c r="A116" t="s">
        <v>217</v>
      </c>
      <c r="C116" s="1229">
        <f>'2nd Interim-Assumptions'!G70</f>
        <v>0</v>
      </c>
      <c r="D116" s="1229">
        <f>'2nd Interim-Assumptions'!H70</f>
        <v>0</v>
      </c>
      <c r="E116" s="1229">
        <f>'2nd Interim-Assumptions'!J70</f>
        <v>0</v>
      </c>
    </row>
    <row r="118" spans="1:5">
      <c r="A118" t="s">
        <v>220</v>
      </c>
      <c r="C118" s="1229">
        <f>'2nd Interim-Assumptions'!G76</f>
        <v>68269.86</v>
      </c>
      <c r="D118" s="1229">
        <f>'2nd Interim-Assumptions'!H76</f>
        <v>72504.400000000009</v>
      </c>
      <c r="E118" s="1229">
        <f>'2nd Interim-Assumptions'!J76</f>
        <v>74793.790000000008</v>
      </c>
    </row>
    <row r="119" spans="1:5">
      <c r="A119" t="s">
        <v>221</v>
      </c>
      <c r="C119" s="1229">
        <f>'2nd Interim-Assumptions'!G77</f>
        <v>226592</v>
      </c>
      <c r="D119" s="1229">
        <f>'2nd Interim-Assumptions'!H77</f>
        <v>181123.84</v>
      </c>
      <c r="E119" s="1229">
        <f>'2nd Interim-Assumptions'!J77</f>
        <v>184746.3168</v>
      </c>
    </row>
    <row r="120" spans="1:5">
      <c r="A120" t="s">
        <v>499</v>
      </c>
      <c r="C120" s="1229">
        <f>'2nd Interim-Assumptions'!G78</f>
        <v>0</v>
      </c>
      <c r="D120" s="1229">
        <f>'2nd Interim-Assumptions'!H78</f>
        <v>0</v>
      </c>
      <c r="E120" s="1229">
        <f>'2nd Interim-Assumptions'!J78</f>
        <v>0</v>
      </c>
    </row>
    <row r="121" spans="1:5">
      <c r="C121" s="1229"/>
      <c r="D121" s="1229"/>
      <c r="E121" s="1229"/>
    </row>
    <row r="122" spans="1:5">
      <c r="A122" s="133" t="s">
        <v>500</v>
      </c>
    </row>
    <row r="123" spans="1:5">
      <c r="A123" t="str">
        <f>T('2nd Interim-DEBT'!A15)</f>
        <v>State School Building Loans</v>
      </c>
      <c r="C123" s="174">
        <f>'2nd Interim-DEBT'!E15+'2nd Interim-DEBT'!F15</f>
        <v>0</v>
      </c>
      <c r="D123" s="174">
        <f>'2nd Interim-DEBT'!G15+'2nd Interim-DEBT'!H15</f>
        <v>0</v>
      </c>
      <c r="E123" s="174">
        <f>'2nd Interim-DEBT'!I15+'2nd Interim-DEBT'!J15</f>
        <v>0</v>
      </c>
    </row>
    <row r="124" spans="1:5">
      <c r="A124" t="str">
        <f>T('2nd Interim-DEBT'!A16)</f>
        <v>Charter School Start-up Loans</v>
      </c>
      <c r="C124" s="174">
        <f>'2nd Interim-DEBT'!E16+'2nd Interim-DEBT'!F16</f>
        <v>0</v>
      </c>
      <c r="D124" s="174">
        <f>'2nd Interim-DEBT'!G16+'2nd Interim-DEBT'!H16</f>
        <v>0</v>
      </c>
      <c r="E124" s="174">
        <f>'2nd Interim-DEBT'!I16+'2nd Interim-DEBT'!J16</f>
        <v>0</v>
      </c>
    </row>
    <row r="125" spans="1:5">
      <c r="A125" t="str">
        <f>T('2nd Interim-DEBT'!A17)</f>
        <v>Other Post Employment Benefits</v>
      </c>
      <c r="C125" s="174">
        <f>'2nd Interim-DEBT'!E17+'2nd Interim-DEBT'!F17</f>
        <v>0</v>
      </c>
      <c r="D125" s="174">
        <f>'2nd Interim-DEBT'!G17+'2nd Interim-DEBT'!H17</f>
        <v>0</v>
      </c>
      <c r="E125" s="174">
        <f>'2nd Interim-DEBT'!I17+'2nd Interim-DEBT'!J17</f>
        <v>0</v>
      </c>
    </row>
    <row r="126" spans="1:5">
      <c r="A126" t="str">
        <f>T('2nd Interim-DEBT'!A18)</f>
        <v>Compensated Absences</v>
      </c>
      <c r="C126" s="174">
        <f>'2nd Interim-DEBT'!E18+'2nd Interim-DEBT'!F18</f>
        <v>0</v>
      </c>
      <c r="D126" s="174">
        <f>'2nd Interim-DEBT'!G18+'2nd Interim-DEBT'!H18</f>
        <v>0</v>
      </c>
      <c r="E126" s="174">
        <f>'2nd Interim-DEBT'!I18+'2nd Interim-DEBT'!J18</f>
        <v>0</v>
      </c>
    </row>
    <row r="127" spans="1:5">
      <c r="A127" t="str">
        <f>T('2nd Interim-DEBT'!A19)</f>
        <v>Bank Line of Credit Loans</v>
      </c>
      <c r="C127" s="174">
        <f>'2nd Interim-DEBT'!E19+'2nd Interim-DEBT'!F19</f>
        <v>2000000</v>
      </c>
      <c r="D127" s="174">
        <f>'2nd Interim-DEBT'!G19+'2nd Interim-DEBT'!H19</f>
        <v>0</v>
      </c>
      <c r="E127" s="174">
        <f>'2nd Interim-DEBT'!I19+'2nd Interim-DEBT'!J19</f>
        <v>0</v>
      </c>
    </row>
    <row r="128" spans="1:5">
      <c r="A128" t="str">
        <f>T('2nd Interim-DEBT'!A20)</f>
        <v>Municipal Lease</v>
      </c>
      <c r="C128" s="174">
        <f>'2nd Interim-DEBT'!E20+'2nd Interim-DEBT'!F20</f>
        <v>0</v>
      </c>
      <c r="D128" s="174">
        <f>'2nd Interim-DEBT'!G20+'2nd Interim-DEBT'!H20</f>
        <v>0</v>
      </c>
      <c r="E128" s="174">
        <f>'2nd Interim-DEBT'!I20+'2nd Interim-DEBT'!J20</f>
        <v>0</v>
      </c>
    </row>
    <row r="129" spans="1:5">
      <c r="A129" t="str">
        <f>T('2nd Interim-DEBT'!A21)</f>
        <v>Capital Lease</v>
      </c>
      <c r="C129" s="174">
        <f>'2nd Interim-DEBT'!E21+'2nd Interim-DEBT'!F21</f>
        <v>4237.53</v>
      </c>
      <c r="D129" s="174">
        <f>'2nd Interim-DEBT'!G21+'2nd Interim-DEBT'!H21</f>
        <v>0</v>
      </c>
      <c r="E129" s="174">
        <f>'2nd Interim-DEBT'!I21+'2nd Interim-DEBT'!J21</f>
        <v>0</v>
      </c>
    </row>
    <row r="130" spans="1:5">
      <c r="A130" t="str">
        <f>T('2nd Interim-DEBT'!A22)</f>
        <v>Capital Lease</v>
      </c>
      <c r="C130" s="174">
        <f>'2nd Interim-DEBT'!E22+'2nd Interim-DEBT'!F22</f>
        <v>0</v>
      </c>
      <c r="D130" s="174">
        <f>'2nd Interim-DEBT'!G22+'2nd Interim-DEBT'!H22</f>
        <v>0</v>
      </c>
      <c r="E130" s="174">
        <f>'2nd Interim-DEBT'!I22+'2nd Interim-DEBT'!J22</f>
        <v>0</v>
      </c>
    </row>
    <row r="131" spans="1:5">
      <c r="A131" t="str">
        <f>T('2nd Interim-DEBT'!A23)</f>
        <v>Capital Lease</v>
      </c>
      <c r="C131" s="174">
        <f>'2nd Interim-DEBT'!E23+'2nd Interim-DEBT'!F23</f>
        <v>0</v>
      </c>
      <c r="D131" s="174">
        <f>'2nd Interim-DEBT'!G23+'2nd Interim-DEBT'!H23</f>
        <v>0</v>
      </c>
      <c r="E131" s="174">
        <f>'2nd Interim-DEBT'!I23+'2nd Interim-DEBT'!J23</f>
        <v>0</v>
      </c>
    </row>
    <row r="132" spans="1:5">
      <c r="A132" t="str">
        <f>T('2nd Interim-DEBT'!A24)</f>
        <v>Inter-Agency Borrowing</v>
      </c>
      <c r="C132" s="174">
        <f>'2nd Interim-DEBT'!E24+'2nd Interim-DEBT'!F24</f>
        <v>2467017</v>
      </c>
      <c r="D132" s="174">
        <f>'2nd Interim-DEBT'!G24+'2nd Interim-DEBT'!H24</f>
        <v>0</v>
      </c>
      <c r="E132" s="174">
        <f>'2nd Interim-DEBT'!I24+'2nd Interim-DEBT'!J24</f>
        <v>0</v>
      </c>
    </row>
    <row r="133" spans="1:5">
      <c r="A133" t="str">
        <f>T('2nd Interim-DEBT'!A25)</f>
        <v>Other</v>
      </c>
      <c r="C133" s="174">
        <f>'2nd Interim-DEBT'!E25+'2nd Interim-DEBT'!F25</f>
        <v>187500</v>
      </c>
      <c r="D133" s="174">
        <f>'2nd Interim-DEBT'!G25+'2nd Interim-DEBT'!H25</f>
        <v>0</v>
      </c>
      <c r="E133" s="174">
        <f>'2nd Interim-DEBT'!I25+'2nd Interim-DEBT'!J25</f>
        <v>0</v>
      </c>
    </row>
    <row r="134" spans="1:5">
      <c r="A134" t="str">
        <f>T('2nd Interim-DEBT'!A26)</f>
        <v/>
      </c>
    </row>
    <row r="135" spans="1:5">
      <c r="A135" s="133" t="s">
        <v>501</v>
      </c>
    </row>
    <row r="136" spans="1:5">
      <c r="A136" s="135" t="s">
        <v>502</v>
      </c>
      <c r="C136" s="174">
        <f>'2nd Interim-Cash Flow Year 1'!E6</f>
        <v>1426798.85</v>
      </c>
    </row>
    <row r="137" spans="1:5">
      <c r="A137" s="135" t="s">
        <v>406</v>
      </c>
      <c r="C137" s="1229">
        <f>'2nd Interim-Cash Flow Year 1'!E60</f>
        <v>1982944.8800000004</v>
      </c>
      <c r="D137" s="1229">
        <f>'2nd Interim-Cash Flow Year 2'!E60</f>
        <v>181396.84873911767</v>
      </c>
    </row>
    <row r="138" spans="1:5">
      <c r="A138" s="135" t="s">
        <v>408</v>
      </c>
      <c r="C138" s="1229">
        <f>'2nd Interim-Cash Flow Year 1'!G60</f>
        <v>1455035.7000000004</v>
      </c>
      <c r="D138" s="1229">
        <f>'2nd Interim-Cash Flow Year 2'!G60</f>
        <v>51412.794368738891</v>
      </c>
    </row>
    <row r="139" spans="1:5">
      <c r="A139" s="135" t="s">
        <v>409</v>
      </c>
      <c r="C139" s="1229">
        <f>'2nd Interim-Cash Flow Year 1'!I60</f>
        <v>1097265.9800000004</v>
      </c>
      <c r="D139" s="1229">
        <f>'2nd Interim-Cash Flow Year 2'!I60</f>
        <v>568007.41810668993</v>
      </c>
    </row>
    <row r="140" spans="1:5">
      <c r="A140" s="135" t="s">
        <v>410</v>
      </c>
      <c r="C140" s="1229">
        <f>'2nd Interim-Cash Flow Year 1'!K60</f>
        <v>884935.36000000045</v>
      </c>
      <c r="D140" s="1229">
        <f>'2nd Interim-Cash Flow Year 2'!K60</f>
        <v>185918.27330738131</v>
      </c>
    </row>
    <row r="141" spans="1:5">
      <c r="A141" s="135" t="s">
        <v>411</v>
      </c>
      <c r="C141" s="1229">
        <f>'2nd Interim-Cash Flow Year 1'!M60</f>
        <v>996026.19000000006</v>
      </c>
      <c r="D141" s="1229">
        <f>'2nd Interim-Cash Flow Year 2'!M60</f>
        <v>-1533.0407992743421</v>
      </c>
    </row>
    <row r="142" spans="1:5">
      <c r="A142" s="135" t="s">
        <v>412</v>
      </c>
      <c r="C142" s="1229">
        <f>'2nd Interim-Cash Flow Year 1'!O60</f>
        <v>696794.88999999966</v>
      </c>
      <c r="D142" s="1229">
        <f>'2nd Interim-Cash Flow Year 2'!O60</f>
        <v>200844.9981871394</v>
      </c>
    </row>
    <row r="143" spans="1:5">
      <c r="A143" s="135" t="s">
        <v>413</v>
      </c>
      <c r="C143" s="1229">
        <f>'2nd Interim-Cash Flow Year 1'!Q60</f>
        <v>541114.06999999913</v>
      </c>
      <c r="D143" s="1229">
        <f>'2nd Interim-Cash Flow Year 2'!Q60</f>
        <v>310142.48381989519</v>
      </c>
    </row>
    <row r="144" spans="1:5">
      <c r="A144" s="135" t="s">
        <v>414</v>
      </c>
      <c r="C144" s="1229">
        <f>'2nd Interim-Cash Flow Year 1'!S60</f>
        <v>206295.62000000011</v>
      </c>
      <c r="D144" s="1229">
        <f>'2nd Interim-Cash Flow Year 2'!S60</f>
        <v>-77623.436860709509</v>
      </c>
    </row>
    <row r="145" spans="1:4">
      <c r="A145" s="135" t="s">
        <v>415</v>
      </c>
      <c r="C145" s="1229">
        <f>'2nd Interim-Cash Flow Year 1'!U60</f>
        <v>540393.35249999992</v>
      </c>
      <c r="D145" s="1229">
        <f>'2nd Interim-Cash Flow Year 2'!U60</f>
        <v>258431.82756476355</v>
      </c>
    </row>
    <row r="146" spans="1:4">
      <c r="A146" s="135" t="s">
        <v>416</v>
      </c>
      <c r="C146" s="1229">
        <f>'2nd Interim-Cash Flow Year 1'!W60</f>
        <v>214534.46499999997</v>
      </c>
      <c r="D146" s="1229">
        <f>'2nd Interim-Cash Flow Year 2'!W60</f>
        <v>88634.252275970939</v>
      </c>
    </row>
    <row r="147" spans="1:4">
      <c r="A147" s="135" t="s">
        <v>417</v>
      </c>
      <c r="C147" s="1229">
        <f>'2nd Interim-Cash Flow Year 1'!Y60</f>
        <v>834674.49749999994</v>
      </c>
      <c r="D147" s="1229">
        <f>'2nd Interim-Cash Flow Year 2'!Y60</f>
        <v>-260312.65374196804</v>
      </c>
    </row>
    <row r="148" spans="1:4">
      <c r="A148" s="135" t="s">
        <v>418</v>
      </c>
      <c r="C148" s="1229">
        <f>'2nd Interim-Cash Flow Year 1'!AA60</f>
        <v>122053.46999999997</v>
      </c>
      <c r="D148" s="1229">
        <f>'2nd Interim-Cash Flow Year 2'!AA60</f>
        <v>-248870.93075949996</v>
      </c>
    </row>
  </sheetData>
  <sheetProtection password="CC5F" sheet="1" objects="1" scenarios="1"/>
  <conditionalFormatting sqref="A71">
    <cfRule type="expression" dxfId="1" priority="2" stopIfTrue="1">
      <formula>$E$81=""</formula>
    </cfRule>
  </conditionalFormatting>
  <conditionalFormatting sqref="A72">
    <cfRule type="expression" dxfId="0" priority="1" stopIfTrue="1">
      <formula>$E$81&lt;&gt;0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D97A03FCBD2849B4CF8B14F117F50A" ma:contentTypeVersion="10" ma:contentTypeDescription="Create a new document." ma:contentTypeScope="" ma:versionID="78848b4d5b025f4abf60b27831db4696">
  <xsd:schema xmlns:xsd="http://www.w3.org/2001/XMLSchema" xmlns:xs="http://www.w3.org/2001/XMLSchema" xmlns:p="http://schemas.microsoft.com/office/2006/metadata/properties" xmlns:ns3="216760e5-0546-4e7f-8b75-3de8a89c5891" xmlns:ns4="37004134-76b8-4ea3-bf13-cd40ce32120a" targetNamespace="http://schemas.microsoft.com/office/2006/metadata/properties" ma:root="true" ma:fieldsID="305ca2dfb95163049789a3921d870f3b" ns3:_="" ns4:_="">
    <xsd:import namespace="216760e5-0546-4e7f-8b75-3de8a89c5891"/>
    <xsd:import namespace="37004134-76b8-4ea3-bf13-cd40ce32120a"/>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6760e5-0546-4e7f-8b75-3de8a89c589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7004134-76b8-4ea3-bf13-cd40ce32120a"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1CEAC8-7EC1-4E71-A4EF-92E626FA7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6760e5-0546-4e7f-8b75-3de8a89c5891"/>
    <ds:schemaRef ds:uri="37004134-76b8-4ea3-bf13-cd40ce3212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3D9D2A-D92F-4390-ACA4-8784B1CA27B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3832D24-9916-40A0-9973-DFDA4A710D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Instructions</vt:lpstr>
      <vt:lpstr>BUDGET-CHECKLIST</vt:lpstr>
      <vt:lpstr>BUDGET-CERTIFICATION</vt:lpstr>
      <vt:lpstr>Budget-ADA</vt:lpstr>
      <vt:lpstr>Budget-Assumptions</vt:lpstr>
      <vt:lpstr>Budget-Unrestricted MYP</vt:lpstr>
      <vt:lpstr>Budget-Restricted MYP</vt:lpstr>
      <vt:lpstr>Budget-Summary MYP</vt:lpstr>
      <vt:lpstr>Budget-DEBT</vt:lpstr>
      <vt:lpstr>Budget-Cash Flow Year 1</vt:lpstr>
      <vt:lpstr>Budget-Cash Flow Year 2</vt:lpstr>
      <vt:lpstr>Budget Data</vt:lpstr>
      <vt:lpstr>INTERIM-CHECKLIST</vt:lpstr>
      <vt:lpstr>INTERIM-CERTIFICATION</vt:lpstr>
      <vt:lpstr>1st Interim-ADA</vt:lpstr>
      <vt:lpstr>1st Interim-Assumptions</vt:lpstr>
      <vt:lpstr>1st Interim-Unrestricted MYP</vt:lpstr>
      <vt:lpstr>1st Interim-Restricted MYP</vt:lpstr>
      <vt:lpstr>1st Interim-Summary MYP</vt:lpstr>
      <vt:lpstr>1st Interim-DEBT</vt:lpstr>
      <vt:lpstr>1st Interim-Cash Flow Year 1</vt:lpstr>
      <vt:lpstr>1st Interim-Cash Flow Year 2</vt:lpstr>
      <vt:lpstr>1st Interim Data</vt:lpstr>
      <vt:lpstr>INTERIM-CERTIFICATION (2)</vt:lpstr>
      <vt:lpstr>2nd Interim-ADA</vt:lpstr>
      <vt:lpstr>2nd Interim-Assumptions</vt:lpstr>
      <vt:lpstr>2nd Interim-Unrestricted MYP</vt:lpstr>
      <vt:lpstr>2nd Interim-Restricted MYP</vt:lpstr>
      <vt:lpstr>2nd Interim-Summary MYP</vt:lpstr>
      <vt:lpstr>2nd Interim-DEBT</vt:lpstr>
      <vt:lpstr>2nd Interim-Cash Flow Year 1</vt:lpstr>
      <vt:lpstr>2nd Interim-Cash Flow Year 2</vt:lpstr>
      <vt:lpstr>2nd Interim Data</vt:lpstr>
      <vt:lpstr>'1st Interim-ADA'!Print_Area</vt:lpstr>
      <vt:lpstr>'1st Interim-Assumptions'!Print_Area</vt:lpstr>
      <vt:lpstr>'1st Interim-Restricted MYP'!Print_Area</vt:lpstr>
      <vt:lpstr>'1st Interim-Summary MYP'!Print_Area</vt:lpstr>
      <vt:lpstr>'1st Interim-Unrestricted MYP'!Print_Area</vt:lpstr>
      <vt:lpstr>'2nd Interim-ADA'!Print_Area</vt:lpstr>
      <vt:lpstr>'2nd Interim-Assumptions'!Print_Area</vt:lpstr>
      <vt:lpstr>'2nd Interim-DEBT'!Print_Area</vt:lpstr>
      <vt:lpstr>'2nd Interim-Restricted MYP'!Print_Area</vt:lpstr>
      <vt:lpstr>'2nd Interim-Summary MYP'!Print_Area</vt:lpstr>
      <vt:lpstr>'2nd Interim-Unrestricted MYP'!Print_Area</vt:lpstr>
      <vt:lpstr>'Budget-ADA'!Print_Area</vt:lpstr>
      <vt:lpstr>'Budget-Assumptions'!Print_Area</vt:lpstr>
      <vt:lpstr>'BUDGET-CERTIFICATION'!Print_Area</vt:lpstr>
      <vt:lpstr>'BUDGET-CHECKLIST'!Print_Area</vt:lpstr>
      <vt:lpstr>'Budget-Restricted MYP'!Print_Area</vt:lpstr>
      <vt:lpstr>'Budget-Summary MYP'!Print_Area</vt:lpstr>
      <vt:lpstr>'Budget-Unrestricted MYP'!Print_Area</vt:lpstr>
      <vt:lpstr>Instructions!Print_Area</vt:lpstr>
      <vt:lpstr>'INTERIM-CHECKLIST'!Print_Area</vt:lpstr>
      <vt:lpstr>'1st Interim-ADA'!Print_Titles</vt:lpstr>
      <vt:lpstr>'1st Interim-Assumptions'!Print_Titles</vt:lpstr>
      <vt:lpstr>'1st Interim-Cash Flow Year 1'!Print_Titles</vt:lpstr>
      <vt:lpstr>'1st Interim-Cash Flow Year 2'!Print_Titles</vt:lpstr>
      <vt:lpstr>'1st Interim-Restricted MYP'!Print_Titles</vt:lpstr>
      <vt:lpstr>'1st Interim-Summary MYP'!Print_Titles</vt:lpstr>
      <vt:lpstr>'1st Interim-Unrestricted MYP'!Print_Titles</vt:lpstr>
      <vt:lpstr>'2nd Interim-ADA'!Print_Titles</vt:lpstr>
      <vt:lpstr>'2nd Interim-Assumptions'!Print_Titles</vt:lpstr>
      <vt:lpstr>'2nd Interim-Cash Flow Year 1'!Print_Titles</vt:lpstr>
      <vt:lpstr>'2nd Interim-Cash Flow Year 2'!Print_Titles</vt:lpstr>
      <vt:lpstr>'2nd Interim-Restricted MYP'!Print_Titles</vt:lpstr>
      <vt:lpstr>'2nd Interim-Summary MYP'!Print_Titles</vt:lpstr>
      <vt:lpstr>'2nd Interim-Unrestricted MYP'!Print_Titles</vt:lpstr>
      <vt:lpstr>'Budget-ADA'!Print_Titles</vt:lpstr>
      <vt:lpstr>'Budget-Assumptions'!Print_Titles</vt:lpstr>
      <vt:lpstr>'Budget-Cash Flow Year 1'!Print_Titles</vt:lpstr>
      <vt:lpstr>'Budget-Cash Flow Year 2'!Print_Titles</vt:lpstr>
      <vt:lpstr>'Budget-Restricted MYP'!Print_Titles</vt:lpstr>
      <vt:lpstr>'Budget-Summary MYP'!Print_Titles</vt:lpstr>
      <vt:lpstr>'Budget-Unrestricted MYP'!Print_Titles</vt:lpstr>
      <vt:lpstr>validbudgets</vt:lpstr>
    </vt:vector>
  </TitlesOfParts>
  <Manager/>
  <Company>SBCSS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 for 2nd Int 1819 LCFF fixed</dc:title>
  <dc:subject/>
  <dc:creator>Annette Kerber</dc:creator>
  <cp:keywords/>
  <dc:description/>
  <cp:lastModifiedBy>Monica Patel</cp:lastModifiedBy>
  <cp:revision/>
  <dcterms:created xsi:type="dcterms:W3CDTF">2005-06-16T03:48:07Z</dcterms:created>
  <dcterms:modified xsi:type="dcterms:W3CDTF">2022-03-08T23:18:00Z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0x0101009ED97A03FCBD2849B4CF8B14F117F50A</vt:lpwstr>
  </property>
</Properties>
</file>